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<sst xmlns="http://schemas.openxmlformats.org/spreadsheetml/2006/main" count="30411" uniqueCount="10637">
  <si>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</si>
  <si>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</si>
  <si>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</si>
  <si>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</si>
  <si>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</si>
  <si>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</si>
  <si>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</si>
  <si>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</si>
  <si>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</si>
  <si>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</si>
  <si>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</si>
  <si>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</si>
  <si>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</si>
  <si>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</si>
  <si>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</si>
  <si>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</si>
  <si>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</si>
  <si>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</si>
  <si>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</si>
  <si>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</si>
  <si>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</si>
  <si>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</si>
  <si>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</si>
  <si>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</si>
  <si>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</si>
  <si>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</si>
  <si>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</si>
  <si>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</si>
  <si>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</si>
  <si>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</si>
  <si>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SON</t>
  </si>
  <si>
    <t>BMY</t>
  </si>
  <si>
    <t>NWFL</t>
  </si>
  <si>
    <t>WRB</t>
  </si>
  <si>
    <t>WABC</t>
  </si>
  <si>
    <t>HUM</t>
  </si>
  <si>
    <t>AFG</t>
  </si>
  <si>
    <t>CTBI</t>
  </si>
  <si>
    <t>OZK</t>
  </si>
  <si>
    <t>LARK</t>
  </si>
  <si>
    <t>TTC</t>
  </si>
  <si>
    <t>EBTC</t>
  </si>
  <si>
    <t>PII</t>
  </si>
  <si>
    <t>AIT</t>
  </si>
  <si>
    <t>HIFS</t>
  </si>
  <si>
    <t>SYY</t>
  </si>
  <si>
    <t>ABM</t>
  </si>
  <si>
    <t>NKE</t>
  </si>
  <si>
    <t>SWK</t>
  </si>
  <si>
    <t>LHX</t>
  </si>
  <si>
    <t>BRC</t>
  </si>
  <si>
    <t>CMI</t>
  </si>
  <si>
    <t>TGT</t>
  </si>
  <si>
    <t>ELV</t>
  </si>
  <si>
    <t>TNC</t>
  </si>
  <si>
    <t>ADI</t>
  </si>
  <si>
    <t>FMCB</t>
  </si>
  <si>
    <t>AIZ</t>
  </si>
  <si>
    <t>RHHBY</t>
  </si>
  <si>
    <t>CPKF</t>
  </si>
  <si>
    <t>CFR</t>
  </si>
  <si>
    <t>FOXA</t>
  </si>
  <si>
    <t>BCPC</t>
  </si>
  <si>
    <t>TCEHY</t>
  </si>
  <si>
    <t>BKH</t>
  </si>
  <si>
    <t>KR</t>
  </si>
  <si>
    <t>LOW</t>
  </si>
  <si>
    <t>MDT</t>
  </si>
  <si>
    <t>ADP</t>
  </si>
  <si>
    <t>PRI</t>
  </si>
  <si>
    <t>LANC</t>
  </si>
  <si>
    <t>EFSI</t>
  </si>
  <si>
    <t>DCI</t>
  </si>
  <si>
    <t>NWN</t>
  </si>
  <si>
    <t>PPG</t>
  </si>
  <si>
    <t>JNJ</t>
  </si>
  <si>
    <t>DOV</t>
  </si>
  <si>
    <t>WSM</t>
  </si>
  <si>
    <t>GPC</t>
  </si>
  <si>
    <t>LNN</t>
  </si>
  <si>
    <t>TMO</t>
  </si>
  <si>
    <t>DE</t>
  </si>
  <si>
    <t>BOKF</t>
  </si>
  <si>
    <t>UNM</t>
  </si>
  <si>
    <t>RJF</t>
  </si>
  <si>
    <t>NFG</t>
  </si>
  <si>
    <t>GGG</t>
  </si>
  <si>
    <t>CL</t>
  </si>
  <si>
    <t>AJG</t>
  </si>
  <si>
    <t>RBCAA</t>
  </si>
  <si>
    <t>SJW</t>
  </si>
  <si>
    <t>HI</t>
  </si>
  <si>
    <t>ENSG</t>
  </si>
  <si>
    <t>ADM</t>
  </si>
  <si>
    <t>KO</t>
  </si>
  <si>
    <t>CSX</t>
  </si>
  <si>
    <t>AMP</t>
  </si>
  <si>
    <t>SYK</t>
  </si>
  <si>
    <t>KWR</t>
  </si>
  <si>
    <t>STE</t>
  </si>
  <si>
    <t>SLGN</t>
  </si>
  <si>
    <t>NIDB</t>
  </si>
  <si>
    <t>RPM</t>
  </si>
  <si>
    <t>ANDE</t>
  </si>
  <si>
    <t>PH</t>
  </si>
  <si>
    <t>SEIC</t>
  </si>
  <si>
    <t>GRC</t>
  </si>
  <si>
    <t>BDX</t>
  </si>
  <si>
    <t>ATO</t>
  </si>
  <si>
    <t>RRX</t>
  </si>
  <si>
    <t>INTU</t>
  </si>
  <si>
    <t>FRT</t>
  </si>
  <si>
    <t>ITT</t>
  </si>
  <si>
    <t>GL</t>
  </si>
  <si>
    <t>MLI</t>
  </si>
  <si>
    <t>THFF</t>
  </si>
  <si>
    <t>CAT</t>
  </si>
  <si>
    <t>AOS</t>
  </si>
  <si>
    <t>V</t>
  </si>
  <si>
    <t>EG</t>
  </si>
  <si>
    <t>MCK</t>
  </si>
  <si>
    <t>CINF</t>
  </si>
  <si>
    <t>CHE</t>
  </si>
  <si>
    <t>CNI</t>
  </si>
  <si>
    <t>SPGI</t>
  </si>
  <si>
    <t>FFMR</t>
  </si>
  <si>
    <t>MATW</t>
  </si>
  <si>
    <t>CTAS</t>
  </si>
  <si>
    <t>AEL</t>
  </si>
  <si>
    <t>NDSN</t>
  </si>
  <si>
    <t>BANF</t>
  </si>
  <si>
    <t>PSBQ</t>
  </si>
  <si>
    <t>GATX</t>
  </si>
  <si>
    <t>CBSH</t>
  </si>
  <si>
    <t>MET</t>
  </si>
  <si>
    <t>JKHY</t>
  </si>
  <si>
    <t>TRV</t>
  </si>
  <si>
    <t>FUL</t>
  </si>
  <si>
    <t>ROP</t>
  </si>
  <si>
    <t>MGEE</t>
  </si>
  <si>
    <t>HWKN</t>
  </si>
  <si>
    <t>LECO</t>
  </si>
  <si>
    <t>NOC</t>
  </si>
  <si>
    <t>GWW</t>
  </si>
  <si>
    <t>CSL</t>
  </si>
  <si>
    <t>TR</t>
  </si>
  <si>
    <t>FELE</t>
  </si>
  <si>
    <t>PNR</t>
  </si>
  <si>
    <t>COR</t>
  </si>
  <si>
    <t>EMR</t>
  </si>
  <si>
    <t>HRL</t>
  </si>
  <si>
    <t>UBSI</t>
  </si>
  <si>
    <t>MSFT</t>
  </si>
  <si>
    <t>MSEX</t>
  </si>
  <si>
    <t>ITW</t>
  </si>
  <si>
    <t>AWR</t>
  </si>
  <si>
    <t>GD</t>
  </si>
  <si>
    <t>FDS</t>
  </si>
  <si>
    <t>DHR</t>
  </si>
  <si>
    <t>COST</t>
  </si>
  <si>
    <t>WMT</t>
  </si>
  <si>
    <t>CHD</t>
  </si>
  <si>
    <t>BEN</t>
  </si>
  <si>
    <t>AXS</t>
  </si>
  <si>
    <t>MCD</t>
  </si>
  <si>
    <t>SHW</t>
  </si>
  <si>
    <t>ORCL</t>
  </si>
  <si>
    <t>RNR</t>
  </si>
  <si>
    <t>HUBB</t>
  </si>
  <si>
    <t>WLK</t>
  </si>
  <si>
    <t>ABT</t>
  </si>
  <si>
    <t>BRO</t>
  </si>
  <si>
    <t>PG</t>
  </si>
  <si>
    <t>BF.B</t>
  </si>
  <si>
    <t>MSA</t>
  </si>
  <si>
    <t>ECL</t>
  </si>
  <si>
    <t>JBHT</t>
  </si>
  <si>
    <t>UNF</t>
  </si>
  <si>
    <t>CB</t>
  </si>
  <si>
    <t>ABBV</t>
  </si>
  <si>
    <t>SRCE</t>
  </si>
  <si>
    <t>CASY</t>
  </si>
  <si>
    <t>CWT</t>
  </si>
  <si>
    <t>MGRC</t>
  </si>
  <si>
    <t>LIN</t>
  </si>
  <si>
    <t>ATR</t>
  </si>
  <si>
    <t>AFL</t>
  </si>
  <si>
    <t>HEI</t>
  </si>
  <si>
    <t>ODFL</t>
  </si>
  <si>
    <t>CAH</t>
  </si>
  <si>
    <t>AAPL</t>
  </si>
  <si>
    <t>AMAT</t>
  </si>
  <si>
    <t>SCL</t>
  </si>
  <si>
    <t>EXPD</t>
  </si>
  <si>
    <t>NVDA</t>
  </si>
  <si>
    <t>CVX</t>
  </si>
  <si>
    <t>XOM</t>
  </si>
  <si>
    <t>RLI</t>
  </si>
  <si>
    <t>BMI</t>
  </si>
  <si>
    <t>NUE</t>
  </si>
  <si>
    <t>WST</t>
  </si>
  <si>
    <t>BAX</t>
  </si>
  <si>
    <t>NUS</t>
  </si>
  <si>
    <t>T</t>
  </si>
  <si>
    <t>ES</t>
  </si>
  <si>
    <t>VZ</t>
  </si>
  <si>
    <t>OGN</t>
  </si>
  <si>
    <t>RMD</t>
  </si>
  <si>
    <t>BIP</t>
  </si>
  <si>
    <t>CVS</t>
  </si>
  <si>
    <t>UGI</t>
  </si>
  <si>
    <t>ENB</t>
  </si>
  <si>
    <t>UNH</t>
  </si>
  <si>
    <t>MTB</t>
  </si>
  <si>
    <t>CI</t>
  </si>
  <si>
    <t>CP</t>
  </si>
  <si>
    <t>CM</t>
  </si>
  <si>
    <t>MORN</t>
  </si>
  <si>
    <t>OTTR</t>
  </si>
  <si>
    <t>FMC</t>
  </si>
  <si>
    <t>TD</t>
  </si>
  <si>
    <t>PDCO</t>
  </si>
  <si>
    <t>QCOM</t>
  </si>
  <si>
    <t>SBAC</t>
  </si>
  <si>
    <t>MO</t>
  </si>
  <si>
    <t>DG</t>
  </si>
  <si>
    <t>PB</t>
  </si>
  <si>
    <t>CASS</t>
  </si>
  <si>
    <t>NNN</t>
  </si>
  <si>
    <t>RCI</t>
  </si>
  <si>
    <t>TYCB</t>
  </si>
  <si>
    <t>NTIOF</t>
  </si>
  <si>
    <t>SPTN</t>
  </si>
  <si>
    <t>SCHW</t>
  </si>
  <si>
    <t>SLF</t>
  </si>
  <si>
    <t>SIEGY</t>
  </si>
  <si>
    <t>CDUAF</t>
  </si>
  <si>
    <t>AEP</t>
  </si>
  <si>
    <t>ESS</t>
  </si>
  <si>
    <t>BHB</t>
  </si>
  <si>
    <t>BMO</t>
  </si>
  <si>
    <t>DEO</t>
  </si>
  <si>
    <t>RY</t>
  </si>
  <si>
    <t>SBSI</t>
  </si>
  <si>
    <t>BLK</t>
  </si>
  <si>
    <t>LNT</t>
  </si>
  <si>
    <t>OMC</t>
  </si>
  <si>
    <t>SRE</t>
  </si>
  <si>
    <t>TSN</t>
  </si>
  <si>
    <t>RTX</t>
  </si>
  <si>
    <t>YUM</t>
  </si>
  <si>
    <t>NSC</t>
  </si>
  <si>
    <t>NEE</t>
  </si>
  <si>
    <t>MMS</t>
  </si>
  <si>
    <t>KDP</t>
  </si>
  <si>
    <t>PRGO</t>
  </si>
  <si>
    <t>ALRS</t>
  </si>
  <si>
    <t>SCI</t>
  </si>
  <si>
    <t>NJR</t>
  </si>
  <si>
    <t>EBAY</t>
  </si>
  <si>
    <t>NTRS</t>
  </si>
  <si>
    <t>CATC</t>
  </si>
  <si>
    <t>IPG</t>
  </si>
  <si>
    <t>UVV</t>
  </si>
  <si>
    <t>FTS</t>
  </si>
  <si>
    <t>UHT</t>
  </si>
  <si>
    <t>SWKS</t>
  </si>
  <si>
    <t>SXT</t>
  </si>
  <si>
    <t>EPD</t>
  </si>
  <si>
    <t>CMCSA</t>
  </si>
  <si>
    <t>ICE</t>
  </si>
  <si>
    <t>INGR</t>
  </si>
  <si>
    <t>AUBN</t>
  </si>
  <si>
    <t>K</t>
  </si>
  <si>
    <t>DTE</t>
  </si>
  <si>
    <t>NRG</t>
  </si>
  <si>
    <t>AXP</t>
  </si>
  <si>
    <t>CBU</t>
  </si>
  <si>
    <t>ETR</t>
  </si>
  <si>
    <t>AMX</t>
  </si>
  <si>
    <t>AMGN</t>
  </si>
  <si>
    <t>NDAQ</t>
  </si>
  <si>
    <t>CTSH</t>
  </si>
  <si>
    <t>DPZ</t>
  </si>
  <si>
    <t>PNGAY</t>
  </si>
  <si>
    <t>MDLZ</t>
  </si>
  <si>
    <t>LMT</t>
  </si>
  <si>
    <t>AVNT</t>
  </si>
  <si>
    <t>SUN</t>
  </si>
  <si>
    <t>GWLIF</t>
  </si>
  <si>
    <t>EMN</t>
  </si>
  <si>
    <t>NVS</t>
  </si>
  <si>
    <t>CSCO</t>
  </si>
  <si>
    <t>FDX</t>
  </si>
  <si>
    <t>WTRG</t>
  </si>
  <si>
    <t>CLX</t>
  </si>
  <si>
    <t>FLIC</t>
  </si>
  <si>
    <t>GEF</t>
  </si>
  <si>
    <t>RHI</t>
  </si>
  <si>
    <t>LAD</t>
  </si>
  <si>
    <t>EQIX</t>
  </si>
  <si>
    <t>MMP</t>
  </si>
  <si>
    <t>CBOE</t>
  </si>
  <si>
    <t>XEL</t>
  </si>
  <si>
    <t>TSCO</t>
  </si>
  <si>
    <t>MCO</t>
  </si>
  <si>
    <t>RBA</t>
  </si>
  <si>
    <t>ATRI</t>
  </si>
  <si>
    <t>KMB</t>
  </si>
  <si>
    <t>AWK</t>
  </si>
  <si>
    <t>BBY</t>
  </si>
  <si>
    <t>SJM</t>
  </si>
  <si>
    <t>TXN</t>
  </si>
  <si>
    <t>HD</t>
  </si>
  <si>
    <t>UNP</t>
  </si>
  <si>
    <t>HRB</t>
  </si>
  <si>
    <t>HON</t>
  </si>
  <si>
    <t>RSG</t>
  </si>
  <si>
    <t>RGLD</t>
  </si>
  <si>
    <t>TTE</t>
  </si>
  <si>
    <t>BR</t>
  </si>
  <si>
    <t>AAP</t>
  </si>
  <si>
    <t>RELX</t>
  </si>
  <si>
    <t>XYL</t>
  </si>
  <si>
    <t>LRLCF</t>
  </si>
  <si>
    <t>APH</t>
  </si>
  <si>
    <t>WHR</t>
  </si>
  <si>
    <t>HII</t>
  </si>
  <si>
    <t>WM</t>
  </si>
  <si>
    <t>PNM</t>
  </si>
  <si>
    <t>ARTNA</t>
  </si>
  <si>
    <t>UMBF</t>
  </si>
  <si>
    <t>EIX</t>
  </si>
  <si>
    <t>BAH</t>
  </si>
  <si>
    <t>ORI</t>
  </si>
  <si>
    <t>TROW</t>
  </si>
  <si>
    <t>WLY</t>
  </si>
  <si>
    <t>PEP</t>
  </si>
  <si>
    <t>FAST</t>
  </si>
  <si>
    <t>CMS</t>
  </si>
  <si>
    <t>GILD</t>
  </si>
  <si>
    <t>MKC</t>
  </si>
  <si>
    <t>HSY</t>
  </si>
  <si>
    <t>MURGF</t>
  </si>
  <si>
    <t>SAP</t>
  </si>
  <si>
    <t>ZTS</t>
  </si>
  <si>
    <t>SNA</t>
  </si>
  <si>
    <t>ROK</t>
  </si>
  <si>
    <t>MRK</t>
  </si>
  <si>
    <t>ED</t>
  </si>
  <si>
    <t>YORW</t>
  </si>
  <si>
    <t>TRI</t>
  </si>
  <si>
    <t>TMP</t>
  </si>
  <si>
    <t>IBM</t>
  </si>
  <si>
    <t>CARR</t>
  </si>
  <si>
    <t>CPK</t>
  </si>
  <si>
    <t>OTIS</t>
  </si>
  <si>
    <t>BALL</t>
  </si>
  <si>
    <t>FNV</t>
  </si>
  <si>
    <t>APD</t>
  </si>
  <si>
    <t>PSX</t>
  </si>
  <si>
    <t>NVO</t>
  </si>
  <si>
    <t>MWA</t>
  </si>
  <si>
    <t>TT</t>
  </si>
  <si>
    <t>NC</t>
  </si>
  <si>
    <t>IMO</t>
  </si>
  <si>
    <t>FMS</t>
  </si>
  <si>
    <t>CHRW</t>
  </si>
  <si>
    <t>ERIE</t>
  </si>
  <si>
    <t>EVR</t>
  </si>
  <si>
    <t>VRSK</t>
  </si>
  <si>
    <t>CEG</t>
  </si>
  <si>
    <t>INTC</t>
  </si>
  <si>
    <t>LLY</t>
  </si>
  <si>
    <t>OPI</t>
  </si>
  <si>
    <t>VFC</t>
  </si>
  <si>
    <t>LNC</t>
  </si>
  <si>
    <t>YUMC</t>
  </si>
  <si>
    <t>EOG</t>
  </si>
  <si>
    <t>ASML</t>
  </si>
  <si>
    <t>NEP</t>
  </si>
  <si>
    <t>DOX</t>
  </si>
  <si>
    <t>WAFD</t>
  </si>
  <si>
    <t>ZION</t>
  </si>
  <si>
    <t>HASI</t>
  </si>
  <si>
    <t>MGA</t>
  </si>
  <si>
    <t>EQH</t>
  </si>
  <si>
    <t>BAC</t>
  </si>
  <si>
    <t>EVRG</t>
  </si>
  <si>
    <t>FMBH</t>
  </si>
  <si>
    <t>BK</t>
  </si>
  <si>
    <t>CFFI</t>
  </si>
  <si>
    <t>HIG</t>
  </si>
  <si>
    <t>STT</t>
  </si>
  <si>
    <t>BNS</t>
  </si>
  <si>
    <t>RGCO</t>
  </si>
  <si>
    <t>IBOC</t>
  </si>
  <si>
    <t>CCI</t>
  </si>
  <si>
    <t>HOMB</t>
  </si>
  <si>
    <t>ALE</t>
  </si>
  <si>
    <t>AMT</t>
  </si>
  <si>
    <t>SNY</t>
  </si>
  <si>
    <t>HOG</t>
  </si>
  <si>
    <t>ILPT</t>
  </si>
  <si>
    <t>DFS</t>
  </si>
  <si>
    <t>TRN</t>
  </si>
  <si>
    <t>GROW</t>
  </si>
  <si>
    <t>POR</t>
  </si>
  <si>
    <t>SYBT</t>
  </si>
  <si>
    <t>M</t>
  </si>
  <si>
    <t>SR</t>
  </si>
  <si>
    <t>BTI</t>
  </si>
  <si>
    <t>GEL</t>
  </si>
  <si>
    <t>PSA</t>
  </si>
  <si>
    <t>NWE</t>
  </si>
  <si>
    <t>WOR</t>
  </si>
  <si>
    <t>MCHP</t>
  </si>
  <si>
    <t>GIS</t>
  </si>
  <si>
    <t>TS</t>
  </si>
  <si>
    <t>TRSWF</t>
  </si>
  <si>
    <t>CPB</t>
  </si>
  <si>
    <t>WPC</t>
  </si>
  <si>
    <t>O</t>
  </si>
  <si>
    <t>CUBE</t>
  </si>
  <si>
    <t>BMRC</t>
  </si>
  <si>
    <t>UPS</t>
  </si>
  <si>
    <t>RGA</t>
  </si>
  <si>
    <t>SAN</t>
  </si>
  <si>
    <t>SKM</t>
  </si>
  <si>
    <t>SBUX</t>
  </si>
  <si>
    <t>BC</t>
  </si>
  <si>
    <t>IEX</t>
  </si>
  <si>
    <t>MA</t>
  </si>
  <si>
    <t>PAYX</t>
  </si>
  <si>
    <t>MPLX</t>
  </si>
  <si>
    <t>OSK</t>
  </si>
  <si>
    <t>OTEX</t>
  </si>
  <si>
    <t>WGO</t>
  </si>
  <si>
    <t>PM</t>
  </si>
  <si>
    <t>RPRX</t>
  </si>
  <si>
    <t>TKR</t>
  </si>
  <si>
    <t>VST</t>
  </si>
  <si>
    <t>WU</t>
  </si>
  <si>
    <t>WEC</t>
  </si>
  <si>
    <t>FLO</t>
  </si>
  <si>
    <t>SYF</t>
  </si>
  <si>
    <t>OGS</t>
  </si>
  <si>
    <t>UL</t>
  </si>
  <si>
    <t>MSM</t>
  </si>
  <si>
    <t>AON</t>
  </si>
  <si>
    <t>OGE</t>
  </si>
  <si>
    <t>IDA</t>
  </si>
  <si>
    <t>PCAR</t>
  </si>
  <si>
    <t>KKR</t>
  </si>
  <si>
    <t>AGM</t>
  </si>
  <si>
    <t>LEN</t>
  </si>
  <si>
    <t>DGICA</t>
  </si>
  <si>
    <t>DLR</t>
  </si>
  <si>
    <t>PFG</t>
  </si>
  <si>
    <t>TEL</t>
  </si>
  <si>
    <t>SXI</t>
  </si>
  <si>
    <t>NXST</t>
  </si>
  <si>
    <t>HNI</t>
  </si>
  <si>
    <t>OKE</t>
  </si>
  <si>
    <t>CF</t>
  </si>
  <si>
    <t>LEG</t>
  </si>
  <si>
    <t>HPQ</t>
  </si>
  <si>
    <t>ROST</t>
  </si>
  <si>
    <t>AVA</t>
  </si>
  <si>
    <t>ACI</t>
  </si>
  <si>
    <t>TDS</t>
  </si>
  <si>
    <t>PNW</t>
  </si>
  <si>
    <t>CE</t>
  </si>
  <si>
    <t>KNOP</t>
  </si>
  <si>
    <t>STN</t>
  </si>
  <si>
    <t>DDS</t>
  </si>
  <si>
    <t>R</t>
  </si>
  <si>
    <t>NAVI</t>
  </si>
  <si>
    <t>AVT</t>
  </si>
  <si>
    <t>TRTN</t>
  </si>
  <si>
    <t>UBS</t>
  </si>
  <si>
    <t>OLN</t>
  </si>
  <si>
    <t>APOG</t>
  </si>
  <si>
    <t>PACW</t>
  </si>
  <si>
    <t>DUK</t>
  </si>
  <si>
    <t>HAL</t>
  </si>
  <si>
    <t>SAXPY</t>
  </si>
  <si>
    <t>SO</t>
  </si>
  <si>
    <t>STZ</t>
  </si>
  <si>
    <t>EQNR</t>
  </si>
  <si>
    <t>MMC</t>
  </si>
  <si>
    <t>DHI</t>
  </si>
  <si>
    <t>POOL</t>
  </si>
  <si>
    <t>BWA</t>
  </si>
  <si>
    <t>JPM</t>
  </si>
  <si>
    <t>BUD</t>
  </si>
  <si>
    <t>LII</t>
  </si>
  <si>
    <t>JBL</t>
  </si>
  <si>
    <t>MAR</t>
  </si>
  <si>
    <t>DLB</t>
  </si>
  <si>
    <t>PHM</t>
  </si>
  <si>
    <t>TRGP</t>
  </si>
  <si>
    <t>HPE</t>
  </si>
  <si>
    <t>HMC</t>
  </si>
  <si>
    <t>KLAC</t>
  </si>
  <si>
    <t>NSRGY</t>
  </si>
  <si>
    <t>DGX</t>
  </si>
  <si>
    <t>PEG</t>
  </si>
  <si>
    <t>SWX</t>
  </si>
  <si>
    <t>TM</t>
  </si>
  <si>
    <t>PGR</t>
  </si>
  <si>
    <t>INFY</t>
  </si>
  <si>
    <t>THO</t>
  </si>
  <si>
    <t>KVUE</t>
  </si>
  <si>
    <t>ERF</t>
  </si>
  <si>
    <t>GE</t>
  </si>
  <si>
    <t>HP</t>
  </si>
  <si>
    <t>BG</t>
  </si>
  <si>
    <t>ABBNY</t>
  </si>
  <si>
    <t>PGRE</t>
  </si>
  <si>
    <t>MLM</t>
  </si>
  <si>
    <t>ESRT</t>
  </si>
  <si>
    <t>ODC</t>
  </si>
  <si>
    <t>BBD</t>
  </si>
  <si>
    <t>BAM</t>
  </si>
  <si>
    <t>VNO</t>
  </si>
  <si>
    <t>LRCX</t>
  </si>
  <si>
    <t>CTRA</t>
  </si>
  <si>
    <t>CWH</t>
  </si>
  <si>
    <t>DINO</t>
  </si>
  <si>
    <t>FANG</t>
  </si>
  <si>
    <t>RS</t>
  </si>
  <si>
    <t>COLD</t>
  </si>
  <si>
    <t>NEU</t>
  </si>
  <si>
    <t>MU</t>
  </si>
  <si>
    <t>COF</t>
  </si>
  <si>
    <t>APA</t>
  </si>
  <si>
    <t>PPL</t>
  </si>
  <si>
    <t>SONY</t>
  </si>
  <si>
    <t>VMC</t>
  </si>
  <si>
    <t>COP</t>
  </si>
  <si>
    <t>FCX</t>
  </si>
  <si>
    <t>MFGP</t>
  </si>
  <si>
    <t>STLD</t>
  </si>
  <si>
    <t>AGO</t>
  </si>
  <si>
    <t>DVN</t>
  </si>
  <si>
    <t>OXY</t>
  </si>
  <si>
    <t>MPC</t>
  </si>
  <si>
    <t>KEY</t>
  </si>
  <si>
    <t>DEI</t>
  </si>
  <si>
    <t>HSBC</t>
  </si>
  <si>
    <t>TPR</t>
  </si>
  <si>
    <t>FMAO</t>
  </si>
  <si>
    <t>PDM</t>
  </si>
  <si>
    <t>TFC</t>
  </si>
  <si>
    <t>SAFE</t>
  </si>
  <si>
    <t>JACK</t>
  </si>
  <si>
    <t>FIS</t>
  </si>
  <si>
    <t>FULT</t>
  </si>
  <si>
    <t>NRIM</t>
  </si>
  <si>
    <t>IRT</t>
  </si>
  <si>
    <t>HIW</t>
  </si>
  <si>
    <t>DEA</t>
  </si>
  <si>
    <t>PNC</t>
  </si>
  <si>
    <t>CUZ</t>
  </si>
  <si>
    <t>PINC</t>
  </si>
  <si>
    <t>MKTX</t>
  </si>
  <si>
    <t>MPW</t>
  </si>
  <si>
    <t>ALV</t>
  </si>
  <si>
    <t>HBAN</t>
  </si>
  <si>
    <t>CAG</t>
  </si>
  <si>
    <t>ARLP</t>
  </si>
  <si>
    <t>AROW</t>
  </si>
  <si>
    <t>UNIT</t>
  </si>
  <si>
    <t>GSK</t>
  </si>
  <si>
    <t>ARE</t>
  </si>
  <si>
    <t>ASB</t>
  </si>
  <si>
    <t>SNV</t>
  </si>
  <si>
    <t>AES</t>
  </si>
  <si>
    <t>RF</t>
  </si>
  <si>
    <t>C</t>
  </si>
  <si>
    <t>ITUB</t>
  </si>
  <si>
    <t>NYCB</t>
  </si>
  <si>
    <t>AY</t>
  </si>
  <si>
    <t>WPP</t>
  </si>
  <si>
    <t>MAA</t>
  </si>
  <si>
    <t>NXRT</t>
  </si>
  <si>
    <t>CAKE</t>
  </si>
  <si>
    <t>TSM</t>
  </si>
  <si>
    <t>USB</t>
  </si>
  <si>
    <t>PAA</t>
  </si>
  <si>
    <t>CFG</t>
  </si>
  <si>
    <t>AEE</t>
  </si>
  <si>
    <t>JWN</t>
  </si>
  <si>
    <t>CMA</t>
  </si>
  <si>
    <t>CIO</t>
  </si>
  <si>
    <t>JCI</t>
  </si>
  <si>
    <t>DTEGY</t>
  </si>
  <si>
    <t>GLW</t>
  </si>
  <si>
    <t>MAC</t>
  </si>
  <si>
    <t>MCY</t>
  </si>
  <si>
    <t>ETD</t>
  </si>
  <si>
    <t>MFC</t>
  </si>
  <si>
    <t>JNPR</t>
  </si>
  <si>
    <t>MBGAF</t>
  </si>
  <si>
    <t>KRC</t>
  </si>
  <si>
    <t>NGG</t>
  </si>
  <si>
    <t>NSP</t>
  </si>
  <si>
    <t>DKS</t>
  </si>
  <si>
    <t>BMWYY</t>
  </si>
  <si>
    <t>NHI</t>
  </si>
  <si>
    <t>FITB</t>
  </si>
  <si>
    <t>ING</t>
  </si>
  <si>
    <t>CC</t>
  </si>
  <si>
    <t>FFIN</t>
  </si>
  <si>
    <t>VTRS</t>
  </si>
  <si>
    <t>EMRAF</t>
  </si>
  <si>
    <t>PFE</t>
  </si>
  <si>
    <t>OFC</t>
  </si>
  <si>
    <t>BAYRY</t>
  </si>
  <si>
    <t>CPT</t>
  </si>
  <si>
    <t>NWL</t>
  </si>
  <si>
    <t>DOC</t>
  </si>
  <si>
    <t>AKR</t>
  </si>
  <si>
    <t>UE</t>
  </si>
  <si>
    <t>WFC</t>
  </si>
  <si>
    <t>WSBC</t>
  </si>
  <si>
    <t>PSTL</t>
  </si>
  <si>
    <t>KTB</t>
  </si>
  <si>
    <t>KRG</t>
  </si>
  <si>
    <t>HUN</t>
  </si>
  <si>
    <t>NTAP</t>
  </si>
  <si>
    <t>KMI</t>
  </si>
  <si>
    <t>TRST</t>
  </si>
  <si>
    <t>RL</t>
  </si>
  <si>
    <t>CNA</t>
  </si>
  <si>
    <t>CRI</t>
  </si>
  <si>
    <t>IMBBY</t>
  </si>
  <si>
    <t>PLYM</t>
  </si>
  <si>
    <t>WEYS</t>
  </si>
  <si>
    <t>GNTX</t>
  </si>
  <si>
    <t>AVY</t>
  </si>
  <si>
    <t>F</t>
  </si>
  <si>
    <t>STAG</t>
  </si>
  <si>
    <t>MAN</t>
  </si>
  <si>
    <t>ALL</t>
  </si>
  <si>
    <t>WRK</t>
  </si>
  <si>
    <t>ET</t>
  </si>
  <si>
    <t>EGP</t>
  </si>
  <si>
    <t>GOLD</t>
  </si>
  <si>
    <t>MS</t>
  </si>
  <si>
    <t>TJX</t>
  </si>
  <si>
    <t>CWEN</t>
  </si>
  <si>
    <t>DD</t>
  </si>
  <si>
    <t>WSR</t>
  </si>
  <si>
    <t>BRX</t>
  </si>
  <si>
    <t>MDU</t>
  </si>
  <si>
    <t>LAZ</t>
  </si>
  <si>
    <t>LYB</t>
  </si>
  <si>
    <t>IVZ</t>
  </si>
  <si>
    <t>APO</t>
  </si>
  <si>
    <t>WMB</t>
  </si>
  <si>
    <t>PRU</t>
  </si>
  <si>
    <t>ELS</t>
  </si>
  <si>
    <t>MPWR</t>
  </si>
  <si>
    <t>GRMN</t>
  </si>
  <si>
    <t>NEWT</t>
  </si>
  <si>
    <t>PLD</t>
  </si>
  <si>
    <t>FNF</t>
  </si>
  <si>
    <t>REG</t>
  </si>
  <si>
    <t>E</t>
  </si>
  <si>
    <t>AMH</t>
  </si>
  <si>
    <t>TAP</t>
  </si>
  <si>
    <t>WY</t>
  </si>
  <si>
    <t>ALLY</t>
  </si>
  <si>
    <t>BP</t>
  </si>
  <si>
    <t>RPT</t>
  </si>
  <si>
    <t>EXPO</t>
  </si>
  <si>
    <t>FR</t>
  </si>
  <si>
    <t>SU</t>
  </si>
  <si>
    <t>SCHL</t>
  </si>
  <si>
    <t>IFF</t>
  </si>
  <si>
    <t>VALE</t>
  </si>
  <si>
    <t>NTR</t>
  </si>
  <si>
    <t>PKG</t>
  </si>
  <si>
    <t>CNP</t>
  </si>
  <si>
    <t>CMP</t>
  </si>
  <si>
    <t>SSREY</t>
  </si>
  <si>
    <t>SBS</t>
  </si>
  <si>
    <t>JJSF</t>
  </si>
  <si>
    <t>SKT</t>
  </si>
  <si>
    <t>FUN</t>
  </si>
  <si>
    <t>HEP</t>
  </si>
  <si>
    <t>FRFHF</t>
  </si>
  <si>
    <t>SHEL</t>
  </si>
  <si>
    <t>PSO</t>
  </si>
  <si>
    <t>GS</t>
  </si>
  <si>
    <t>BKR</t>
  </si>
  <si>
    <t>CME</t>
  </si>
  <si>
    <t>FAF</t>
  </si>
  <si>
    <t>KLIC</t>
  </si>
  <si>
    <t>HMN</t>
  </si>
  <si>
    <t>KALU</t>
  </si>
  <si>
    <t>RACE</t>
  </si>
  <si>
    <t>SLB</t>
  </si>
  <si>
    <t>AVGO</t>
  </si>
  <si>
    <t>ACN</t>
  </si>
  <si>
    <t>PXD</t>
  </si>
  <si>
    <t>SMFG</t>
  </si>
  <si>
    <t>PKX</t>
  </si>
  <si>
    <t>PECO</t>
  </si>
  <si>
    <t>WDFC</t>
  </si>
  <si>
    <t>ETN</t>
  </si>
  <si>
    <t>AZN</t>
  </si>
  <si>
    <t>CWCO</t>
  </si>
  <si>
    <t>CNQ</t>
  </si>
  <si>
    <t>WPM</t>
  </si>
  <si>
    <t>LOGI</t>
  </si>
  <si>
    <t>MLR</t>
  </si>
  <si>
    <t>VLO</t>
  </si>
  <si>
    <t>HLI</t>
  </si>
  <si>
    <t>BDN</t>
  </si>
  <si>
    <t>OCSL</t>
  </si>
  <si>
    <t>PBR</t>
  </si>
  <si>
    <t>MED</t>
  </si>
  <si>
    <t>AAT</t>
  </si>
  <si>
    <t>ARR</t>
  </si>
  <si>
    <t>UMH</t>
  </si>
  <si>
    <t>CLPR</t>
  </si>
  <si>
    <t>WEN</t>
  </si>
  <si>
    <t>IEP</t>
  </si>
  <si>
    <t>SLG</t>
  </si>
  <si>
    <t>TPVG</t>
  </si>
  <si>
    <t>HR</t>
  </si>
  <si>
    <t>ERIC</t>
  </si>
  <si>
    <t>BGS</t>
  </si>
  <si>
    <t>PEAK</t>
  </si>
  <si>
    <t>TRP</t>
  </si>
  <si>
    <t>JHG</t>
  </si>
  <si>
    <t>BEP</t>
  </si>
  <si>
    <t>GNL</t>
  </si>
  <si>
    <t>KREF</t>
  </si>
  <si>
    <t>WASH</t>
  </si>
  <si>
    <t>MRCC</t>
  </si>
  <si>
    <t>CBRL</t>
  </si>
  <si>
    <t>LTC</t>
  </si>
  <si>
    <t>AGNC</t>
  </si>
  <si>
    <t>TWO</t>
  </si>
  <si>
    <t>NSA</t>
  </si>
  <si>
    <t>ABEV</t>
  </si>
  <si>
    <t>VGR</t>
  </si>
  <si>
    <t>HRZN</t>
  </si>
  <si>
    <t>EARN</t>
  </si>
  <si>
    <t>GLAD</t>
  </si>
  <si>
    <t>CTO</t>
  </si>
  <si>
    <t>ROL</t>
  </si>
  <si>
    <t>WSO</t>
  </si>
  <si>
    <t>EPR</t>
  </si>
  <si>
    <t>OLP</t>
  </si>
  <si>
    <t>CHCT</t>
  </si>
  <si>
    <t>CIM</t>
  </si>
  <si>
    <t>UDR</t>
  </si>
  <si>
    <t>EFC</t>
  </si>
  <si>
    <t>HAS</t>
  </si>
  <si>
    <t>ORC</t>
  </si>
  <si>
    <t>OXSQ</t>
  </si>
  <si>
    <t>GSBD</t>
  </si>
  <si>
    <t>SFL</t>
  </si>
  <si>
    <t>NWBI</t>
  </si>
  <si>
    <t>AB</t>
  </si>
  <si>
    <t>ADC</t>
  </si>
  <si>
    <t>PSEC</t>
  </si>
  <si>
    <t>GLPI</t>
  </si>
  <si>
    <t>IIPR</t>
  </si>
  <si>
    <t>EQR</t>
  </si>
  <si>
    <t>AMCR</t>
  </si>
  <si>
    <t>PHG</t>
  </si>
  <si>
    <t>XRX</t>
  </si>
  <si>
    <t>NTST</t>
  </si>
  <si>
    <t>FE</t>
  </si>
  <si>
    <t>VICI</t>
  </si>
  <si>
    <t>AQN</t>
  </si>
  <si>
    <t>EPRT</t>
  </si>
  <si>
    <t>ARI</t>
  </si>
  <si>
    <t>DRETF</t>
  </si>
  <si>
    <t>ACRE</t>
  </si>
  <si>
    <t>SRC</t>
  </si>
  <si>
    <t>VTR</t>
  </si>
  <si>
    <t>NLY</t>
  </si>
  <si>
    <t>CTRE</t>
  </si>
  <si>
    <t>SMG</t>
  </si>
  <si>
    <t>OWL</t>
  </si>
  <si>
    <t>EXR</t>
  </si>
  <si>
    <t>SBRA</t>
  </si>
  <si>
    <t>MAIN</t>
  </si>
  <si>
    <t>FCPT</t>
  </si>
  <si>
    <t>TU</t>
  </si>
  <si>
    <t>EBF</t>
  </si>
  <si>
    <t>APLE</t>
  </si>
  <si>
    <t>KSS</t>
  </si>
  <si>
    <t>SBLK</t>
  </si>
  <si>
    <t>SCM</t>
  </si>
  <si>
    <t>SPG</t>
  </si>
  <si>
    <t>BCE</t>
  </si>
  <si>
    <t>LADR</t>
  </si>
  <si>
    <t>BXP</t>
  </si>
  <si>
    <t>PMT</t>
  </si>
  <si>
    <t>NMFC</t>
  </si>
  <si>
    <t>OBDC</t>
  </si>
  <si>
    <t>GMRE</t>
  </si>
  <si>
    <t>ORAN</t>
  </si>
  <si>
    <t>GECC</t>
  </si>
  <si>
    <t>GAIN</t>
  </si>
  <si>
    <t>OHI</t>
  </si>
  <si>
    <t>DRI</t>
  </si>
  <si>
    <t>QSR</t>
  </si>
  <si>
    <t>PFLT</t>
  </si>
  <si>
    <t>PINE</t>
  </si>
  <si>
    <t>CSWC</t>
  </si>
  <si>
    <t>SACH</t>
  </si>
  <si>
    <t>SJT</t>
  </si>
  <si>
    <t>LXP</t>
  </si>
  <si>
    <t>ARCC</t>
  </si>
  <si>
    <t>RITM</t>
  </si>
  <si>
    <t>GBDC</t>
  </si>
  <si>
    <t>D</t>
  </si>
  <si>
    <t>IP</t>
  </si>
  <si>
    <t>LAMR</t>
  </si>
  <si>
    <t>MDC</t>
  </si>
  <si>
    <t>ATLO</t>
  </si>
  <si>
    <t>FDUS</t>
  </si>
  <si>
    <t>PVL</t>
  </si>
  <si>
    <t>GOOD</t>
  </si>
  <si>
    <t>PPRQF</t>
  </si>
  <si>
    <t>KHC</t>
  </si>
  <si>
    <t>LWSCF</t>
  </si>
  <si>
    <t>EIFZF</t>
  </si>
  <si>
    <t>DREUF</t>
  </si>
  <si>
    <t>DANOY</t>
  </si>
  <si>
    <t>CCOI</t>
  </si>
  <si>
    <t>NEM</t>
  </si>
  <si>
    <t>TSLX</t>
  </si>
  <si>
    <t>STWD</t>
  </si>
  <si>
    <t>SLRC</t>
  </si>
  <si>
    <t>BFS</t>
  </si>
  <si>
    <t>AVB</t>
  </si>
  <si>
    <t>AM</t>
  </si>
  <si>
    <t>RIO</t>
  </si>
  <si>
    <t>ABR</t>
  </si>
  <si>
    <t>VOD</t>
  </si>
  <si>
    <t>FTCO</t>
  </si>
  <si>
    <t>SGU</t>
  </si>
  <si>
    <t>CNS</t>
  </si>
  <si>
    <t>APAM</t>
  </si>
  <si>
    <t>LAND</t>
  </si>
  <si>
    <t>WFG</t>
  </si>
  <si>
    <t>USAC</t>
  </si>
  <si>
    <t>NHC</t>
  </si>
  <si>
    <t>CQP</t>
  </si>
  <si>
    <t>HTGC</t>
  </si>
  <si>
    <t>BXMT</t>
  </si>
  <si>
    <t>OMF</t>
  </si>
  <si>
    <t>INVH</t>
  </si>
  <si>
    <t>SPH</t>
  </si>
  <si>
    <t>SUUIF</t>
  </si>
  <si>
    <t>AEG</t>
  </si>
  <si>
    <t>IPAR</t>
  </si>
  <si>
    <t>PBA</t>
  </si>
  <si>
    <t>SCCO</t>
  </si>
  <si>
    <t>KIM</t>
  </si>
  <si>
    <t>KRO</t>
  </si>
  <si>
    <t>MDV</t>
  </si>
  <si>
    <t>BX</t>
  </si>
  <si>
    <t>CODI</t>
  </si>
  <si>
    <t>TEF</t>
  </si>
  <si>
    <t>STX</t>
  </si>
  <si>
    <t>BHP</t>
  </si>
  <si>
    <t>GWRS</t>
  </si>
  <si>
    <t>PRT</t>
  </si>
  <si>
    <t>GPS</t>
  </si>
  <si>
    <t>WELL</t>
  </si>
  <si>
    <t>DX</t>
  </si>
  <si>
    <t>DOW</t>
  </si>
  <si>
    <t>RTL</t>
  </si>
  <si>
    <t>IRM</t>
  </si>
  <si>
    <t>GIPR</t>
  </si>
  <si>
    <t>EXC</t>
  </si>
  <si>
    <t>NYMT</t>
  </si>
  <si>
    <t>SBR</t>
  </si>
  <si>
    <t>THG</t>
  </si>
  <si>
    <t>CRT</t>
  </si>
  <si>
    <t>RYN</t>
  </si>
  <si>
    <t>PETS</t>
  </si>
  <si>
    <t>PARA</t>
  </si>
  <si>
    <t>PBT</t>
  </si>
  <si>
    <t>HBI</t>
  </si>
  <si>
    <t>HGTXU</t>
  </si>
  <si>
    <t>ZIM</t>
  </si>
  <si>
    <t>Buy</t>
  </si>
  <si>
    <t>Hold</t>
  </si>
  <si>
    <t>Sell</t>
  </si>
  <si>
    <t>A</t>
  </si>
  <si>
    <t>B</t>
  </si>
  <si>
    <t>N/A</t>
  </si>
  <si>
    <t>2023-06-15</t>
  </si>
  <si>
    <t>2023-08-18</t>
  </si>
  <si>
    <t>2023-08-09</t>
  </si>
  <si>
    <t>2023-07-06</t>
  </si>
  <si>
    <t>2023-07-13</t>
  </si>
  <si>
    <t>2023-06-23</t>
  </si>
  <si>
    <t>2023-08-04</t>
  </si>
  <si>
    <t>2023-06-29</t>
  </si>
  <si>
    <t>2023-06-14</t>
  </si>
  <si>
    <t>2023-08-22</t>
  </si>
  <si>
    <t>2023-06-20</t>
  </si>
  <si>
    <t>2023-08-10</t>
  </si>
  <si>
    <t>2023-08-31</t>
  </si>
  <si>
    <t>2023-08-14</t>
  </si>
  <si>
    <t>2023-07-28</t>
  </si>
  <si>
    <t>2023-07-05</t>
  </si>
  <si>
    <t>2023-09-01</t>
  </si>
  <si>
    <t>2023-07-07</t>
  </si>
  <si>
    <t>2023-08-24</t>
  </si>
  <si>
    <t>2023-08-15</t>
  </si>
  <si>
    <t>2023-09-07</t>
  </si>
  <si>
    <t>2023-08-30</t>
  </si>
  <si>
    <t>2023-06-08</t>
  </si>
  <si>
    <t>2023-08-25</t>
  </si>
  <si>
    <t>2023-03-16</t>
  </si>
  <si>
    <t>2023-08-29</t>
  </si>
  <si>
    <t>2022-12-23</t>
  </si>
  <si>
    <t>2023-05-18</t>
  </si>
  <si>
    <t>2023-08-17</t>
  </si>
  <si>
    <t>2023-07-25</t>
  </si>
  <si>
    <t>2023-06-22</t>
  </si>
  <si>
    <t>2023-07-20</t>
  </si>
  <si>
    <t>2023-08-16</t>
  </si>
  <si>
    <t>2023-07-27</t>
  </si>
  <si>
    <t>2023-06-30</t>
  </si>
  <si>
    <t>2023-07-14</t>
  </si>
  <si>
    <t>2023-09-05</t>
  </si>
  <si>
    <t>2023-07-17</t>
  </si>
  <si>
    <t>2023-06-09</t>
  </si>
  <si>
    <t>2023-06-21</t>
  </si>
  <si>
    <t>2023-07-03</t>
  </si>
  <si>
    <t>2023-07-19</t>
  </si>
  <si>
    <t>2023-05-30</t>
  </si>
  <si>
    <t>2023-08-11</t>
  </si>
  <si>
    <t>2022-11-25</t>
  </si>
  <si>
    <t>2023-08-21</t>
  </si>
  <si>
    <t>2023-08-07</t>
  </si>
  <si>
    <t>2023-06-16</t>
  </si>
  <si>
    <t>2023-08-02</t>
  </si>
  <si>
    <t>2023-07-11</t>
  </si>
  <si>
    <t>2023-08-08</t>
  </si>
  <si>
    <t>2023-08-03</t>
  </si>
  <si>
    <t>2023-09-06</t>
  </si>
  <si>
    <t>2023-07-31</t>
  </si>
  <si>
    <t>2023-07-26</t>
  </si>
  <si>
    <t>2023-08-23</t>
  </si>
  <si>
    <t>2023-05-31</t>
  </si>
  <si>
    <t>2023-05-17</t>
  </si>
  <si>
    <t>2023-09-08</t>
  </si>
  <si>
    <t>2023-06-27</t>
  </si>
  <si>
    <t>2023-07-10</t>
  </si>
  <si>
    <t>2023-02-10</t>
  </si>
  <si>
    <t>2023-08-28</t>
  </si>
  <si>
    <t>2023-06-13</t>
  </si>
  <si>
    <t>2023-03-09</t>
  </si>
  <si>
    <t>2023-04-26</t>
  </si>
  <si>
    <t>2023-05-08</t>
  </si>
  <si>
    <t>2023-05-12</t>
  </si>
  <si>
    <t>2023-09-13</t>
  </si>
  <si>
    <t>2023-07-21</t>
  </si>
  <si>
    <t>2023-08-01</t>
  </si>
  <si>
    <t>2023-09-11</t>
  </si>
  <si>
    <t>2023-09-12</t>
  </si>
  <si>
    <t>2023-05-22</t>
  </si>
  <si>
    <t>2023-04-27</t>
  </si>
  <si>
    <t>2023-04-12</t>
  </si>
  <si>
    <t>2023-05-19</t>
  </si>
  <si>
    <t>2023-05-03</t>
  </si>
  <si>
    <t>2023-03-29</t>
  </si>
  <si>
    <t>2023-04-24</t>
  </si>
  <si>
    <t>2023-03-30</t>
  </si>
  <si>
    <t>2023-06-01</t>
  </si>
  <si>
    <t>2023-01-27</t>
  </si>
  <si>
    <t>2022-07-21</t>
  </si>
  <si>
    <t>2023-04-10</t>
  </si>
  <si>
    <t>2023-05-04</t>
  </si>
  <si>
    <t>2022-11-23</t>
  </si>
  <si>
    <t>2023-05-02</t>
  </si>
  <si>
    <t>2023-07-24</t>
  </si>
  <si>
    <t>2023-04-14</t>
  </si>
  <si>
    <t>2023-01-18</t>
  </si>
  <si>
    <t>2023-07-12</t>
  </si>
  <si>
    <t>2022-09-26</t>
  </si>
  <si>
    <t>2023-06-26</t>
  </si>
  <si>
    <t>2022-11-17</t>
  </si>
  <si>
    <t>2022-12-20</t>
  </si>
  <si>
    <t>2023-05-11</t>
  </si>
  <si>
    <t>2023-05-05</t>
  </si>
  <si>
    <t>2022-11-21</t>
  </si>
  <si>
    <t>2023-04-04</t>
  </si>
  <si>
    <t>Stock</t>
  </si>
  <si>
    <t>REIT</t>
  </si>
  <si>
    <t>MLP</t>
  </si>
  <si>
    <t>BDC</t>
  </si>
  <si>
    <t>No</t>
  </si>
  <si>
    <t>Yes</t>
  </si>
  <si>
    <t>Materials</t>
  </si>
  <si>
    <t>Consumer Staples</t>
  </si>
  <si>
    <t>Industrials</t>
  </si>
  <si>
    <t>Consumer Discretionary</t>
  </si>
  <si>
    <t>Health Care</t>
  </si>
  <si>
    <t>Financials</t>
  </si>
  <si>
    <t>Information Technology</t>
  </si>
  <si>
    <t>Communication Services</t>
  </si>
  <si>
    <t>Utilities</t>
  </si>
  <si>
    <t>Real Estate</t>
  </si>
  <si>
    <t>Energy</t>
  </si>
  <si>
    <t>Nathan Parsh</t>
  </si>
  <si>
    <t>Aristofanis Papadatos</t>
  </si>
  <si>
    <t>Patrick Neuwirth</t>
  </si>
  <si>
    <t>Yiannis Zourmpanos</t>
  </si>
  <si>
    <t>Tiago Dias</t>
  </si>
  <si>
    <t>Quinn Mohammed</t>
  </si>
  <si>
    <t>Felix Martinez</t>
  </si>
  <si>
    <t>Jonathan Weber</t>
  </si>
  <si>
    <t>Prakash Kolli</t>
  </si>
  <si>
    <t>Josh Arnold</t>
  </si>
  <si>
    <t>Derek English</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</si>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</sst>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184.18</v>
      </c>
      <c r="F2">
        <v>491</v>
      </c>
      <c r="G2">
        <v>0.3751120162932791</v>
      </c>
      <c r="H2">
        <v>0.008687153871212943</v>
      </c>
      <c r="I2">
        <v>0.2166560069783601</v>
      </c>
      <c r="J2">
        <v>0.05</v>
      </c>
      <c r="K2">
        <v>0.2815396449810834</v>
      </c>
      <c r="L2" t="s">
        <v>901</v>
      </c>
      <c r="M2" t="s">
        <v>580</v>
      </c>
      <c r="N2">
        <v>6.758899082568807</v>
      </c>
      <c r="O2">
        <v>27.25</v>
      </c>
      <c r="P2">
        <v>1.6</v>
      </c>
      <c r="Q2">
        <v>0.05871559633027523</v>
      </c>
      <c r="R2">
        <v>28</v>
      </c>
      <c r="S2">
        <v>0.07528000640556964</v>
      </c>
      <c r="T2" t="s">
        <v>904</v>
      </c>
      <c r="U2">
        <v>-0.3751728569801681</v>
      </c>
      <c r="V2" t="s">
        <v>1004</v>
      </c>
      <c r="W2" t="s">
        <v>1008</v>
      </c>
      <c r="X2" t="s">
        <v>1010</v>
      </c>
      <c r="Y2">
        <v>21632.877971</v>
      </c>
      <c r="Z2" s="2">
        <v>45146</v>
      </c>
      <c r="AA2" t="s">
        <v>1021</v>
      </c>
    </row>
    <row r="3" spans="1:27">
      <c r="A3" s="1" t="s">
        <v>28</v>
      </c>
      <c r="B3">
        <f>HYPERLINK("https://www.suredividend.com/sure-analysis-WBA/","Walgreens Boots Alliance Inc")</f>
        <v>0</v>
      </c>
      <c r="C3" t="s">
        <v>898</v>
      </c>
      <c r="D3">
        <v>30</v>
      </c>
      <c r="E3">
        <v>21.9</v>
      </c>
      <c r="F3">
        <v>40</v>
      </c>
      <c r="G3">
        <v>0.5475</v>
      </c>
      <c r="H3">
        <v>0.08767123287671233</v>
      </c>
      <c r="I3">
        <v>0.1280365595038306</v>
      </c>
      <c r="J3">
        <v>0.05</v>
      </c>
      <c r="K3">
        <v>0.2308878966038641</v>
      </c>
      <c r="L3" t="s">
        <v>901</v>
      </c>
      <c r="M3" t="s">
        <v>901</v>
      </c>
      <c r="N3">
        <v>5.43424317617866</v>
      </c>
      <c r="O3">
        <v>4.03</v>
      </c>
      <c r="P3">
        <v>1.92</v>
      </c>
      <c r="Q3">
        <v>0.4764267990074441</v>
      </c>
      <c r="R3">
        <v>47</v>
      </c>
      <c r="S3">
        <v>0.0403582746309219</v>
      </c>
      <c r="T3" t="s">
        <v>905</v>
      </c>
      <c r="U3">
        <v>-0.371776813011046</v>
      </c>
      <c r="V3" t="s">
        <v>1004</v>
      </c>
      <c r="W3" t="s">
        <v>1008</v>
      </c>
      <c r="X3" t="s">
        <v>1011</v>
      </c>
      <c r="Y3">
        <v>18750.03789</v>
      </c>
      <c r="Z3" s="2">
        <v>45104</v>
      </c>
      <c r="AA3" t="s">
        <v>1022</v>
      </c>
    </row>
    <row r="4" spans="1:27">
      <c r="A4" s="1" t="s">
        <v>29</v>
      </c>
      <c r="B4">
        <f>HYPERLINK("https://www.suredividend.com/sure-analysis-MMM/","3M Co.")</f>
        <v>0</v>
      </c>
      <c r="C4" t="s">
        <v>898</v>
      </c>
      <c r="D4">
        <v>111</v>
      </c>
      <c r="E4">
        <v>101.05</v>
      </c>
      <c r="F4">
        <v>150</v>
      </c>
      <c r="G4">
        <v>0.6736666666666666</v>
      </c>
      <c r="H4">
        <v>0.05937654626422563</v>
      </c>
      <c r="I4">
        <v>0.08220861848338168</v>
      </c>
      <c r="J4">
        <v>0.05</v>
      </c>
      <c r="K4">
        <v>0.1718225880013284</v>
      </c>
      <c r="L4" t="s">
        <v>901</v>
      </c>
      <c r="M4" t="s">
        <v>901</v>
      </c>
      <c r="N4">
        <v>11.4180790960452</v>
      </c>
      <c r="O4">
        <v>8.85</v>
      </c>
      <c r="P4">
        <v>6</v>
      </c>
      <c r="Q4">
        <v>0.6779661016949153</v>
      </c>
      <c r="R4">
        <v>65</v>
      </c>
      <c r="S4">
        <v>0.01986185326095491</v>
      </c>
      <c r="T4" t="s">
        <v>905</v>
      </c>
      <c r="U4">
        <v>-0.08903191363655301</v>
      </c>
      <c r="V4" t="s">
        <v>1004</v>
      </c>
      <c r="W4" t="s">
        <v>1008</v>
      </c>
      <c r="X4" t="s">
        <v>1012</v>
      </c>
      <c r="Y4">
        <v>59151.508799</v>
      </c>
      <c r="Z4" s="2">
        <v>45135</v>
      </c>
      <c r="AA4" t="s">
        <v>1021</v>
      </c>
    </row>
    <row r="5" spans="1:27">
      <c r="A5" s="1" t="s">
        <v>30</v>
      </c>
      <c r="B5">
        <f>HYPERLINK("https://www.suredividend.com/sure-analysis-SON/","Sonoco Products Co.")</f>
        <v>0</v>
      </c>
      <c r="C5" t="s">
        <v>898</v>
      </c>
      <c r="D5">
        <v>60</v>
      </c>
      <c r="E5">
        <v>54.34</v>
      </c>
      <c r="F5">
        <v>84</v>
      </c>
      <c r="G5">
        <v>0.646904761904762</v>
      </c>
      <c r="H5">
        <v>0.03754140596245859</v>
      </c>
      <c r="I5">
        <v>0.0910180366899267</v>
      </c>
      <c r="J5">
        <v>0.05</v>
      </c>
      <c r="K5">
        <v>0.1697951624574934</v>
      </c>
      <c r="L5" t="s">
        <v>901</v>
      </c>
      <c r="M5" t="s">
        <v>901</v>
      </c>
      <c r="N5">
        <v>10.35047619047619</v>
      </c>
      <c r="O5">
        <v>5.25</v>
      </c>
      <c r="P5">
        <v>2.04</v>
      </c>
      <c r="Q5">
        <v>0.3885714285714286</v>
      </c>
      <c r="R5">
        <v>41</v>
      </c>
      <c r="S5">
        <v>0.04970831195077574</v>
      </c>
      <c r="T5" t="s">
        <v>906</v>
      </c>
      <c r="U5">
        <v>-0.140303701360329</v>
      </c>
      <c r="V5" t="s">
        <v>1004</v>
      </c>
      <c r="W5" t="s">
        <v>1008</v>
      </c>
      <c r="X5" t="s">
        <v>1013</v>
      </c>
      <c r="Y5">
        <v>5323.920557</v>
      </c>
      <c r="Z5" s="2">
        <v>45141</v>
      </c>
      <c r="AA5" t="s">
        <v>1021</v>
      </c>
    </row>
    <row r="6" spans="1:27">
      <c r="A6" s="1" t="s">
        <v>31</v>
      </c>
      <c r="B6">
        <f>HYPERLINK("https://www.suredividend.com/sure-analysis-BMY/","Bristol-Myers Squibb Co.")</f>
        <v>0</v>
      </c>
      <c r="C6" t="s">
        <v>898</v>
      </c>
      <c r="D6">
        <v>61</v>
      </c>
      <c r="E6">
        <v>59.65</v>
      </c>
      <c r="F6">
        <v>101</v>
      </c>
      <c r="G6">
        <v>0.5905940594059406</v>
      </c>
      <c r="H6">
        <v>0.03822296730930427</v>
      </c>
      <c r="I6">
        <v>0.1110719540251472</v>
      </c>
      <c r="J6">
        <v>0.03</v>
      </c>
      <c r="K6">
        <v>0.1691681259089708</v>
      </c>
      <c r="L6" t="s">
        <v>901</v>
      </c>
      <c r="M6" t="s">
        <v>901</v>
      </c>
      <c r="N6">
        <v>7.953333333333333</v>
      </c>
      <c r="O6">
        <v>7.5</v>
      </c>
      <c r="P6">
        <v>2.28</v>
      </c>
      <c r="Q6">
        <v>0.304</v>
      </c>
      <c r="R6">
        <v>16</v>
      </c>
      <c r="S6">
        <v>0.05000563166277994</v>
      </c>
      <c r="T6" t="s">
        <v>907</v>
      </c>
      <c r="U6">
        <v>-0.139987579501895</v>
      </c>
      <c r="V6" t="s">
        <v>1004</v>
      </c>
      <c r="W6" t="s">
        <v>1008</v>
      </c>
      <c r="X6" t="s">
        <v>1014</v>
      </c>
      <c r="Y6">
        <v>125847.559961</v>
      </c>
      <c r="Z6" s="2">
        <v>45139</v>
      </c>
      <c r="AA6" t="s">
        <v>1021</v>
      </c>
    </row>
    <row r="7" spans="1:27">
      <c r="A7" s="1" t="s">
        <v>32</v>
      </c>
      <c r="B7">
        <f>HYPERLINK("https://www.suredividend.com/sure-analysis-NWFL/","Norwood Financial Corp.")</f>
        <v>0</v>
      </c>
      <c r="C7" t="s">
        <v>898</v>
      </c>
      <c r="D7">
        <v>32</v>
      </c>
      <c r="E7">
        <v>26.76</v>
      </c>
      <c r="F7">
        <v>35</v>
      </c>
      <c r="G7">
        <v>0.7645714285714286</v>
      </c>
      <c r="H7">
        <v>0.04334828101644245</v>
      </c>
      <c r="I7">
        <v>0.05515530565541416</v>
      </c>
      <c r="J7">
        <v>0.08</v>
      </c>
      <c r="K7">
        <v>0.1679404091866747</v>
      </c>
      <c r="L7" t="s">
        <v>901</v>
      </c>
      <c r="M7" t="s">
        <v>901</v>
      </c>
      <c r="N7">
        <v>7.645714285714286</v>
      </c>
      <c r="O7">
        <v>3.5</v>
      </c>
      <c r="P7">
        <v>1.16</v>
      </c>
      <c r="Q7">
        <v>0.3314285714285714</v>
      </c>
      <c r="R7">
        <v>31</v>
      </c>
      <c r="S7">
        <v>0.0499309672496191</v>
      </c>
      <c r="T7" t="s">
        <v>908</v>
      </c>
      <c r="U7">
        <v>0.089724821420693</v>
      </c>
      <c r="V7" t="s">
        <v>1004</v>
      </c>
      <c r="W7" t="s">
        <v>1008</v>
      </c>
      <c r="X7" t="s">
        <v>1015</v>
      </c>
      <c r="Y7">
        <v>219.24424</v>
      </c>
      <c r="Z7" s="2">
        <v>45138</v>
      </c>
      <c r="AA7" t="s">
        <v>1023</v>
      </c>
    </row>
    <row r="8" spans="1:27">
      <c r="A8" s="1" t="s">
        <v>33</v>
      </c>
      <c r="B8">
        <f>HYPERLINK("https://www.suredividend.com/sure-analysis-WRB/","W.R. Berkley Corp.")</f>
        <v>0</v>
      </c>
      <c r="C8" t="s">
        <v>898</v>
      </c>
      <c r="D8">
        <v>61</v>
      </c>
      <c r="E8">
        <v>63.16</v>
      </c>
      <c r="F8">
        <v>76</v>
      </c>
      <c r="G8">
        <v>0.8310526315789474</v>
      </c>
      <c r="H8">
        <v>0.006966434452184927</v>
      </c>
      <c r="I8">
        <v>0.03770591962912739</v>
      </c>
      <c r="J8">
        <v>0.12</v>
      </c>
      <c r="K8">
        <v>0.1673203091332791</v>
      </c>
      <c r="L8" t="s">
        <v>901</v>
      </c>
      <c r="M8" t="s">
        <v>580</v>
      </c>
      <c r="N8">
        <v>12.50693069306931</v>
      </c>
      <c r="O8">
        <v>5.05</v>
      </c>
      <c r="P8">
        <v>0.44</v>
      </c>
      <c r="Q8">
        <v>0.08712871287128714</v>
      </c>
      <c r="R8">
        <v>18</v>
      </c>
      <c r="S8">
        <v>0.1004267384562354</v>
      </c>
      <c r="T8" t="s">
        <v>909</v>
      </c>
      <c r="U8">
        <v>-0.057317818138474</v>
      </c>
      <c r="V8" t="s">
        <v>1004</v>
      </c>
      <c r="W8" t="s">
        <v>1008</v>
      </c>
      <c r="X8" t="s">
        <v>1015</v>
      </c>
      <c r="Y8">
        <v>16293.498622</v>
      </c>
      <c r="Z8" s="2">
        <v>45133</v>
      </c>
      <c r="AA8" t="s">
        <v>1024</v>
      </c>
    </row>
    <row r="9" spans="1:27">
      <c r="A9" s="1" t="s">
        <v>34</v>
      </c>
      <c r="B9">
        <f>HYPERLINK("https://www.suredividend.com/sure-analysis-WABC/","Westamerica Bancorporation")</f>
        <v>0</v>
      </c>
      <c r="C9" t="s">
        <v>898</v>
      </c>
      <c r="D9">
        <v>46</v>
      </c>
      <c r="E9">
        <v>43.37</v>
      </c>
      <c r="F9">
        <v>76</v>
      </c>
      <c r="G9">
        <v>0.570657894736842</v>
      </c>
      <c r="H9">
        <v>0.04058104680654831</v>
      </c>
      <c r="I9">
        <v>0.1187288400293498</v>
      </c>
      <c r="J9">
        <v>0.02</v>
      </c>
      <c r="K9">
        <v>0.1647654465645652</v>
      </c>
      <c r="L9" t="s">
        <v>901</v>
      </c>
      <c r="M9" t="s">
        <v>901</v>
      </c>
      <c r="N9">
        <v>7.413675213675214</v>
      </c>
      <c r="O9">
        <v>5.85</v>
      </c>
      <c r="P9">
        <v>1.76</v>
      </c>
      <c r="Q9">
        <v>0.3008547008547009</v>
      </c>
      <c r="R9">
        <v>30</v>
      </c>
      <c r="S9">
        <v>0.01002427579815035</v>
      </c>
      <c r="T9" t="s">
        <v>910</v>
      </c>
      <c r="U9">
        <v>-0.180586196028994</v>
      </c>
      <c r="V9" t="s">
        <v>1004</v>
      </c>
      <c r="W9" t="s">
        <v>1008</v>
      </c>
      <c r="X9" t="s">
        <v>1015</v>
      </c>
      <c r="Y9">
        <v>1164.009363</v>
      </c>
      <c r="Z9" s="2">
        <v>45130</v>
      </c>
      <c r="AA9" t="s">
        <v>1021</v>
      </c>
    </row>
    <row r="10" spans="1:27">
      <c r="A10" s="1" t="s">
        <v>35</v>
      </c>
      <c r="B10">
        <f>HYPERLINK("https://www.suredividend.com/sure-analysis-HUM/","Humana Inc.")</f>
        <v>0</v>
      </c>
      <c r="C10" t="s">
        <v>898</v>
      </c>
      <c r="D10">
        <v>484</v>
      </c>
      <c r="E10">
        <v>472.5</v>
      </c>
      <c r="F10">
        <v>509</v>
      </c>
      <c r="G10">
        <v>0.9282907662082515</v>
      </c>
      <c r="H10">
        <v>0.007492063492063492</v>
      </c>
      <c r="I10">
        <v>0.01499334307286837</v>
      </c>
      <c r="J10">
        <v>0.14</v>
      </c>
      <c r="K10">
        <v>0.16249668741468</v>
      </c>
      <c r="L10" t="s">
        <v>901</v>
      </c>
      <c r="M10" t="s">
        <v>580</v>
      </c>
      <c r="N10">
        <v>16.72566371681416</v>
      </c>
      <c r="O10">
        <v>28.25</v>
      </c>
      <c r="P10">
        <v>3.54</v>
      </c>
      <c r="Q10">
        <v>0.1253097345132743</v>
      </c>
      <c r="R10">
        <v>12</v>
      </c>
      <c r="S10">
        <v>0.09013089512946793</v>
      </c>
      <c r="T10" t="s">
        <v>911</v>
      </c>
      <c r="U10">
        <v>-0.028393198027414</v>
      </c>
      <c r="V10" t="s">
        <v>1004</v>
      </c>
      <c r="W10" t="s">
        <v>1008</v>
      </c>
      <c r="X10" t="s">
        <v>1014</v>
      </c>
      <c r="Y10">
        <v>58120.939223</v>
      </c>
      <c r="Z10" s="2">
        <v>45141</v>
      </c>
      <c r="AA10" t="s">
        <v>1023</v>
      </c>
    </row>
    <row r="11" spans="1:27">
      <c r="A11" s="1" t="s">
        <v>36</v>
      </c>
      <c r="B11">
        <f>HYPERLINK("https://www.suredividend.com/sure-analysis-AFG/","American Financial Group Inc")</f>
        <v>0</v>
      </c>
      <c r="C11" t="s">
        <v>898</v>
      </c>
      <c r="D11">
        <v>111</v>
      </c>
      <c r="E11">
        <v>111.27</v>
      </c>
      <c r="F11">
        <v>143</v>
      </c>
      <c r="G11">
        <v>0.7781118881118881</v>
      </c>
      <c r="H11">
        <v>0.025523501393008</v>
      </c>
      <c r="I11">
        <v>0.0514571773331074</v>
      </c>
      <c r="J11">
        <v>0.08</v>
      </c>
      <c r="K11">
        <v>0.1534062429719716</v>
      </c>
      <c r="L11" t="s">
        <v>901</v>
      </c>
      <c r="M11" t="s">
        <v>902</v>
      </c>
      <c r="N11">
        <v>10.11545454545455</v>
      </c>
      <c r="O11">
        <v>11</v>
      </c>
      <c r="P11">
        <v>2.84</v>
      </c>
      <c r="Q11">
        <v>0.2581818181818182</v>
      </c>
      <c r="R11">
        <v>18</v>
      </c>
      <c r="S11">
        <v>0.06108213991848621</v>
      </c>
      <c r="T11" t="s">
        <v>908</v>
      </c>
      <c r="U11">
        <v>-0.109520865187514</v>
      </c>
      <c r="V11" t="s">
        <v>1004</v>
      </c>
      <c r="W11" t="s">
        <v>1008</v>
      </c>
      <c r="X11" t="s">
        <v>1015</v>
      </c>
      <c r="Y11">
        <v>9459.751066000001</v>
      </c>
      <c r="Z11" s="2">
        <v>45144</v>
      </c>
      <c r="AA11" t="s">
        <v>1025</v>
      </c>
    </row>
    <row r="12" spans="1:27">
      <c r="A12" s="1" t="s">
        <v>37</v>
      </c>
      <c r="B12">
        <f>HYPERLINK("https://www.suredividend.com/sure-analysis-CTBI/","Community Trust Bancorp, Inc.")</f>
        <v>0</v>
      </c>
      <c r="C12" t="s">
        <v>898</v>
      </c>
      <c r="D12">
        <v>39</v>
      </c>
      <c r="E12">
        <v>34.7563</v>
      </c>
      <c r="F12">
        <v>55</v>
      </c>
      <c r="G12">
        <v>0.6319327272727273</v>
      </c>
      <c r="H12">
        <v>0.05294004252466459</v>
      </c>
      <c r="I12">
        <v>0.09613950601751853</v>
      </c>
      <c r="J12">
        <v>0.02</v>
      </c>
      <c r="K12">
        <v>0.1527545471231246</v>
      </c>
      <c r="L12" t="s">
        <v>901</v>
      </c>
      <c r="M12" t="s">
        <v>901</v>
      </c>
      <c r="N12">
        <v>7.638747252747254</v>
      </c>
      <c r="O12">
        <v>4.55</v>
      </c>
      <c r="P12">
        <v>1.84</v>
      </c>
      <c r="Q12">
        <v>0.4043956043956044</v>
      </c>
      <c r="R12">
        <v>43</v>
      </c>
      <c r="S12">
        <v>0.02873521738377272</v>
      </c>
      <c r="T12" t="s">
        <v>912</v>
      </c>
      <c r="U12">
        <v>-0.114412050893593</v>
      </c>
      <c r="V12" t="s">
        <v>1004</v>
      </c>
      <c r="W12" t="s">
        <v>1008</v>
      </c>
      <c r="X12" t="s">
        <v>1015</v>
      </c>
      <c r="Y12">
        <v>646.791513</v>
      </c>
      <c r="Z12" s="2">
        <v>45127</v>
      </c>
      <c r="AA12" t="s">
        <v>1022</v>
      </c>
    </row>
    <row r="13" spans="1:27">
      <c r="A13" s="1" t="s">
        <v>38</v>
      </c>
      <c r="B13">
        <f>HYPERLINK("https://www.suredividend.com/sure-analysis-OZK/","Bank OZK")</f>
        <v>0</v>
      </c>
      <c r="C13" t="s">
        <v>898</v>
      </c>
      <c r="D13">
        <v>43</v>
      </c>
      <c r="E13">
        <v>38.1</v>
      </c>
      <c r="F13">
        <v>62</v>
      </c>
      <c r="G13">
        <v>0.6145161290322581</v>
      </c>
      <c r="H13">
        <v>0.03779527559055118</v>
      </c>
      <c r="I13">
        <v>0.10228359194058</v>
      </c>
      <c r="J13">
        <v>0.02</v>
      </c>
      <c r="K13">
        <v>0.1518752674645427</v>
      </c>
      <c r="L13" t="s">
        <v>901</v>
      </c>
      <c r="M13" t="s">
        <v>901</v>
      </c>
      <c r="N13">
        <v>6.803571428571429</v>
      </c>
      <c r="O13">
        <v>5.6</v>
      </c>
      <c r="P13">
        <v>1.44</v>
      </c>
      <c r="Q13">
        <v>0.2571428571428572</v>
      </c>
      <c r="R13">
        <v>27</v>
      </c>
      <c r="S13">
        <v>0.06790716584560208</v>
      </c>
      <c r="T13" t="s">
        <v>908</v>
      </c>
      <c r="U13">
        <v>-0.026291615978549</v>
      </c>
      <c r="V13" t="s">
        <v>1004</v>
      </c>
      <c r="W13" t="s">
        <v>1008</v>
      </c>
      <c r="X13" t="s">
        <v>1015</v>
      </c>
      <c r="Y13">
        <v>4768.256882</v>
      </c>
      <c r="Z13" s="2">
        <v>45129</v>
      </c>
      <c r="AA13" t="s">
        <v>1022</v>
      </c>
    </row>
    <row r="14" spans="1:27">
      <c r="A14" s="1" t="s">
        <v>39</v>
      </c>
      <c r="B14">
        <f>HYPERLINK("https://www.suredividend.com/sure-analysis-LARK/","Landmark Bancorp Inc")</f>
        <v>0</v>
      </c>
      <c r="C14" t="s">
        <v>898</v>
      </c>
      <c r="D14">
        <v>20</v>
      </c>
      <c r="E14">
        <v>18.75</v>
      </c>
      <c r="F14">
        <v>23</v>
      </c>
      <c r="G14">
        <v>0.8152173913043478</v>
      </c>
      <c r="H14">
        <v>0.0448</v>
      </c>
      <c r="I14">
        <v>0.04170635302920389</v>
      </c>
      <c r="J14">
        <v>0.07000000000000001</v>
      </c>
      <c r="K14">
        <v>0.1482848940813626</v>
      </c>
      <c r="L14" t="s">
        <v>901</v>
      </c>
      <c r="M14" t="s">
        <v>901</v>
      </c>
      <c r="N14">
        <v>7.5</v>
      </c>
      <c r="O14">
        <v>2.5</v>
      </c>
      <c r="P14">
        <v>0.84</v>
      </c>
      <c r="Q14">
        <v>0.336</v>
      </c>
      <c r="R14">
        <v>21</v>
      </c>
      <c r="S14">
        <v>0.07033701387905711</v>
      </c>
      <c r="T14" t="s">
        <v>913</v>
      </c>
      <c r="U14">
        <v>-0.163323630823157</v>
      </c>
      <c r="V14" t="s">
        <v>1004</v>
      </c>
      <c r="W14" t="s">
        <v>1008</v>
      </c>
      <c r="X14" t="s">
        <v>1015</v>
      </c>
      <c r="Y14">
        <v>99.19457300000001</v>
      </c>
      <c r="Z14" s="2">
        <v>45152</v>
      </c>
      <c r="AA14" t="s">
        <v>1023</v>
      </c>
    </row>
    <row r="15" spans="1:27">
      <c r="A15" s="1" t="s">
        <v>40</v>
      </c>
      <c r="B15">
        <f>HYPERLINK("https://www.suredividend.com/sure-analysis-TTC/","Toro Co.")</f>
        <v>0</v>
      </c>
      <c r="C15" t="s">
        <v>898</v>
      </c>
      <c r="D15">
        <v>97</v>
      </c>
      <c r="E15">
        <v>82.41</v>
      </c>
      <c r="F15">
        <v>105</v>
      </c>
      <c r="G15">
        <v>0.7848571428571428</v>
      </c>
      <c r="H15">
        <v>0.01650285159568014</v>
      </c>
      <c r="I15">
        <v>0.0496436360000041</v>
      </c>
      <c r="J15">
        <v>0.08</v>
      </c>
      <c r="K15">
        <v>0.1467288828190805</v>
      </c>
      <c r="L15" t="s">
        <v>901</v>
      </c>
      <c r="M15" t="s">
        <v>580</v>
      </c>
      <c r="N15">
        <v>17.34947368421053</v>
      </c>
      <c r="O15">
        <v>4.75</v>
      </c>
      <c r="P15">
        <v>1.36</v>
      </c>
      <c r="Q15">
        <v>0.2863157894736842</v>
      </c>
      <c r="R15">
        <v>14</v>
      </c>
      <c r="S15">
        <v>0.09997050830829379</v>
      </c>
      <c r="T15" t="s">
        <v>914</v>
      </c>
      <c r="U15">
        <v>-0.09110880751223401</v>
      </c>
      <c r="V15" t="s">
        <v>1004</v>
      </c>
      <c r="W15" t="s">
        <v>1008</v>
      </c>
      <c r="X15" t="s">
        <v>1012</v>
      </c>
      <c r="Y15">
        <v>8549.483106</v>
      </c>
      <c r="Z15" s="2">
        <v>45098</v>
      </c>
      <c r="AA15" t="s">
        <v>1026</v>
      </c>
    </row>
    <row r="16" spans="1:27">
      <c r="A16" s="1" t="s">
        <v>41</v>
      </c>
      <c r="B16">
        <f>HYPERLINK("https://www.suredividend.com/sure-analysis-EBTC/","Enterprise Bancorp, Inc.")</f>
        <v>0</v>
      </c>
      <c r="C16" t="s">
        <v>898</v>
      </c>
      <c r="D16">
        <v>30</v>
      </c>
      <c r="E16">
        <v>28.62</v>
      </c>
      <c r="F16">
        <v>44</v>
      </c>
      <c r="G16">
        <v>0.6504545454545455</v>
      </c>
      <c r="H16">
        <v>0.03214535290006988</v>
      </c>
      <c r="I16">
        <v>0.08982460664436687</v>
      </c>
      <c r="J16">
        <v>0.03</v>
      </c>
      <c r="K16">
        <v>0.1460587803997613</v>
      </c>
      <c r="L16" t="s">
        <v>901</v>
      </c>
      <c r="M16" t="s">
        <v>901</v>
      </c>
      <c r="N16">
        <v>7.841095890410959</v>
      </c>
      <c r="O16">
        <v>3.65</v>
      </c>
      <c r="P16">
        <v>0.92</v>
      </c>
      <c r="Q16">
        <v>0.252054794520548</v>
      </c>
      <c r="R16">
        <v>29</v>
      </c>
      <c r="S16">
        <v>0.0649189212487713</v>
      </c>
      <c r="T16" t="s">
        <v>915</v>
      </c>
      <c r="U16">
        <v>-0.07806575598608001</v>
      </c>
      <c r="V16" t="s">
        <v>1004</v>
      </c>
      <c r="W16" t="s">
        <v>1008</v>
      </c>
      <c r="X16" t="s">
        <v>1015</v>
      </c>
      <c r="Y16">
        <v>347.696003</v>
      </c>
      <c r="Z16" s="2">
        <v>45160</v>
      </c>
      <c r="AA16" t="s">
        <v>1022</v>
      </c>
    </row>
    <row r="17" spans="1:27">
      <c r="A17" s="1" t="s">
        <v>42</v>
      </c>
      <c r="B17">
        <f>HYPERLINK("https://www.suredividend.com/sure-analysis-PII/","Polaris Inc")</f>
        <v>0</v>
      </c>
      <c r="C17" t="s">
        <v>899</v>
      </c>
      <c r="D17">
        <v>137</v>
      </c>
      <c r="E17">
        <v>105.61</v>
      </c>
      <c r="F17">
        <v>158</v>
      </c>
      <c r="G17">
        <v>0.6684177215189874</v>
      </c>
      <c r="H17">
        <v>0.02461888078780419</v>
      </c>
      <c r="I17">
        <v>0.08390297640882327</v>
      </c>
      <c r="J17">
        <v>0.04</v>
      </c>
      <c r="K17">
        <v>0.1456787862653246</v>
      </c>
      <c r="L17" t="s">
        <v>901</v>
      </c>
      <c r="M17" t="s">
        <v>902</v>
      </c>
      <c r="N17">
        <v>10.05809523809524</v>
      </c>
      <c r="O17">
        <v>10.5</v>
      </c>
      <c r="P17">
        <v>2.6</v>
      </c>
      <c r="Q17">
        <v>0.2476190476190476</v>
      </c>
      <c r="R17">
        <v>28</v>
      </c>
      <c r="S17">
        <v>0.07484810908862216</v>
      </c>
      <c r="T17" t="s">
        <v>916</v>
      </c>
      <c r="U17">
        <v>-0.05438479387177701</v>
      </c>
      <c r="V17" t="s">
        <v>1004</v>
      </c>
      <c r="W17" t="s">
        <v>1008</v>
      </c>
      <c r="X17" t="s">
        <v>1013</v>
      </c>
      <c r="Y17">
        <v>6071.339742</v>
      </c>
      <c r="Z17" s="2">
        <v>45135</v>
      </c>
      <c r="AA17" t="s">
        <v>1021</v>
      </c>
    </row>
    <row r="18" spans="1:27">
      <c r="A18" s="1" t="s">
        <v>43</v>
      </c>
      <c r="B18">
        <f>HYPERLINK("https://www.suredividend.com/sure-analysis-AIT/","Applied Industrial Technologies Inc.")</f>
        <v>0</v>
      </c>
      <c r="C18" t="s">
        <v>898</v>
      </c>
      <c r="D18">
        <v>155</v>
      </c>
      <c r="E18">
        <v>156.3</v>
      </c>
      <c r="F18">
        <v>169</v>
      </c>
      <c r="G18">
        <v>0.9248520710059173</v>
      </c>
      <c r="H18">
        <v>0.008957133717210491</v>
      </c>
      <c r="I18">
        <v>0.01574699299179194</v>
      </c>
      <c r="J18">
        <v>0.12</v>
      </c>
      <c r="K18">
        <v>0.1434194799911819</v>
      </c>
      <c r="L18" t="s">
        <v>901</v>
      </c>
      <c r="M18" t="s">
        <v>580</v>
      </c>
      <c r="N18">
        <v>17.08196721311475</v>
      </c>
      <c r="O18">
        <v>9.15</v>
      </c>
      <c r="P18">
        <v>1.4</v>
      </c>
      <c r="Q18">
        <v>0.1530054644808743</v>
      </c>
      <c r="R18">
        <v>15</v>
      </c>
      <c r="S18">
        <v>0.02962100943384161</v>
      </c>
      <c r="T18" t="s">
        <v>917</v>
      </c>
      <c r="U18">
        <v>0.4540821669803951</v>
      </c>
      <c r="V18" t="s">
        <v>1004</v>
      </c>
      <c r="W18" t="s">
        <v>1008</v>
      </c>
      <c r="X18" t="s">
        <v>1012</v>
      </c>
      <c r="Y18">
        <v>6186.835838</v>
      </c>
      <c r="Z18" s="2">
        <v>45153</v>
      </c>
      <c r="AA18" t="s">
        <v>1023</v>
      </c>
    </row>
    <row r="19" spans="1:27">
      <c r="A19" s="1" t="s">
        <v>44</v>
      </c>
      <c r="B19">
        <f>HYPERLINK("https://www.suredividend.com/sure-analysis-HIFS/","Hingham Institution For Savings")</f>
        <v>0</v>
      </c>
      <c r="C19" t="s">
        <v>898</v>
      </c>
      <c r="D19">
        <v>208</v>
      </c>
      <c r="E19">
        <v>200</v>
      </c>
      <c r="F19">
        <v>242</v>
      </c>
      <c r="G19">
        <v>0.8264462809917356</v>
      </c>
      <c r="H19">
        <v>0.0126</v>
      </c>
      <c r="I19">
        <v>0.03886011825408464</v>
      </c>
      <c r="J19">
        <v>0.09</v>
      </c>
      <c r="K19">
        <v>0.1421882352239283</v>
      </c>
      <c r="L19" t="s">
        <v>901</v>
      </c>
      <c r="M19" t="s">
        <v>580</v>
      </c>
      <c r="N19">
        <v>9.090909090909092</v>
      </c>
      <c r="O19">
        <v>22</v>
      </c>
      <c r="P19">
        <v>2.52</v>
      </c>
      <c r="Q19">
        <v>0.1145454545454545</v>
      </c>
      <c r="R19">
        <v>15</v>
      </c>
      <c r="S19">
        <v>0.09014994437013746</v>
      </c>
      <c r="T19" t="s">
        <v>918</v>
      </c>
      <c r="U19">
        <v>-0.292503240338584</v>
      </c>
      <c r="V19" t="s">
        <v>1004</v>
      </c>
      <c r="W19" t="s">
        <v>1008</v>
      </c>
      <c r="X19" t="s">
        <v>1015</v>
      </c>
      <c r="Y19">
        <v>434.9943</v>
      </c>
      <c r="Z19" s="2">
        <v>45123</v>
      </c>
      <c r="AA19" t="s">
        <v>1023</v>
      </c>
    </row>
    <row r="20" spans="1:27">
      <c r="A20" s="1" t="s">
        <v>45</v>
      </c>
      <c r="B20">
        <f>HYPERLINK("https://www.suredividend.com/sure-analysis-SYY/","Sysco Corp.")</f>
        <v>0</v>
      </c>
      <c r="C20" t="s">
        <v>898</v>
      </c>
      <c r="D20">
        <v>72</v>
      </c>
      <c r="E20">
        <v>69.91</v>
      </c>
      <c r="F20">
        <v>86</v>
      </c>
      <c r="G20">
        <v>0.812906976744186</v>
      </c>
      <c r="H20">
        <v>0.02932341582034044</v>
      </c>
      <c r="I20">
        <v>0.04229782095195267</v>
      </c>
      <c r="J20">
        <v>0.07000000000000001</v>
      </c>
      <c r="K20">
        <v>0.1370266858129006</v>
      </c>
      <c r="L20" t="s">
        <v>901</v>
      </c>
      <c r="M20" t="s">
        <v>901</v>
      </c>
      <c r="N20">
        <v>16.25813953488372</v>
      </c>
      <c r="O20">
        <v>4.3</v>
      </c>
      <c r="P20">
        <v>2.05</v>
      </c>
      <c r="Q20">
        <v>0.4767441860465116</v>
      </c>
      <c r="R20">
        <v>53</v>
      </c>
      <c r="S20">
        <v>0.05974003224961</v>
      </c>
      <c r="T20" t="s">
        <v>907</v>
      </c>
      <c r="U20">
        <v>-0.147762923362017</v>
      </c>
      <c r="V20" t="s">
        <v>1004</v>
      </c>
      <c r="W20" t="s">
        <v>1008</v>
      </c>
      <c r="X20" t="s">
        <v>1011</v>
      </c>
      <c r="Y20">
        <v>35319.562998</v>
      </c>
      <c r="Z20" s="2">
        <v>45155</v>
      </c>
      <c r="AA20" t="s">
        <v>1027</v>
      </c>
    </row>
    <row r="21" spans="1:27">
      <c r="A21" s="1" t="s">
        <v>46</v>
      </c>
      <c r="B21">
        <f>HYPERLINK("https://www.suredividend.com/sure-analysis-ABM/","ABM Industries Inc.")</f>
        <v>0</v>
      </c>
      <c r="C21" t="s">
        <v>898</v>
      </c>
      <c r="D21">
        <v>46</v>
      </c>
      <c r="E21">
        <v>40.19</v>
      </c>
      <c r="F21">
        <v>56</v>
      </c>
      <c r="G21">
        <v>0.7176785714285714</v>
      </c>
      <c r="H21">
        <v>0.02189599402836527</v>
      </c>
      <c r="I21">
        <v>0.06859713178877391</v>
      </c>
      <c r="J21">
        <v>0.05</v>
      </c>
      <c r="K21">
        <v>0.136743617302119</v>
      </c>
      <c r="L21" t="s">
        <v>901</v>
      </c>
      <c r="M21" t="s">
        <v>902</v>
      </c>
      <c r="N21">
        <v>11.48285714285714</v>
      </c>
      <c r="O21">
        <v>3.5</v>
      </c>
      <c r="P21">
        <v>0.88</v>
      </c>
      <c r="Q21">
        <v>0.2514285714285714</v>
      </c>
      <c r="R21">
        <v>55</v>
      </c>
      <c r="S21">
        <v>0.02996744995959233</v>
      </c>
      <c r="T21" t="s">
        <v>919</v>
      </c>
      <c r="U21">
        <v>-0.089342508529462</v>
      </c>
      <c r="V21" t="s">
        <v>1004</v>
      </c>
      <c r="W21" t="s">
        <v>1008</v>
      </c>
      <c r="X21" t="s">
        <v>1012</v>
      </c>
      <c r="Y21">
        <v>2580.000903</v>
      </c>
      <c r="Z21" s="2">
        <v>45143</v>
      </c>
      <c r="AA21" t="s">
        <v>1028</v>
      </c>
    </row>
    <row r="22" spans="1:27">
      <c r="A22" s="1" t="s">
        <v>47</v>
      </c>
      <c r="B22">
        <f>HYPERLINK("https://www.suredividend.com/sure-analysis-NKE/","Nike, Inc.")</f>
        <v>0</v>
      </c>
      <c r="C22" t="s">
        <v>898</v>
      </c>
      <c r="D22">
        <v>110</v>
      </c>
      <c r="E22">
        <v>96.13</v>
      </c>
      <c r="F22">
        <v>90</v>
      </c>
      <c r="G22">
        <v>1.068111111111111</v>
      </c>
      <c r="H22">
        <v>0.01414750858212837</v>
      </c>
      <c r="I22">
        <v>-0.01309190002973271</v>
      </c>
      <c r="J22">
        <v>0.14</v>
      </c>
      <c r="K22">
        <v>0.1367245704668631</v>
      </c>
      <c r="L22" t="s">
        <v>901</v>
      </c>
      <c r="M22" t="s">
        <v>580</v>
      </c>
      <c r="N22">
        <v>25.63466666666666</v>
      </c>
      <c r="O22">
        <v>3.75</v>
      </c>
      <c r="P22">
        <v>1.36</v>
      </c>
      <c r="Q22">
        <v>0.3626666666666667</v>
      </c>
      <c r="R22">
        <v>21</v>
      </c>
      <c r="S22">
        <v>0.1009732178211216</v>
      </c>
      <c r="T22" t="s">
        <v>920</v>
      </c>
      <c r="U22">
        <v>-0.132266703190158</v>
      </c>
      <c r="V22" t="s">
        <v>1004</v>
      </c>
      <c r="W22" t="s">
        <v>1008</v>
      </c>
      <c r="X22" t="s">
        <v>1013</v>
      </c>
      <c r="Y22">
        <v>150228</v>
      </c>
      <c r="Z22" s="2">
        <v>45111</v>
      </c>
      <c r="AA22" t="s">
        <v>1022</v>
      </c>
    </row>
    <row r="23" spans="1:27">
      <c r="A23" s="1" t="s">
        <v>48</v>
      </c>
      <c r="B23">
        <f>HYPERLINK("https://www.suredividend.com/sure-analysis-SWK/","Stanley Black &amp; Decker Inc")</f>
        <v>0</v>
      </c>
      <c r="C23" t="s">
        <v>898</v>
      </c>
      <c r="D23">
        <v>102</v>
      </c>
      <c r="E23">
        <v>87.3</v>
      </c>
      <c r="F23">
        <v>101</v>
      </c>
      <c r="G23">
        <v>0.8643564356435643</v>
      </c>
      <c r="H23">
        <v>0.03711340206185568</v>
      </c>
      <c r="I23">
        <v>0.02958314918883653</v>
      </c>
      <c r="J23">
        <v>0.08</v>
      </c>
      <c r="K23">
        <v>0.1366158579149162</v>
      </c>
      <c r="L23" t="s">
        <v>901</v>
      </c>
      <c r="M23" t="s">
        <v>901</v>
      </c>
      <c r="N23">
        <v>10.41766109785203</v>
      </c>
      <c r="O23">
        <v>8.380000000000001</v>
      </c>
      <c r="P23">
        <v>3.24</v>
      </c>
      <c r="Q23">
        <v>0.3866348448687351</v>
      </c>
      <c r="R23">
        <v>56</v>
      </c>
      <c r="S23">
        <v>0.02015838445761209</v>
      </c>
      <c r="T23" t="s">
        <v>920</v>
      </c>
      <c r="U23">
        <v>0.011376570719912</v>
      </c>
      <c r="V23" t="s">
        <v>1004</v>
      </c>
      <c r="W23" t="s">
        <v>1008</v>
      </c>
      <c r="X23" t="s">
        <v>1012</v>
      </c>
      <c r="Y23">
        <v>13683.443197</v>
      </c>
      <c r="Z23" s="2">
        <v>45141</v>
      </c>
      <c r="AA23" t="s">
        <v>1021</v>
      </c>
    </row>
    <row r="24" spans="1:27">
      <c r="A24" s="1" t="s">
        <v>49</v>
      </c>
      <c r="B24">
        <f>HYPERLINK("https://www.suredividend.com/sure-analysis-LHX/","L3Harris Technologies Inc")</f>
        <v>0</v>
      </c>
      <c r="C24" t="s">
        <v>898</v>
      </c>
      <c r="D24">
        <v>186</v>
      </c>
      <c r="E24">
        <v>169.15</v>
      </c>
      <c r="F24">
        <v>198</v>
      </c>
      <c r="G24">
        <v>0.8542929292929293</v>
      </c>
      <c r="H24">
        <v>0.02695832101684895</v>
      </c>
      <c r="I24">
        <v>0.03199748195835861</v>
      </c>
      <c r="J24">
        <v>0.08</v>
      </c>
      <c r="K24">
        <v>0.135863896768508</v>
      </c>
      <c r="L24" t="s">
        <v>901</v>
      </c>
      <c r="M24" t="s">
        <v>902</v>
      </c>
      <c r="N24">
        <v>13.69635627530364</v>
      </c>
      <c r="O24">
        <v>12.35</v>
      </c>
      <c r="P24">
        <v>4.56</v>
      </c>
      <c r="Q24">
        <v>0.3692307692307692</v>
      </c>
      <c r="R24">
        <v>22</v>
      </c>
      <c r="S24">
        <v>0.07999561460194027</v>
      </c>
      <c r="T24" t="s">
        <v>920</v>
      </c>
      <c r="U24">
        <v>-0.262538159616223</v>
      </c>
      <c r="V24" t="s">
        <v>1004</v>
      </c>
      <c r="W24" t="s">
        <v>1008</v>
      </c>
      <c r="X24" t="s">
        <v>1012</v>
      </c>
      <c r="Y24">
        <v>31982.338386</v>
      </c>
      <c r="Z24" s="2">
        <v>45147</v>
      </c>
      <c r="AA24" t="s">
        <v>1029</v>
      </c>
    </row>
    <row r="25" spans="1:27">
      <c r="A25" s="1" t="s">
        <v>50</v>
      </c>
      <c r="B25">
        <f>HYPERLINK("https://www.suredividend.com/sure-analysis-BRC/","Brady Corp.")</f>
        <v>0</v>
      </c>
      <c r="C25" t="s">
        <v>898</v>
      </c>
      <c r="D25">
        <v>55</v>
      </c>
      <c r="E25">
        <v>56.15</v>
      </c>
      <c r="F25">
        <v>76</v>
      </c>
      <c r="G25">
        <v>0.7388157894736842</v>
      </c>
      <c r="H25">
        <v>0.01674087266251113</v>
      </c>
      <c r="I25">
        <v>0.06241150806448492</v>
      </c>
      <c r="J25">
        <v>0.05</v>
      </c>
      <c r="K25">
        <v>0.1267937358910876</v>
      </c>
      <c r="L25" t="s">
        <v>901</v>
      </c>
      <c r="M25" t="s">
        <v>902</v>
      </c>
      <c r="N25">
        <v>14.10804020100502</v>
      </c>
      <c r="O25">
        <v>3.98</v>
      </c>
      <c r="P25">
        <v>0.9399999999999999</v>
      </c>
      <c r="Q25">
        <v>0.2361809045226131</v>
      </c>
      <c r="R25">
        <v>38</v>
      </c>
      <c r="S25">
        <v>0.0204250165236175</v>
      </c>
      <c r="T25" t="s">
        <v>921</v>
      </c>
      <c r="U25">
        <v>0.261211079637441</v>
      </c>
      <c r="V25" t="s">
        <v>1004</v>
      </c>
      <c r="W25" t="s">
        <v>1008</v>
      </c>
      <c r="X25" t="s">
        <v>1012</v>
      </c>
      <c r="Y25">
        <v>2496.762693</v>
      </c>
      <c r="Z25" s="2">
        <v>45177</v>
      </c>
      <c r="AA25" t="s">
        <v>1021</v>
      </c>
    </row>
    <row r="26" spans="1:27">
      <c r="A26" s="1" t="s">
        <v>51</v>
      </c>
      <c r="B26">
        <f>HYPERLINK("https://www.suredividend.com/sure-analysis-CMI/","Cummins Inc.")</f>
        <v>0</v>
      </c>
      <c r="C26" t="s">
        <v>898</v>
      </c>
      <c r="D26">
        <v>237</v>
      </c>
      <c r="E26">
        <v>233.57</v>
      </c>
      <c r="F26">
        <v>259</v>
      </c>
      <c r="G26">
        <v>0.9018146718146718</v>
      </c>
      <c r="H26">
        <v>0.02902770047523227</v>
      </c>
      <c r="I26">
        <v>0.02088433699988013</v>
      </c>
      <c r="J26">
        <v>0.08</v>
      </c>
      <c r="K26">
        <v>0.1263903308002055</v>
      </c>
      <c r="L26" t="s">
        <v>901</v>
      </c>
      <c r="M26" t="s">
        <v>902</v>
      </c>
      <c r="N26">
        <v>11.7077694235589</v>
      </c>
      <c r="O26">
        <v>19.95</v>
      </c>
      <c r="P26">
        <v>6.78</v>
      </c>
      <c r="Q26">
        <v>0.3398496240601504</v>
      </c>
      <c r="R26">
        <v>18</v>
      </c>
      <c r="S26">
        <v>0.07995566992594827</v>
      </c>
      <c r="T26" t="s">
        <v>922</v>
      </c>
      <c r="U26">
        <v>0.101346833955355</v>
      </c>
      <c r="V26" t="s">
        <v>1004</v>
      </c>
      <c r="W26" t="s">
        <v>1008</v>
      </c>
      <c r="X26" t="s">
        <v>1012</v>
      </c>
      <c r="Y26">
        <v>33343.734167</v>
      </c>
      <c r="Z26" s="2">
        <v>45146</v>
      </c>
      <c r="AA26" t="s">
        <v>1021</v>
      </c>
    </row>
    <row r="27" spans="1:27">
      <c r="A27" s="1" t="s">
        <v>52</v>
      </c>
      <c r="B27">
        <f>HYPERLINK("https://www.suredividend.com/sure-analysis-TGT/","Target Corp")</f>
        <v>0</v>
      </c>
      <c r="C27" t="s">
        <v>898</v>
      </c>
      <c r="D27">
        <v>130</v>
      </c>
      <c r="E27">
        <v>122.93</v>
      </c>
      <c r="F27">
        <v>122</v>
      </c>
      <c r="G27">
        <v>1.007622950819672</v>
      </c>
      <c r="H27">
        <v>0.03579272756853494</v>
      </c>
      <c r="I27">
        <v>-0.001517655783137783</v>
      </c>
      <c r="J27">
        <v>0.1</v>
      </c>
      <c r="K27">
        <v>0.125506440493979</v>
      </c>
      <c r="L27" t="s">
        <v>901</v>
      </c>
      <c r="M27" t="s">
        <v>901</v>
      </c>
      <c r="N27">
        <v>16.175</v>
      </c>
      <c r="O27">
        <v>7.6</v>
      </c>
      <c r="P27">
        <v>4.4</v>
      </c>
      <c r="Q27">
        <v>0.5789473684210527</v>
      </c>
      <c r="R27">
        <v>55</v>
      </c>
      <c r="S27">
        <v>0.05016303610438722</v>
      </c>
      <c r="T27" t="s">
        <v>923</v>
      </c>
      <c r="U27">
        <v>-0.271347465461929</v>
      </c>
      <c r="V27" t="s">
        <v>1004</v>
      </c>
      <c r="W27" t="s">
        <v>1008</v>
      </c>
      <c r="X27" t="s">
        <v>1011</v>
      </c>
      <c r="Y27">
        <v>56500.508794</v>
      </c>
      <c r="Z27" s="2">
        <v>45157</v>
      </c>
      <c r="AA27" t="s">
        <v>1030</v>
      </c>
    </row>
    <row r="28" spans="1:27">
      <c r="A28" s="1" t="s">
        <v>53</v>
      </c>
      <c r="B28">
        <f>HYPERLINK("https://www.suredividend.com/sure-analysis-ELV/","Elevance Health Inc")</f>
        <v>0</v>
      </c>
      <c r="C28" t="s">
        <v>898</v>
      </c>
      <c r="D28">
        <v>463</v>
      </c>
      <c r="E28">
        <v>443.19</v>
      </c>
      <c r="F28">
        <v>491</v>
      </c>
      <c r="G28">
        <v>0.9026272912423625</v>
      </c>
      <c r="H28">
        <v>0.01335770211421738</v>
      </c>
      <c r="I28">
        <v>0.02070045393730124</v>
      </c>
      <c r="J28">
        <v>0.09</v>
      </c>
      <c r="K28">
        <v>0.1237133251294376</v>
      </c>
      <c r="L28" t="s">
        <v>901</v>
      </c>
      <c r="M28" t="s">
        <v>580</v>
      </c>
      <c r="N28">
        <v>13.55321100917431</v>
      </c>
      <c r="O28">
        <v>32.7</v>
      </c>
      <c r="P28">
        <v>5.92</v>
      </c>
      <c r="Q28">
        <v>0.1810397553516819</v>
      </c>
      <c r="R28">
        <v>13</v>
      </c>
      <c r="S28">
        <v>0.09003221677131146</v>
      </c>
      <c r="T28" t="s">
        <v>924</v>
      </c>
      <c r="U28">
        <v>-0.08692465026630501</v>
      </c>
      <c r="V28" t="s">
        <v>1004</v>
      </c>
      <c r="W28" t="s">
        <v>1008</v>
      </c>
      <c r="X28" t="s">
        <v>1014</v>
      </c>
      <c r="Y28">
        <v>104933.968902</v>
      </c>
      <c r="Z28" s="2">
        <v>45127</v>
      </c>
      <c r="AA28" t="s">
        <v>1021</v>
      </c>
    </row>
    <row r="29" spans="1:27">
      <c r="A29" s="1" t="s">
        <v>54</v>
      </c>
      <c r="B29">
        <f>HYPERLINK("https://www.suredividend.com/sure-analysis-TNC/","Tennant Co.")</f>
        <v>0</v>
      </c>
      <c r="C29" t="s">
        <v>898</v>
      </c>
      <c r="D29">
        <v>82</v>
      </c>
      <c r="E29">
        <v>76.68000000000001</v>
      </c>
      <c r="F29">
        <v>98</v>
      </c>
      <c r="G29">
        <v>0.7824489795918368</v>
      </c>
      <c r="H29">
        <v>0.01382368283776734</v>
      </c>
      <c r="I29">
        <v>0.05028894507515003</v>
      </c>
      <c r="J29">
        <v>0.06</v>
      </c>
      <c r="K29">
        <v>0.1235441601379412</v>
      </c>
      <c r="L29" t="s">
        <v>901</v>
      </c>
      <c r="M29" t="s">
        <v>902</v>
      </c>
      <c r="N29">
        <v>14.12154696132597</v>
      </c>
      <c r="O29">
        <v>5.43</v>
      </c>
      <c r="P29">
        <v>1.06</v>
      </c>
      <c r="Q29">
        <v>0.1952117863720074</v>
      </c>
      <c r="R29">
        <v>52</v>
      </c>
      <c r="S29">
        <v>0.04955591526723868</v>
      </c>
      <c r="T29" t="s">
        <v>925</v>
      </c>
      <c r="U29">
        <v>0.246894783235836</v>
      </c>
      <c r="V29" t="s">
        <v>1004</v>
      </c>
      <c r="W29" t="s">
        <v>1008</v>
      </c>
      <c r="X29" t="s">
        <v>1012</v>
      </c>
      <c r="Y29">
        <v>1445.791165</v>
      </c>
      <c r="Z29" s="2">
        <v>45170</v>
      </c>
      <c r="AA29" t="s">
        <v>1028</v>
      </c>
    </row>
    <row r="30" spans="1:27">
      <c r="A30" s="1" t="s">
        <v>55</v>
      </c>
      <c r="B30">
        <f>HYPERLINK("https://www.suredividend.com/sure-analysis-ADI/","Analog Devices Inc.")</f>
        <v>0</v>
      </c>
      <c r="C30" t="s">
        <v>898</v>
      </c>
      <c r="D30">
        <v>172</v>
      </c>
      <c r="E30">
        <v>176.17</v>
      </c>
      <c r="F30">
        <v>190</v>
      </c>
      <c r="G30">
        <v>0.9272105263157894</v>
      </c>
      <c r="H30">
        <v>0.01952659363115173</v>
      </c>
      <c r="I30">
        <v>0.01522973506098491</v>
      </c>
      <c r="J30">
        <v>0.09</v>
      </c>
      <c r="K30">
        <v>0.1230848865841552</v>
      </c>
      <c r="L30" t="s">
        <v>901</v>
      </c>
      <c r="M30" t="s">
        <v>580</v>
      </c>
      <c r="N30">
        <v>16.73029439696106</v>
      </c>
      <c r="O30">
        <v>10.53</v>
      </c>
      <c r="P30">
        <v>3.44</v>
      </c>
      <c r="Q30">
        <v>0.3266856600189934</v>
      </c>
      <c r="R30">
        <v>19</v>
      </c>
      <c r="S30">
        <v>0.08988191433185699</v>
      </c>
      <c r="T30" t="s">
        <v>920</v>
      </c>
      <c r="U30">
        <v>0.156716787756841</v>
      </c>
      <c r="V30" t="s">
        <v>1004</v>
      </c>
      <c r="W30" t="s">
        <v>1008</v>
      </c>
      <c r="X30" t="s">
        <v>1016</v>
      </c>
      <c r="Y30">
        <v>87229.85799800001</v>
      </c>
      <c r="Z30" s="2">
        <v>45072</v>
      </c>
      <c r="AA30" t="s">
        <v>1026</v>
      </c>
    </row>
    <row r="31" spans="1:27">
      <c r="A31" s="1" t="s">
        <v>56</v>
      </c>
      <c r="B31">
        <f>HYPERLINK("https://www.suredividend.com/sure-analysis-FMCB/","Farmers &amp; Merchants Bancorp")</f>
        <v>0</v>
      </c>
      <c r="C31" t="s">
        <v>898</v>
      </c>
      <c r="D31">
        <v>959</v>
      </c>
      <c r="E31">
        <v>955</v>
      </c>
      <c r="F31">
        <v>1260</v>
      </c>
      <c r="G31">
        <v>0.7579365079365079</v>
      </c>
      <c r="H31">
        <v>0.01738219895287958</v>
      </c>
      <c r="I31">
        <v>0.05699622123688952</v>
      </c>
      <c r="J31">
        <v>0.05</v>
      </c>
      <c r="K31">
        <v>0.1228376124819199</v>
      </c>
      <c r="L31" t="s">
        <v>901</v>
      </c>
      <c r="M31" t="s">
        <v>902</v>
      </c>
      <c r="N31">
        <v>9.095238095238095</v>
      </c>
      <c r="O31">
        <v>105</v>
      </c>
      <c r="P31">
        <v>16.6</v>
      </c>
      <c r="Q31">
        <v>0.1580952380952381</v>
      </c>
      <c r="R31">
        <v>58</v>
      </c>
      <c r="S31">
        <v>0.05013601855760697</v>
      </c>
      <c r="T31" t="s">
        <v>926</v>
      </c>
      <c r="U31">
        <v>0.017164409768783</v>
      </c>
      <c r="V31" t="s">
        <v>1004</v>
      </c>
      <c r="W31" t="s">
        <v>1008</v>
      </c>
      <c r="X31" t="s">
        <v>1015</v>
      </c>
      <c r="Y31">
        <v>719.624015</v>
      </c>
      <c r="Z31" s="2">
        <v>45127</v>
      </c>
      <c r="AA31" t="s">
        <v>1022</v>
      </c>
    </row>
    <row r="32" spans="1:27">
      <c r="A32" s="1" t="s">
        <v>57</v>
      </c>
      <c r="B32">
        <f>HYPERLINK("https://www.suredividend.com/sure-analysis-AIZ/","Assurant Inc")</f>
        <v>0</v>
      </c>
      <c r="C32" t="s">
        <v>898</v>
      </c>
      <c r="D32">
        <v>139</v>
      </c>
      <c r="E32">
        <v>138.84</v>
      </c>
      <c r="F32">
        <v>164</v>
      </c>
      <c r="G32">
        <v>0.8465853658536585</v>
      </c>
      <c r="H32">
        <v>0.02016709881878421</v>
      </c>
      <c r="I32">
        <v>0.03386979790166511</v>
      </c>
      <c r="J32">
        <v>0.07000000000000001</v>
      </c>
      <c r="K32">
        <v>0.1223447752691527</v>
      </c>
      <c r="L32" t="s">
        <v>901</v>
      </c>
      <c r="M32" t="s">
        <v>902</v>
      </c>
      <c r="N32">
        <v>11.6672268907563</v>
      </c>
      <c r="O32">
        <v>11.9</v>
      </c>
      <c r="P32">
        <v>2.8</v>
      </c>
      <c r="Q32">
        <v>0.2352941176470588</v>
      </c>
      <c r="R32">
        <v>17</v>
      </c>
      <c r="S32">
        <v>0.07015553929861928</v>
      </c>
      <c r="T32" t="s">
        <v>927</v>
      </c>
      <c r="U32">
        <v>-0.118473554206626</v>
      </c>
      <c r="V32" t="s">
        <v>1004</v>
      </c>
      <c r="W32" t="s">
        <v>1008</v>
      </c>
      <c r="X32" t="s">
        <v>1015</v>
      </c>
      <c r="Y32">
        <v>7478.36392</v>
      </c>
      <c r="Z32" s="2">
        <v>45162</v>
      </c>
      <c r="AA32" t="s">
        <v>1022</v>
      </c>
    </row>
    <row r="33" spans="1:27">
      <c r="A33" s="1" t="s">
        <v>58</v>
      </c>
      <c r="B33">
        <f>HYPERLINK("https://www.suredividend.com/sure-analysis-RHHBY/","Roche Holding AG")</f>
        <v>0</v>
      </c>
      <c r="C33" t="s">
        <v>898</v>
      </c>
      <c r="D33">
        <v>38</v>
      </c>
      <c r="E33">
        <v>35.83</v>
      </c>
      <c r="F33">
        <v>49</v>
      </c>
      <c r="G33">
        <v>0.7312244897959184</v>
      </c>
      <c r="H33">
        <v>0.03572425341892269</v>
      </c>
      <c r="I33">
        <v>0.06460831626421881</v>
      </c>
      <c r="J33">
        <v>0.03</v>
      </c>
      <c r="K33">
        <v>0.1221880317470125</v>
      </c>
      <c r="L33" t="s">
        <v>901</v>
      </c>
      <c r="M33" t="s">
        <v>901</v>
      </c>
      <c r="N33">
        <v>12.48432055749129</v>
      </c>
      <c r="O33">
        <v>2.87</v>
      </c>
      <c r="P33">
        <v>1.28</v>
      </c>
      <c r="Q33">
        <v>0.445993031358885</v>
      </c>
      <c r="R33">
        <v>36</v>
      </c>
      <c r="S33">
        <v>0.02806712806156297</v>
      </c>
      <c r="T33" t="s">
        <v>928</v>
      </c>
      <c r="U33">
        <v>-0.124271352954047</v>
      </c>
      <c r="V33" t="s">
        <v>1004</v>
      </c>
      <c r="W33" t="s">
        <v>1009</v>
      </c>
      <c r="X33" t="s">
        <v>1014</v>
      </c>
      <c r="Y33">
        <v>200202.266992</v>
      </c>
      <c r="Z33" s="2">
        <v>45136</v>
      </c>
      <c r="AA33" t="s">
        <v>1031</v>
      </c>
    </row>
    <row r="34" spans="1:27">
      <c r="A34" s="1" t="s">
        <v>59</v>
      </c>
      <c r="B34">
        <f>HYPERLINK("https://www.suredividend.com/sure-analysis-CPKF/","Chesapeake Financial Shares Inc")</f>
        <v>0</v>
      </c>
      <c r="C34" t="s">
        <v>898</v>
      </c>
      <c r="D34">
        <v>20</v>
      </c>
      <c r="E34">
        <v>19.35</v>
      </c>
      <c r="F34">
        <v>24</v>
      </c>
      <c r="G34">
        <v>0.80625</v>
      </c>
      <c r="H34">
        <v>0.03100775193798449</v>
      </c>
      <c r="I34">
        <v>0.04401335567882669</v>
      </c>
      <c r="J34">
        <v>0.05</v>
      </c>
      <c r="K34">
        <v>0.1201477615725242</v>
      </c>
      <c r="L34" t="s">
        <v>901</v>
      </c>
      <c r="M34" t="s">
        <v>901</v>
      </c>
      <c r="N34">
        <v>6.910714285714286</v>
      </c>
      <c r="O34">
        <v>2.8</v>
      </c>
      <c r="P34">
        <v>0.6</v>
      </c>
      <c r="Q34">
        <v>0.2142857142857143</v>
      </c>
      <c r="R34">
        <v>30</v>
      </c>
      <c r="S34">
        <v>0.05115774595007161</v>
      </c>
      <c r="T34" t="s">
        <v>916</v>
      </c>
      <c r="U34">
        <v>-0.228993041066056</v>
      </c>
      <c r="V34" t="s">
        <v>1004</v>
      </c>
      <c r="W34" t="s">
        <v>1008</v>
      </c>
      <c r="X34" t="s">
        <v>1015</v>
      </c>
      <c r="Y34">
        <v>91.435401</v>
      </c>
      <c r="Z34" s="2">
        <v>45134</v>
      </c>
      <c r="AA34" t="s">
        <v>1030</v>
      </c>
    </row>
    <row r="35" spans="1:27">
      <c r="A35" s="1" t="s">
        <v>60</v>
      </c>
      <c r="B35">
        <f>HYPERLINK("https://www.suredividend.com/sure-analysis-CFR/","Cullen Frost Bankers Inc.")</f>
        <v>0</v>
      </c>
      <c r="C35" t="s">
        <v>898</v>
      </c>
      <c r="D35">
        <v>97</v>
      </c>
      <c r="E35">
        <v>94.95999999999999</v>
      </c>
      <c r="F35">
        <v>139</v>
      </c>
      <c r="G35">
        <v>0.6831654676258992</v>
      </c>
      <c r="H35">
        <v>0.03875315922493682</v>
      </c>
      <c r="I35">
        <v>0.07918231276322052</v>
      </c>
      <c r="J35">
        <v>0.01</v>
      </c>
      <c r="K35">
        <v>0.1201321012281067</v>
      </c>
      <c r="L35" t="s">
        <v>901</v>
      </c>
      <c r="M35" t="s">
        <v>901</v>
      </c>
      <c r="N35">
        <v>9.591919191919191</v>
      </c>
      <c r="O35">
        <v>9.9</v>
      </c>
      <c r="P35">
        <v>3.68</v>
      </c>
      <c r="Q35">
        <v>0.3717171717171717</v>
      </c>
      <c r="R35">
        <v>30</v>
      </c>
      <c r="S35">
        <v>0.05014678675369377</v>
      </c>
      <c r="T35" t="s">
        <v>925</v>
      </c>
      <c r="U35">
        <v>-0.306353770454949</v>
      </c>
      <c r="V35" t="s">
        <v>1004</v>
      </c>
      <c r="W35" t="s">
        <v>1008</v>
      </c>
      <c r="X35" t="s">
        <v>1015</v>
      </c>
      <c r="Y35">
        <v>6133.375567</v>
      </c>
      <c r="Z35" s="2">
        <v>45160</v>
      </c>
      <c r="AA35" t="s">
        <v>1022</v>
      </c>
    </row>
    <row r="36" spans="1:27">
      <c r="A36" s="1" t="s">
        <v>61</v>
      </c>
      <c r="B36">
        <f>HYPERLINK("https://www.suredividend.com/sure-analysis-FOXA/","Fox Corporation")</f>
        <v>0</v>
      </c>
      <c r="C36" t="s">
        <v>899</v>
      </c>
      <c r="D36">
        <v>35</v>
      </c>
      <c r="E36">
        <v>31.38</v>
      </c>
      <c r="F36">
        <v>41</v>
      </c>
      <c r="G36">
        <v>0.7653658536585366</v>
      </c>
      <c r="H36">
        <v>0.01688973868706183</v>
      </c>
      <c r="I36">
        <v>0.05493617121514394</v>
      </c>
      <c r="J36">
        <v>0.05</v>
      </c>
      <c r="K36">
        <v>0.1196383230177096</v>
      </c>
      <c r="L36" t="s">
        <v>901</v>
      </c>
      <c r="M36" t="s">
        <v>580</v>
      </c>
      <c r="N36">
        <v>10.02555910543131</v>
      </c>
      <c r="O36">
        <v>3.13</v>
      </c>
      <c r="P36">
        <v>0.53</v>
      </c>
      <c r="Q36">
        <v>0.1693290734824281</v>
      </c>
      <c r="R36">
        <v>2</v>
      </c>
      <c r="S36">
        <v>0.02851538648883478</v>
      </c>
      <c r="T36" t="s">
        <v>929</v>
      </c>
      <c r="U36">
        <v>-0.055574667525235</v>
      </c>
      <c r="V36" t="s">
        <v>1004</v>
      </c>
      <c r="W36" t="s">
        <v>1008</v>
      </c>
      <c r="X36" t="s">
        <v>1017</v>
      </c>
      <c r="Y36">
        <v>15116.815804</v>
      </c>
      <c r="Z36" s="2">
        <v>45155</v>
      </c>
      <c r="AA36" t="s">
        <v>1027</v>
      </c>
    </row>
    <row r="37" spans="1:27">
      <c r="A37" s="1" t="s">
        <v>62</v>
      </c>
      <c r="B37">
        <f>HYPERLINK("https://www.suredividend.com/sure-analysis-BCPC/","Balchem Corp.")</f>
        <v>0</v>
      </c>
      <c r="C37" t="s">
        <v>898</v>
      </c>
      <c r="D37">
        <v>136</v>
      </c>
      <c r="E37">
        <v>131.08</v>
      </c>
      <c r="F37">
        <v>140</v>
      </c>
      <c r="G37">
        <v>0.9362857142857144</v>
      </c>
      <c r="H37">
        <v>0.005416539517851693</v>
      </c>
      <c r="I37">
        <v>0.01325398535258526</v>
      </c>
      <c r="J37">
        <v>0.1</v>
      </c>
      <c r="K37">
        <v>0.1195265468325093</v>
      </c>
      <c r="L37" t="s">
        <v>901</v>
      </c>
      <c r="M37" t="s">
        <v>825</v>
      </c>
      <c r="N37">
        <v>32.77</v>
      </c>
      <c r="O37">
        <v>4</v>
      </c>
      <c r="P37">
        <v>0.71</v>
      </c>
      <c r="Q37">
        <v>0.1775</v>
      </c>
      <c r="R37">
        <v>13</v>
      </c>
      <c r="S37">
        <v>0.1197738799836998</v>
      </c>
      <c r="T37" t="s">
        <v>930</v>
      </c>
      <c r="U37">
        <v>-0.022711395574971</v>
      </c>
      <c r="V37" t="s">
        <v>1004</v>
      </c>
      <c r="W37" t="s">
        <v>1008</v>
      </c>
      <c r="X37" t="s">
        <v>1011</v>
      </c>
      <c r="Y37">
        <v>4235.016056</v>
      </c>
      <c r="Z37" s="2">
        <v>45146</v>
      </c>
      <c r="AA37" t="s">
        <v>1024</v>
      </c>
    </row>
    <row r="38" spans="1:27">
      <c r="A38" s="1" t="s">
        <v>63</v>
      </c>
      <c r="B38">
        <f>HYPERLINK("https://www.suredividend.com/sure-analysis-TCEHY/","Tencent Holdings Ltd.")</f>
        <v>0</v>
      </c>
      <c r="C38" t="s">
        <v>898</v>
      </c>
      <c r="D38">
        <v>42</v>
      </c>
      <c r="E38">
        <v>40.76</v>
      </c>
      <c r="F38">
        <v>43</v>
      </c>
      <c r="G38">
        <v>0.947906976744186</v>
      </c>
      <c r="H38">
        <v>0.00760549558390579</v>
      </c>
      <c r="I38">
        <v>0.01075722883815189</v>
      </c>
      <c r="J38">
        <v>0.1</v>
      </c>
      <c r="K38">
        <v>0.1194182631103129</v>
      </c>
      <c r="L38" t="s">
        <v>901</v>
      </c>
      <c r="M38" t="s">
        <v>825</v>
      </c>
      <c r="N38">
        <v>16.304</v>
      </c>
      <c r="O38">
        <v>2.5</v>
      </c>
      <c r="P38">
        <v>0.31</v>
      </c>
      <c r="Q38">
        <v>0.124</v>
      </c>
      <c r="R38">
        <v>1</v>
      </c>
      <c r="S38">
        <v>0.1486983549970351</v>
      </c>
      <c r="T38" t="s">
        <v>931</v>
      </c>
      <c r="U38">
        <v>0.04608761711825701</v>
      </c>
      <c r="V38" t="s">
        <v>1004</v>
      </c>
      <c r="W38" t="s">
        <v>1009</v>
      </c>
      <c r="X38" t="s">
        <v>1017</v>
      </c>
      <c r="Y38">
        <v>394770.711938</v>
      </c>
      <c r="Z38" s="2">
        <v>45155</v>
      </c>
      <c r="AA38" t="s">
        <v>1032</v>
      </c>
    </row>
    <row r="39" spans="1:27">
      <c r="A39" s="1" t="s">
        <v>64</v>
      </c>
      <c r="B39">
        <f>HYPERLINK("https://www.suredividend.com/sure-analysis-BKH/","Black Hills Corporation")</f>
        <v>0</v>
      </c>
      <c r="C39" t="s">
        <v>898</v>
      </c>
      <c r="D39">
        <v>56</v>
      </c>
      <c r="E39">
        <v>55.32</v>
      </c>
      <c r="F39">
        <v>68</v>
      </c>
      <c r="G39">
        <v>0.8135294117647058</v>
      </c>
      <c r="H39">
        <v>0.04519161243673174</v>
      </c>
      <c r="I39">
        <v>0.04213827876555398</v>
      </c>
      <c r="J39">
        <v>0.04</v>
      </c>
      <c r="K39">
        <v>0.1194076367524852</v>
      </c>
      <c r="L39" t="s">
        <v>901</v>
      </c>
      <c r="M39" t="s">
        <v>901</v>
      </c>
      <c r="N39">
        <v>14.752</v>
      </c>
      <c r="O39">
        <v>3.75</v>
      </c>
      <c r="P39">
        <v>2.5</v>
      </c>
      <c r="Q39">
        <v>0.6666666666666666</v>
      </c>
      <c r="R39">
        <v>52</v>
      </c>
      <c r="S39">
        <v>0.04995366747811136</v>
      </c>
      <c r="T39" t="s">
        <v>932</v>
      </c>
      <c r="U39">
        <v>-0.274310403181452</v>
      </c>
      <c r="V39" t="s">
        <v>1004</v>
      </c>
      <c r="W39" t="s">
        <v>1008</v>
      </c>
      <c r="X39" t="s">
        <v>1018</v>
      </c>
      <c r="Y39">
        <v>3683.720155</v>
      </c>
      <c r="Z39" s="2">
        <v>45170</v>
      </c>
      <c r="AA39" t="s">
        <v>1028</v>
      </c>
    </row>
    <row r="40" spans="1:27">
      <c r="A40" s="1" t="s">
        <v>65</v>
      </c>
      <c r="B40">
        <f>HYPERLINK("https://www.suredividend.com/sure-analysis-KR/","Kroger Co.")</f>
        <v>0</v>
      </c>
      <c r="C40" t="s">
        <v>898</v>
      </c>
      <c r="D40">
        <v>46</v>
      </c>
      <c r="E40">
        <v>45.11</v>
      </c>
      <c r="F40">
        <v>59</v>
      </c>
      <c r="G40">
        <v>0.7645762711864407</v>
      </c>
      <c r="H40">
        <v>0.02571491908667701</v>
      </c>
      <c r="I40">
        <v>0.05515396903954972</v>
      </c>
      <c r="J40">
        <v>0.038</v>
      </c>
      <c r="K40">
        <v>0.1150771731467484</v>
      </c>
      <c r="L40" t="s">
        <v>901</v>
      </c>
      <c r="M40" t="s">
        <v>902</v>
      </c>
      <c r="N40">
        <v>10.02444444444444</v>
      </c>
      <c r="O40">
        <v>4.5</v>
      </c>
      <c r="P40">
        <v>1.16</v>
      </c>
      <c r="Q40">
        <v>0.2577777777777778</v>
      </c>
      <c r="R40">
        <v>18</v>
      </c>
      <c r="S40">
        <v>0.04707785177516688</v>
      </c>
      <c r="T40" t="s">
        <v>917</v>
      </c>
      <c r="U40">
        <v>-0.075515114963581</v>
      </c>
      <c r="V40" t="s">
        <v>1004</v>
      </c>
      <c r="W40" t="s">
        <v>1008</v>
      </c>
      <c r="X40" t="s">
        <v>1011</v>
      </c>
      <c r="Y40">
        <v>32786.615354</v>
      </c>
      <c r="Z40" s="2">
        <v>45098</v>
      </c>
      <c r="AA40" t="s">
        <v>1026</v>
      </c>
    </row>
    <row r="41" spans="1:27">
      <c r="A41" s="1" t="s">
        <v>66</v>
      </c>
      <c r="B41">
        <f>HYPERLINK("https://www.suredividend.com/sure-analysis-LOW/","Lowe`s Cos., Inc.")</f>
        <v>0</v>
      </c>
      <c r="C41" t="s">
        <v>898</v>
      </c>
      <c r="D41">
        <v>233</v>
      </c>
      <c r="E41">
        <v>228.82</v>
      </c>
      <c r="F41">
        <v>248</v>
      </c>
      <c r="G41">
        <v>0.9226612903225806</v>
      </c>
      <c r="H41">
        <v>0.01922908836640154</v>
      </c>
      <c r="I41">
        <v>0.01622889646527703</v>
      </c>
      <c r="J41">
        <v>0.08</v>
      </c>
      <c r="K41">
        <v>0.114781811184069</v>
      </c>
      <c r="L41" t="s">
        <v>901</v>
      </c>
      <c r="M41" t="s">
        <v>902</v>
      </c>
      <c r="N41">
        <v>17.07611940298507</v>
      </c>
      <c r="O41">
        <v>13.4</v>
      </c>
      <c r="P41">
        <v>4.4</v>
      </c>
      <c r="Q41">
        <v>0.3283582089552239</v>
      </c>
      <c r="R41">
        <v>60</v>
      </c>
      <c r="S41">
        <v>0.1001165843093035</v>
      </c>
      <c r="T41" t="s">
        <v>933</v>
      </c>
      <c r="U41">
        <v>0.139487873285625</v>
      </c>
      <c r="V41" t="s">
        <v>1004</v>
      </c>
      <c r="W41" t="s">
        <v>1008</v>
      </c>
      <c r="X41" t="s">
        <v>1013</v>
      </c>
      <c r="Y41">
        <v>132990.431066</v>
      </c>
      <c r="Z41" s="2">
        <v>45180</v>
      </c>
      <c r="AA41" t="s">
        <v>1026</v>
      </c>
    </row>
    <row r="42" spans="1:27">
      <c r="A42" s="1" t="s">
        <v>67</v>
      </c>
      <c r="B42">
        <f>HYPERLINK("https://www.suredividend.com/sure-analysis-MDT/","Medtronic Plc")</f>
        <v>0</v>
      </c>
      <c r="C42" t="s">
        <v>898</v>
      </c>
      <c r="D42">
        <v>82</v>
      </c>
      <c r="E42">
        <v>81.31999999999999</v>
      </c>
      <c r="F42">
        <v>87</v>
      </c>
      <c r="G42">
        <v>0.9347126436781609</v>
      </c>
      <c r="H42">
        <v>0.03393999016232169</v>
      </c>
      <c r="I42">
        <v>0.01359480628037746</v>
      </c>
      <c r="J42">
        <v>0.07000000000000001</v>
      </c>
      <c r="K42">
        <v>0.1135738096752776</v>
      </c>
      <c r="L42" t="s">
        <v>901</v>
      </c>
      <c r="M42" t="s">
        <v>901</v>
      </c>
      <c r="N42">
        <v>15.85185185185185</v>
      </c>
      <c r="O42">
        <v>5.13</v>
      </c>
      <c r="P42">
        <v>2.76</v>
      </c>
      <c r="Q42">
        <v>0.5380116959064327</v>
      </c>
      <c r="R42">
        <v>46</v>
      </c>
      <c r="S42">
        <v>0.07487316557532875</v>
      </c>
      <c r="T42" t="s">
        <v>934</v>
      </c>
      <c r="U42">
        <v>-0.09065694365060001</v>
      </c>
      <c r="V42" t="s">
        <v>1004</v>
      </c>
      <c r="W42" t="s">
        <v>1009</v>
      </c>
      <c r="X42" t="s">
        <v>1014</v>
      </c>
      <c r="Y42">
        <v>107746.620079</v>
      </c>
      <c r="Z42" s="2">
        <v>45167</v>
      </c>
      <c r="AA42" t="s">
        <v>1022</v>
      </c>
    </row>
    <row r="43" spans="1:27">
      <c r="A43" s="1" t="s">
        <v>68</v>
      </c>
      <c r="B43">
        <f>HYPERLINK("https://www.suredividend.com/sure-analysis-ADP/","Automatic Data Processing Inc.")</f>
        <v>0</v>
      </c>
      <c r="C43" t="s">
        <v>898</v>
      </c>
      <c r="D43">
        <v>251</v>
      </c>
      <c r="E43">
        <v>247.81</v>
      </c>
      <c r="F43">
        <v>264</v>
      </c>
      <c r="G43">
        <v>0.9386742424242425</v>
      </c>
      <c r="H43">
        <v>0.02017674831524151</v>
      </c>
      <c r="I43">
        <v>0.01273779929946284</v>
      </c>
      <c r="J43">
        <v>0.08</v>
      </c>
      <c r="K43">
        <v>0.1110703262162904</v>
      </c>
      <c r="L43" t="s">
        <v>901</v>
      </c>
      <c r="M43" t="s">
        <v>902</v>
      </c>
      <c r="N43">
        <v>27.23186813186813</v>
      </c>
      <c r="O43">
        <v>9.1</v>
      </c>
      <c r="P43">
        <v>5</v>
      </c>
      <c r="Q43">
        <v>0.5494505494505495</v>
      </c>
      <c r="R43">
        <v>48</v>
      </c>
      <c r="S43">
        <v>0.08009875865888949</v>
      </c>
      <c r="T43" t="s">
        <v>924</v>
      </c>
      <c r="U43">
        <v>0.049793000053755</v>
      </c>
      <c r="V43" t="s">
        <v>1004</v>
      </c>
      <c r="W43" t="s">
        <v>1008</v>
      </c>
      <c r="X43" t="s">
        <v>1012</v>
      </c>
      <c r="Y43">
        <v>102180.983497</v>
      </c>
      <c r="Z43" s="2">
        <v>45139</v>
      </c>
      <c r="AA43" t="s">
        <v>1030</v>
      </c>
    </row>
    <row r="44" spans="1:27">
      <c r="A44" s="1" t="s">
        <v>69</v>
      </c>
      <c r="B44">
        <f>HYPERLINK("https://www.suredividend.com/sure-analysis-PRI/","Primerica Inc")</f>
        <v>0</v>
      </c>
      <c r="C44" t="s">
        <v>898</v>
      </c>
      <c r="D44">
        <v>214</v>
      </c>
      <c r="E44">
        <v>203.43</v>
      </c>
      <c r="F44">
        <v>203</v>
      </c>
      <c r="G44">
        <v>1.002118226600985</v>
      </c>
      <c r="H44">
        <v>0.01278080912353144</v>
      </c>
      <c r="I44">
        <v>-0.0004231077290831609</v>
      </c>
      <c r="J44">
        <v>0.1</v>
      </c>
      <c r="K44">
        <v>0.1110406238968427</v>
      </c>
      <c r="L44" t="s">
        <v>901</v>
      </c>
      <c r="M44" t="s">
        <v>580</v>
      </c>
      <c r="N44">
        <v>14.02965517241379</v>
      </c>
      <c r="O44">
        <v>14.5</v>
      </c>
      <c r="P44">
        <v>2.6</v>
      </c>
      <c r="Q44">
        <v>0.1793103448275862</v>
      </c>
      <c r="R44">
        <v>13</v>
      </c>
      <c r="S44">
        <v>0.1001404547409948</v>
      </c>
      <c r="T44" t="s">
        <v>905</v>
      </c>
      <c r="U44">
        <v>0.6001162308269631</v>
      </c>
      <c r="V44" t="s">
        <v>1004</v>
      </c>
      <c r="W44" t="s">
        <v>1008</v>
      </c>
      <c r="X44" t="s">
        <v>1015</v>
      </c>
      <c r="Y44">
        <v>7366.179668</v>
      </c>
      <c r="Z44" s="2">
        <v>45152</v>
      </c>
      <c r="AA44" t="s">
        <v>1023</v>
      </c>
    </row>
    <row r="45" spans="1:27">
      <c r="A45" s="1" t="s">
        <v>70</v>
      </c>
      <c r="B45">
        <f>HYPERLINK("https://www.suredividend.com/sure-analysis-LANC/","Lancaster Colony Corp.")</f>
        <v>0</v>
      </c>
      <c r="C45" t="s">
        <v>898</v>
      </c>
      <c r="D45">
        <v>165</v>
      </c>
      <c r="E45">
        <v>166.27</v>
      </c>
      <c r="F45">
        <v>177</v>
      </c>
      <c r="G45">
        <v>0.9393785310734464</v>
      </c>
      <c r="H45">
        <v>0.02044866782943405</v>
      </c>
      <c r="I45">
        <v>0.01258589594787995</v>
      </c>
      <c r="J45">
        <v>0.08</v>
      </c>
      <c r="K45">
        <v>0.1101684251505022</v>
      </c>
      <c r="L45" t="s">
        <v>901</v>
      </c>
      <c r="M45" t="s">
        <v>902</v>
      </c>
      <c r="N45">
        <v>27.25737704918033</v>
      </c>
      <c r="O45">
        <v>6.1</v>
      </c>
      <c r="P45">
        <v>3.4</v>
      </c>
      <c r="Q45">
        <v>0.5573770491803279</v>
      </c>
      <c r="R45">
        <v>60</v>
      </c>
      <c r="S45">
        <v>0.06000153927394081</v>
      </c>
      <c r="T45" t="s">
        <v>924</v>
      </c>
      <c r="U45">
        <v>-0.029609715599378</v>
      </c>
      <c r="V45" t="s">
        <v>1004</v>
      </c>
      <c r="W45" t="s">
        <v>1008</v>
      </c>
      <c r="X45" t="s">
        <v>1011</v>
      </c>
      <c r="Y45">
        <v>4430.6316</v>
      </c>
      <c r="Z45" s="2">
        <v>45168</v>
      </c>
      <c r="AA45" t="s">
        <v>1030</v>
      </c>
    </row>
    <row r="46" spans="1:27">
      <c r="A46" s="1" t="s">
        <v>71</v>
      </c>
      <c r="B46">
        <f>HYPERLINK("https://www.suredividend.com/sure-analysis-EFSI/","Eagle Financial Services, Inc.")</f>
        <v>0</v>
      </c>
      <c r="C46" t="s">
        <v>899</v>
      </c>
      <c r="D46">
        <v>32</v>
      </c>
      <c r="E46">
        <v>32.15</v>
      </c>
      <c r="F46">
        <v>39</v>
      </c>
      <c r="G46">
        <v>0.8243589743589743</v>
      </c>
      <c r="H46">
        <v>0.03732503888024884</v>
      </c>
      <c r="I46">
        <v>0.03938567248632996</v>
      </c>
      <c r="J46">
        <v>0.04</v>
      </c>
      <c r="K46">
        <v>0.1093175932775332</v>
      </c>
      <c r="L46" t="s">
        <v>901</v>
      </c>
      <c r="M46" t="s">
        <v>901</v>
      </c>
      <c r="N46">
        <v>9.455882352941176</v>
      </c>
      <c r="O46">
        <v>3.4</v>
      </c>
      <c r="P46">
        <v>1.2</v>
      </c>
      <c r="Q46">
        <v>0.3529411764705883</v>
      </c>
      <c r="R46">
        <v>35</v>
      </c>
      <c r="S46">
        <v>0.02983277847878951</v>
      </c>
      <c r="T46" t="s">
        <v>910</v>
      </c>
      <c r="U46">
        <v>-0.129905277401894</v>
      </c>
      <c r="V46" t="s">
        <v>1004</v>
      </c>
      <c r="W46" t="s">
        <v>1008</v>
      </c>
      <c r="X46" t="s">
        <v>1015</v>
      </c>
      <c r="Y46">
        <v>113.197707</v>
      </c>
      <c r="Z46" s="2">
        <v>45170</v>
      </c>
      <c r="AA46" t="s">
        <v>1028</v>
      </c>
    </row>
    <row r="47" spans="1:27">
      <c r="A47" s="1" t="s">
        <v>72</v>
      </c>
      <c r="B47">
        <f>HYPERLINK("https://www.suredividend.com/sure-analysis-DCI/","Donaldson Co. Inc.")</f>
        <v>0</v>
      </c>
      <c r="C47" t="s">
        <v>899</v>
      </c>
      <c r="D47">
        <v>65</v>
      </c>
      <c r="E47">
        <v>61.53</v>
      </c>
      <c r="F47">
        <v>66</v>
      </c>
      <c r="G47">
        <v>0.9322727272727273</v>
      </c>
      <c r="H47">
        <v>0.01625223468226881</v>
      </c>
      <c r="I47">
        <v>0.01412480176060193</v>
      </c>
      <c r="J47">
        <v>0.08</v>
      </c>
      <c r="K47">
        <v>0.109210458391066</v>
      </c>
      <c r="L47" t="s">
        <v>901</v>
      </c>
      <c r="M47" t="s">
        <v>580</v>
      </c>
      <c r="N47">
        <v>19.53333333333333</v>
      </c>
      <c r="O47">
        <v>3.15</v>
      </c>
      <c r="P47">
        <v>1</v>
      </c>
      <c r="Q47">
        <v>0.3174603174603174</v>
      </c>
      <c r="R47">
        <v>27</v>
      </c>
      <c r="S47">
        <v>0.08009875865888949</v>
      </c>
      <c r="T47" t="s">
        <v>917</v>
      </c>
      <c r="U47">
        <v>0.180557015038297</v>
      </c>
      <c r="V47" t="s">
        <v>1004</v>
      </c>
      <c r="W47" t="s">
        <v>1008</v>
      </c>
      <c r="X47" t="s">
        <v>1012</v>
      </c>
      <c r="Y47">
        <v>7491.554735</v>
      </c>
      <c r="Z47" s="2">
        <v>45175</v>
      </c>
      <c r="AA47" t="s">
        <v>1030</v>
      </c>
    </row>
    <row r="48" spans="1:27">
      <c r="A48" s="1" t="s">
        <v>73</v>
      </c>
      <c r="B48">
        <f>HYPERLINK("https://www.suredividend.com/sure-analysis-NWN/","Northwest Natural Holding Co")</f>
        <v>0</v>
      </c>
      <c r="C48" t="s">
        <v>898</v>
      </c>
      <c r="D48">
        <v>40</v>
      </c>
      <c r="E48">
        <v>40.16</v>
      </c>
      <c r="F48">
        <v>45.7</v>
      </c>
      <c r="G48">
        <v>0.8787746170678336</v>
      </c>
      <c r="H48">
        <v>0.04830677290836654</v>
      </c>
      <c r="I48">
        <v>0.0261822520014996</v>
      </c>
      <c r="J48">
        <v>0.045</v>
      </c>
      <c r="K48">
        <v>0.108201394543447</v>
      </c>
      <c r="L48" t="s">
        <v>901</v>
      </c>
      <c r="M48" t="s">
        <v>901</v>
      </c>
      <c r="N48">
        <v>14.92936802973978</v>
      </c>
      <c r="O48">
        <v>2.69</v>
      </c>
      <c r="P48">
        <v>1.94</v>
      </c>
      <c r="Q48">
        <v>0.7211895910780669</v>
      </c>
      <c r="R48">
        <v>67</v>
      </c>
      <c r="S48">
        <v>0.01597614985727058</v>
      </c>
      <c r="T48" t="s">
        <v>918</v>
      </c>
      <c r="U48">
        <v>-0.159625111885781</v>
      </c>
      <c r="V48" t="s">
        <v>1004</v>
      </c>
      <c r="W48" t="s">
        <v>1008</v>
      </c>
      <c r="X48" t="s">
        <v>1018</v>
      </c>
      <c r="Y48">
        <v>1445.85475</v>
      </c>
      <c r="Z48" s="2">
        <v>45165</v>
      </c>
      <c r="AA48" t="s">
        <v>1033</v>
      </c>
    </row>
    <row r="49" spans="1:27">
      <c r="A49" s="1" t="s">
        <v>74</v>
      </c>
      <c r="B49">
        <f>HYPERLINK("https://www.suredividend.com/sure-analysis-PPG/","PPG Industries, Inc.")</f>
        <v>0</v>
      </c>
      <c r="C49" t="s">
        <v>899</v>
      </c>
      <c r="D49">
        <v>149</v>
      </c>
      <c r="E49">
        <v>133</v>
      </c>
      <c r="F49">
        <v>140</v>
      </c>
      <c r="G49">
        <v>0.95</v>
      </c>
      <c r="H49">
        <v>0.01954887218045113</v>
      </c>
      <c r="I49">
        <v>0.01031145931793609</v>
      </c>
      <c r="J49">
        <v>0.08</v>
      </c>
      <c r="K49">
        <v>0.1080775083912004</v>
      </c>
      <c r="L49" t="s">
        <v>901</v>
      </c>
      <c r="M49" t="s">
        <v>902</v>
      </c>
      <c r="N49">
        <v>18.02168021680217</v>
      </c>
      <c r="O49">
        <v>7.38</v>
      </c>
      <c r="P49">
        <v>2.6</v>
      </c>
      <c r="Q49">
        <v>0.3523035230352304</v>
      </c>
      <c r="R49">
        <v>52</v>
      </c>
      <c r="S49">
        <v>0.07998569482738827</v>
      </c>
      <c r="T49" t="s">
        <v>906</v>
      </c>
      <c r="U49">
        <v>0.0367976400924</v>
      </c>
      <c r="V49" t="s">
        <v>1004</v>
      </c>
      <c r="W49" t="s">
        <v>1008</v>
      </c>
      <c r="X49" t="s">
        <v>1010</v>
      </c>
      <c r="Y49">
        <v>31521.060054</v>
      </c>
      <c r="Z49" s="2">
        <v>45130</v>
      </c>
      <c r="AA49" t="s">
        <v>1021</v>
      </c>
    </row>
    <row r="50" spans="1:27">
      <c r="A50" s="1" t="s">
        <v>75</v>
      </c>
      <c r="B50">
        <f>HYPERLINK("https://www.suredividend.com/sure-analysis-JNJ/","Johnson &amp; Johnson")</f>
        <v>0</v>
      </c>
      <c r="C50" t="s">
        <v>898</v>
      </c>
      <c r="D50">
        <v>168</v>
      </c>
      <c r="E50">
        <v>163.99</v>
      </c>
      <c r="F50">
        <v>183</v>
      </c>
      <c r="G50">
        <v>0.8961202185792351</v>
      </c>
      <c r="H50">
        <v>0.02902616013171535</v>
      </c>
      <c r="I50">
        <v>0.02217850657496423</v>
      </c>
      <c r="J50">
        <v>0.06</v>
      </c>
      <c r="K50">
        <v>0.1075835723524825</v>
      </c>
      <c r="L50" t="s">
        <v>901</v>
      </c>
      <c r="M50" t="s">
        <v>901</v>
      </c>
      <c r="N50">
        <v>15.25488372093023</v>
      </c>
      <c r="O50">
        <v>10.75</v>
      </c>
      <c r="P50">
        <v>4.76</v>
      </c>
      <c r="Q50">
        <v>0.4427906976744186</v>
      </c>
      <c r="R50">
        <v>61</v>
      </c>
      <c r="S50">
        <v>0.06000153927394081</v>
      </c>
      <c r="T50" t="s">
        <v>927</v>
      </c>
      <c r="U50">
        <v>0.015963003494197</v>
      </c>
      <c r="V50" t="s">
        <v>1004</v>
      </c>
      <c r="W50" t="s">
        <v>1008</v>
      </c>
      <c r="X50" t="s">
        <v>1014</v>
      </c>
      <c r="Y50">
        <v>425139.446187</v>
      </c>
      <c r="Z50" s="2">
        <v>45128</v>
      </c>
      <c r="AA50" t="s">
        <v>1021</v>
      </c>
    </row>
    <row r="51" spans="1:27">
      <c r="A51" s="1" t="s">
        <v>76</v>
      </c>
      <c r="B51">
        <f>HYPERLINK("https://www.suredividend.com/sure-analysis-DOV/","Dover Corp.")</f>
        <v>0</v>
      </c>
      <c r="C51" t="s">
        <v>898</v>
      </c>
      <c r="D51">
        <v>145</v>
      </c>
      <c r="E51">
        <v>141.2</v>
      </c>
      <c r="F51">
        <v>152</v>
      </c>
      <c r="G51">
        <v>0.9289473684210525</v>
      </c>
      <c r="H51">
        <v>0.01444759206798867</v>
      </c>
      <c r="I51">
        <v>0.01484981817535824</v>
      </c>
      <c r="J51">
        <v>0.08</v>
      </c>
      <c r="K51">
        <v>0.1073533991296212</v>
      </c>
      <c r="L51" t="s">
        <v>901</v>
      </c>
      <c r="M51" t="s">
        <v>902</v>
      </c>
      <c r="N51">
        <v>15.81187010078387</v>
      </c>
      <c r="O51">
        <v>8.93</v>
      </c>
      <c r="P51">
        <v>2.04</v>
      </c>
      <c r="Q51">
        <v>0.2284434490481523</v>
      </c>
      <c r="R51">
        <v>68</v>
      </c>
      <c r="S51">
        <v>0.04808838399458915</v>
      </c>
      <c r="T51" t="s">
        <v>925</v>
      </c>
      <c r="U51">
        <v>0.09508769174917801</v>
      </c>
      <c r="V51" t="s">
        <v>1004</v>
      </c>
      <c r="W51" t="s">
        <v>1008</v>
      </c>
      <c r="X51" t="s">
        <v>1012</v>
      </c>
      <c r="Y51">
        <v>19704.025728</v>
      </c>
      <c r="Z51" s="2">
        <v>45133</v>
      </c>
      <c r="AA51" t="s">
        <v>1021</v>
      </c>
    </row>
    <row r="52" spans="1:27">
      <c r="A52" s="1" t="s">
        <v>77</v>
      </c>
      <c r="B52">
        <f>HYPERLINK("https://www.suredividend.com/sure-analysis-WSM/","Williams-Sonoma, Inc.")</f>
        <v>0</v>
      </c>
      <c r="C52" t="s">
        <v>898</v>
      </c>
      <c r="D52">
        <v>140</v>
      </c>
      <c r="E52">
        <v>142.46</v>
      </c>
      <c r="F52">
        <v>186</v>
      </c>
      <c r="G52">
        <v>0.7659139784946237</v>
      </c>
      <c r="H52">
        <v>0.02527025129861013</v>
      </c>
      <c r="I52">
        <v>0.0547851353732951</v>
      </c>
      <c r="J52">
        <v>0.03</v>
      </c>
      <c r="K52">
        <v>0.1072951292929607</v>
      </c>
      <c r="L52" t="s">
        <v>901</v>
      </c>
      <c r="M52" t="s">
        <v>902</v>
      </c>
      <c r="N52">
        <v>10.3985401459854</v>
      </c>
      <c r="O52">
        <v>13.7</v>
      </c>
      <c r="P52">
        <v>3.6</v>
      </c>
      <c r="Q52">
        <v>0.2627737226277372</v>
      </c>
      <c r="R52">
        <v>17</v>
      </c>
      <c r="S52">
        <v>0.06010506010596317</v>
      </c>
      <c r="T52" t="s">
        <v>935</v>
      </c>
      <c r="U52">
        <v>-0.069985186374139</v>
      </c>
      <c r="V52" t="s">
        <v>1004</v>
      </c>
      <c r="W52" t="s">
        <v>1008</v>
      </c>
      <c r="X52" t="s">
        <v>1013</v>
      </c>
      <c r="Y52">
        <v>8919.996746999999</v>
      </c>
      <c r="Z52" s="2">
        <v>45167</v>
      </c>
      <c r="AA52" t="s">
        <v>1022</v>
      </c>
    </row>
    <row r="53" spans="1:27">
      <c r="A53" s="1" t="s">
        <v>78</v>
      </c>
      <c r="B53">
        <f>HYPERLINK("https://www.suredividend.com/sure-analysis-GPC/","Genuine Parts Co.")</f>
        <v>0</v>
      </c>
      <c r="C53" t="s">
        <v>899</v>
      </c>
      <c r="D53">
        <v>156</v>
      </c>
      <c r="E53">
        <v>148.47</v>
      </c>
      <c r="F53">
        <v>167</v>
      </c>
      <c r="G53">
        <v>0.8890419161676647</v>
      </c>
      <c r="H53">
        <v>0.02559439617431131</v>
      </c>
      <c r="I53">
        <v>0.0238010073333117</v>
      </c>
      <c r="J53">
        <v>0.06</v>
      </c>
      <c r="K53">
        <v>0.1070439682757636</v>
      </c>
      <c r="L53" t="s">
        <v>901</v>
      </c>
      <c r="M53" t="s">
        <v>901</v>
      </c>
      <c r="N53">
        <v>16.05081081081081</v>
      </c>
      <c r="O53">
        <v>9.25</v>
      </c>
      <c r="P53">
        <v>3.8</v>
      </c>
      <c r="Q53">
        <v>0.4108108108108108</v>
      </c>
      <c r="R53">
        <v>67</v>
      </c>
      <c r="S53">
        <v>0.07001218289169242</v>
      </c>
      <c r="T53" t="s">
        <v>924</v>
      </c>
      <c r="U53">
        <v>-0.07611627586033801</v>
      </c>
      <c r="V53" t="s">
        <v>1004</v>
      </c>
      <c r="W53" t="s">
        <v>1008</v>
      </c>
      <c r="X53" t="s">
        <v>1013</v>
      </c>
      <c r="Y53">
        <v>20683.700834</v>
      </c>
      <c r="Z53" s="2">
        <v>45143</v>
      </c>
      <c r="AA53" t="s">
        <v>1030</v>
      </c>
    </row>
    <row r="54" spans="1:27">
      <c r="A54" s="1" t="s">
        <v>79</v>
      </c>
      <c r="B54">
        <f>HYPERLINK("https://www.suredividend.com/sure-analysis-LNN/","Lindsay Corporation")</f>
        <v>0</v>
      </c>
      <c r="C54" t="s">
        <v>898</v>
      </c>
      <c r="D54">
        <v>127</v>
      </c>
      <c r="E54">
        <v>124.28</v>
      </c>
      <c r="F54">
        <v>148</v>
      </c>
      <c r="G54">
        <v>0.8397297297297297</v>
      </c>
      <c r="H54">
        <v>0.01126488574187319</v>
      </c>
      <c r="I54">
        <v>0.03555243489968674</v>
      </c>
      <c r="J54">
        <v>0.06</v>
      </c>
      <c r="K54">
        <v>0.1062808765438015</v>
      </c>
      <c r="L54" t="s">
        <v>901</v>
      </c>
      <c r="M54" t="s">
        <v>580</v>
      </c>
      <c r="N54">
        <v>20.20813008130081</v>
      </c>
      <c r="O54">
        <v>6.15</v>
      </c>
      <c r="P54">
        <v>1.4</v>
      </c>
      <c r="Q54">
        <v>0.2276422764227642</v>
      </c>
      <c r="R54">
        <v>21</v>
      </c>
      <c r="S54">
        <v>0.03959498820755258</v>
      </c>
      <c r="T54" t="s">
        <v>936</v>
      </c>
      <c r="U54">
        <v>-0.223384312413605</v>
      </c>
      <c r="V54" t="s">
        <v>1004</v>
      </c>
      <c r="W54" t="s">
        <v>1008</v>
      </c>
      <c r="X54" t="s">
        <v>1012</v>
      </c>
      <c r="Y54">
        <v>1354.540593</v>
      </c>
      <c r="Z54" s="2">
        <v>45125</v>
      </c>
      <c r="AA54" t="s">
        <v>1034</v>
      </c>
    </row>
    <row r="55" spans="1:27">
      <c r="A55" s="1" t="s">
        <v>80</v>
      </c>
      <c r="B55">
        <f>HYPERLINK("https://www.suredividend.com/sure-analysis-TMO/","Thermo Fisher Scientific Inc.")</f>
        <v>0</v>
      </c>
      <c r="C55" t="s">
        <v>899</v>
      </c>
      <c r="D55">
        <v>565</v>
      </c>
      <c r="E55">
        <v>510.55</v>
      </c>
      <c r="F55">
        <v>518</v>
      </c>
      <c r="G55">
        <v>0.9856177606177606</v>
      </c>
      <c r="H55">
        <v>0.002742140828518265</v>
      </c>
      <c r="I55">
        <v>0.002901534578140463</v>
      </c>
      <c r="J55">
        <v>0.1</v>
      </c>
      <c r="K55">
        <v>0.10605053084525</v>
      </c>
      <c r="L55" t="s">
        <v>901</v>
      </c>
      <c r="M55" t="s">
        <v>825</v>
      </c>
      <c r="N55">
        <v>22.69111111111111</v>
      </c>
      <c r="O55">
        <v>22.5</v>
      </c>
      <c r="P55">
        <v>1.4</v>
      </c>
      <c r="Q55">
        <v>0.06222222222222222</v>
      </c>
      <c r="R55">
        <v>6</v>
      </c>
      <c r="S55">
        <v>0.1503346840762383</v>
      </c>
      <c r="T55" t="s">
        <v>912</v>
      </c>
      <c r="U55">
        <v>-0.115654417288792</v>
      </c>
      <c r="V55" t="s">
        <v>1004</v>
      </c>
      <c r="W55" t="s">
        <v>1008</v>
      </c>
      <c r="X55" t="s">
        <v>1014</v>
      </c>
      <c r="Y55">
        <v>197216.474505</v>
      </c>
      <c r="Z55" s="2">
        <v>45133</v>
      </c>
      <c r="AA55" t="s">
        <v>1032</v>
      </c>
    </row>
    <row r="56" spans="1:27">
      <c r="A56" s="1" t="s">
        <v>81</v>
      </c>
      <c r="B56">
        <f>HYPERLINK("https://www.suredividend.com/sure-analysis-DE/","Deere &amp; Co.")</f>
        <v>0</v>
      </c>
      <c r="C56" t="s">
        <v>898</v>
      </c>
      <c r="D56">
        <v>394</v>
      </c>
      <c r="E56">
        <v>402.23</v>
      </c>
      <c r="F56">
        <v>571</v>
      </c>
      <c r="G56">
        <v>0.7044308231173381</v>
      </c>
      <c r="H56">
        <v>0.01342515476220073</v>
      </c>
      <c r="I56">
        <v>0.07258650838775949</v>
      </c>
      <c r="J56">
        <v>0.02</v>
      </c>
      <c r="K56">
        <v>0.1048785193344597</v>
      </c>
      <c r="L56" t="s">
        <v>901</v>
      </c>
      <c r="M56" t="s">
        <v>580</v>
      </c>
      <c r="N56">
        <v>11.90029585798817</v>
      </c>
      <c r="O56">
        <v>33.8</v>
      </c>
      <c r="P56">
        <v>5.4</v>
      </c>
      <c r="Q56">
        <v>0.1597633136094675</v>
      </c>
      <c r="R56">
        <v>3</v>
      </c>
      <c r="S56">
        <v>0.05566931843993772</v>
      </c>
      <c r="T56" t="s">
        <v>911</v>
      </c>
      <c r="U56">
        <v>0.08876230358783201</v>
      </c>
      <c r="V56" t="s">
        <v>1004</v>
      </c>
      <c r="W56" t="s">
        <v>1008</v>
      </c>
      <c r="X56" t="s">
        <v>1012</v>
      </c>
      <c r="Y56">
        <v>115851.112104</v>
      </c>
      <c r="Z56" s="2">
        <v>45162</v>
      </c>
      <c r="AA56" t="s">
        <v>1022</v>
      </c>
    </row>
    <row r="57" spans="1:27">
      <c r="A57" s="1" t="s">
        <v>82</v>
      </c>
      <c r="B57">
        <f>HYPERLINK("https://www.suredividend.com/sure-analysis-BOKF/","BOK Financial Corp.")</f>
        <v>0</v>
      </c>
      <c r="C57" t="s">
        <v>899</v>
      </c>
      <c r="D57">
        <v>89</v>
      </c>
      <c r="E57">
        <v>82.95999999999999</v>
      </c>
      <c r="F57">
        <v>102</v>
      </c>
      <c r="G57">
        <v>0.8133333333333332</v>
      </c>
      <c r="H57">
        <v>0.02603664416586307</v>
      </c>
      <c r="I57">
        <v>0.04218852166805176</v>
      </c>
      <c r="J57">
        <v>0.04</v>
      </c>
      <c r="K57">
        <v>0.1043515056443252</v>
      </c>
      <c r="L57" t="s">
        <v>901</v>
      </c>
      <c r="M57" t="s">
        <v>902</v>
      </c>
      <c r="N57">
        <v>9.321348314606741</v>
      </c>
      <c r="O57">
        <v>8.9</v>
      </c>
      <c r="P57">
        <v>2.16</v>
      </c>
      <c r="Q57">
        <v>0.2426966292134831</v>
      </c>
      <c r="R57">
        <v>18</v>
      </c>
      <c r="S57">
        <v>0.04016060061424764</v>
      </c>
      <c r="T57" t="s">
        <v>917</v>
      </c>
      <c r="U57">
        <v>-0.07793381403345701</v>
      </c>
      <c r="V57" t="s">
        <v>1004</v>
      </c>
      <c r="W57" t="s">
        <v>1008</v>
      </c>
      <c r="X57" t="s">
        <v>1015</v>
      </c>
      <c r="Y57">
        <v>5492.051962</v>
      </c>
      <c r="Z57" s="2">
        <v>45140</v>
      </c>
      <c r="AA57" t="s">
        <v>1023</v>
      </c>
    </row>
    <row r="58" spans="1:27">
      <c r="A58" s="1" t="s">
        <v>83</v>
      </c>
      <c r="B58">
        <f>HYPERLINK("https://www.suredividend.com/sure-analysis-UNM/","Unum Group")</f>
        <v>0</v>
      </c>
      <c r="C58" t="s">
        <v>898</v>
      </c>
      <c r="D58">
        <v>48</v>
      </c>
      <c r="E58">
        <v>48.22</v>
      </c>
      <c r="F58">
        <v>61</v>
      </c>
      <c r="G58">
        <v>0.7904918032786885</v>
      </c>
      <c r="H58">
        <v>0.03027789299046039</v>
      </c>
      <c r="I58">
        <v>0.04814296993090972</v>
      </c>
      <c r="J58">
        <v>0.03</v>
      </c>
      <c r="K58">
        <v>0.1036348139908545</v>
      </c>
      <c r="L58" t="s">
        <v>901</v>
      </c>
      <c r="M58" t="s">
        <v>902</v>
      </c>
      <c r="N58">
        <v>6.262337662337662</v>
      </c>
      <c r="O58">
        <v>7.7</v>
      </c>
      <c r="P58">
        <v>1.46</v>
      </c>
      <c r="Q58">
        <v>0.1896103896103896</v>
      </c>
      <c r="R58">
        <v>15</v>
      </c>
      <c r="S58">
        <v>0.04043134889410194</v>
      </c>
      <c r="T58" t="s">
        <v>937</v>
      </c>
      <c r="U58">
        <v>0.251754675694645</v>
      </c>
      <c r="V58" t="s">
        <v>1004</v>
      </c>
      <c r="W58" t="s">
        <v>1008</v>
      </c>
      <c r="X58" t="s">
        <v>1015</v>
      </c>
      <c r="Y58">
        <v>9489.753518</v>
      </c>
      <c r="Z58" s="2">
        <v>45162</v>
      </c>
      <c r="AA58" t="s">
        <v>1022</v>
      </c>
    </row>
    <row r="59" spans="1:27">
      <c r="A59" s="1" t="s">
        <v>84</v>
      </c>
      <c r="B59">
        <f>HYPERLINK("https://www.suredividend.com/sure-analysis-RJF/","Raymond James Financial, Inc.")</f>
        <v>0</v>
      </c>
      <c r="C59" t="s">
        <v>899</v>
      </c>
      <c r="D59">
        <v>110</v>
      </c>
      <c r="E59">
        <v>106.2</v>
      </c>
      <c r="F59">
        <v>109</v>
      </c>
      <c r="G59">
        <v>0.9743119266055046</v>
      </c>
      <c r="H59">
        <v>0.01581920903954802</v>
      </c>
      <c r="I59">
        <v>0.005218322949539944</v>
      </c>
      <c r="J59">
        <v>0.08</v>
      </c>
      <c r="K59">
        <v>0.1018394919514898</v>
      </c>
      <c r="L59" t="s">
        <v>901</v>
      </c>
      <c r="M59" t="s">
        <v>580</v>
      </c>
      <c r="N59">
        <v>12.20689655172414</v>
      </c>
      <c r="O59">
        <v>8.699999999999999</v>
      </c>
      <c r="P59">
        <v>1.68</v>
      </c>
      <c r="Q59">
        <v>0.1931034482758621</v>
      </c>
      <c r="R59">
        <v>11</v>
      </c>
      <c r="S59">
        <v>0.1303436071377047</v>
      </c>
      <c r="T59" t="s">
        <v>938</v>
      </c>
      <c r="U59">
        <v>-0.001558416559934</v>
      </c>
      <c r="V59" t="s">
        <v>1004</v>
      </c>
      <c r="W59" t="s">
        <v>1008</v>
      </c>
      <c r="X59" t="s">
        <v>1015</v>
      </c>
      <c r="Y59">
        <v>22531.914074</v>
      </c>
      <c r="Z59" s="2">
        <v>45140</v>
      </c>
      <c r="AA59" t="s">
        <v>1023</v>
      </c>
    </row>
    <row r="60" spans="1:27">
      <c r="A60" s="1" t="s">
        <v>85</v>
      </c>
      <c r="B60">
        <f>HYPERLINK("https://www.suredividend.com/sure-analysis-NFG/","National Fuel Gas Co.")</f>
        <v>0</v>
      </c>
      <c r="C60" t="s">
        <v>899</v>
      </c>
      <c r="D60">
        <v>53</v>
      </c>
      <c r="E60">
        <v>52.86</v>
      </c>
      <c r="F60">
        <v>68</v>
      </c>
      <c r="G60">
        <v>0.7773529411764706</v>
      </c>
      <c r="H60">
        <v>0.03745743473325766</v>
      </c>
      <c r="I60">
        <v>0.05166240939708078</v>
      </c>
      <c r="J60">
        <v>0.02</v>
      </c>
      <c r="K60">
        <v>0.1015798707573949</v>
      </c>
      <c r="L60" t="s">
        <v>901</v>
      </c>
      <c r="M60" t="s">
        <v>901</v>
      </c>
      <c r="N60">
        <v>10.16538461538462</v>
      </c>
      <c r="O60">
        <v>5.2</v>
      </c>
      <c r="P60">
        <v>1.98</v>
      </c>
      <c r="Q60">
        <v>0.3807692307692307</v>
      </c>
      <c r="R60">
        <v>53</v>
      </c>
      <c r="S60">
        <v>0.0249827715775639</v>
      </c>
      <c r="T60" t="s">
        <v>911</v>
      </c>
      <c r="U60">
        <v>-0.243899893911198</v>
      </c>
      <c r="V60" t="s">
        <v>1004</v>
      </c>
      <c r="W60" t="s">
        <v>1008</v>
      </c>
      <c r="X60" t="s">
        <v>1018</v>
      </c>
      <c r="Y60">
        <v>4790.213194</v>
      </c>
      <c r="Z60" s="2">
        <v>45162</v>
      </c>
      <c r="AA60" t="s">
        <v>1022</v>
      </c>
    </row>
    <row r="61" spans="1:27">
      <c r="A61" s="1" t="s">
        <v>86</v>
      </c>
      <c r="B61">
        <f>HYPERLINK("https://www.suredividend.com/sure-analysis-GGG/","Graco Inc.")</f>
        <v>0</v>
      </c>
      <c r="C61" t="s">
        <v>899</v>
      </c>
      <c r="D61">
        <v>79</v>
      </c>
      <c r="E61">
        <v>75.15000000000001</v>
      </c>
      <c r="F61">
        <v>78</v>
      </c>
      <c r="G61">
        <v>0.9634615384615385</v>
      </c>
      <c r="H61">
        <v>0.01250831669993347</v>
      </c>
      <c r="I61">
        <v>0.007472321594068854</v>
      </c>
      <c r="J61">
        <v>0.08</v>
      </c>
      <c r="K61">
        <v>0.09978199184850367</v>
      </c>
      <c r="L61" t="s">
        <v>901</v>
      </c>
      <c r="M61" t="s">
        <v>580</v>
      </c>
      <c r="N61">
        <v>25.05</v>
      </c>
      <c r="O61">
        <v>3</v>
      </c>
      <c r="P61">
        <v>0.9399999999999999</v>
      </c>
      <c r="Q61">
        <v>0.3133333333333333</v>
      </c>
      <c r="R61">
        <v>26</v>
      </c>
      <c r="S61">
        <v>0.09943565902862628</v>
      </c>
      <c r="T61" t="s">
        <v>939</v>
      </c>
      <c r="U61">
        <v>0.137432755168504</v>
      </c>
      <c r="V61" t="s">
        <v>1004</v>
      </c>
      <c r="W61" t="s">
        <v>1008</v>
      </c>
      <c r="X61" t="s">
        <v>1012</v>
      </c>
      <c r="Y61">
        <v>12748.815172</v>
      </c>
      <c r="Z61" s="2">
        <v>45140</v>
      </c>
      <c r="AA61" t="s">
        <v>1023</v>
      </c>
    </row>
    <row r="62" spans="1:27">
      <c r="A62" s="1" t="s">
        <v>87</v>
      </c>
      <c r="B62">
        <f>HYPERLINK("https://www.suredividend.com/sure-analysis-CL/","Colgate-Palmolive Co.")</f>
        <v>0</v>
      </c>
      <c r="C62" t="s">
        <v>899</v>
      </c>
      <c r="D62">
        <v>76</v>
      </c>
      <c r="E62">
        <v>72.83</v>
      </c>
      <c r="F62">
        <v>76</v>
      </c>
      <c r="G62">
        <v>0.9582894736842105</v>
      </c>
      <c r="H62">
        <v>0.02636276259783056</v>
      </c>
      <c r="I62">
        <v>0.008557484120389258</v>
      </c>
      <c r="J62">
        <v>0.07000000000000001</v>
      </c>
      <c r="K62">
        <v>0.09964703281161991</v>
      </c>
      <c r="L62" t="s">
        <v>901</v>
      </c>
      <c r="M62" t="s">
        <v>902</v>
      </c>
      <c r="N62">
        <v>23.12063492063492</v>
      </c>
      <c r="O62">
        <v>3.15</v>
      </c>
      <c r="P62">
        <v>1.92</v>
      </c>
      <c r="Q62">
        <v>0.6095238095238095</v>
      </c>
      <c r="R62">
        <v>61</v>
      </c>
      <c r="S62">
        <v>0.03038784497717151</v>
      </c>
      <c r="T62" t="s">
        <v>935</v>
      </c>
      <c r="U62">
        <v>-0.045006630435212</v>
      </c>
      <c r="V62" t="s">
        <v>1004</v>
      </c>
      <c r="W62" t="s">
        <v>1008</v>
      </c>
      <c r="X62" t="s">
        <v>1011</v>
      </c>
      <c r="Y62">
        <v>59951.669683</v>
      </c>
      <c r="Z62" s="2">
        <v>45147</v>
      </c>
      <c r="AA62" t="s">
        <v>1030</v>
      </c>
    </row>
    <row r="63" spans="1:27">
      <c r="A63" s="1" t="s">
        <v>88</v>
      </c>
      <c r="B63">
        <f>HYPERLINK("https://www.suredividend.com/sure-analysis-AJG/","Arthur J. Gallagher &amp; Co.")</f>
        <v>0</v>
      </c>
      <c r="C63" t="s">
        <v>898</v>
      </c>
      <c r="D63">
        <v>216</v>
      </c>
      <c r="E63">
        <v>229</v>
      </c>
      <c r="F63">
        <v>220</v>
      </c>
      <c r="G63">
        <v>1.040909090909091</v>
      </c>
      <c r="H63">
        <v>0.009606986899563319</v>
      </c>
      <c r="I63">
        <v>-0.007986825897688954</v>
      </c>
      <c r="J63">
        <v>0.1</v>
      </c>
      <c r="K63">
        <v>0.09896952951486027</v>
      </c>
      <c r="L63" t="s">
        <v>901</v>
      </c>
      <c r="M63" t="s">
        <v>825</v>
      </c>
      <c r="N63">
        <v>26.02272727272727</v>
      </c>
      <c r="O63">
        <v>8.800000000000001</v>
      </c>
      <c r="P63">
        <v>2.2</v>
      </c>
      <c r="Q63">
        <v>0.25</v>
      </c>
      <c r="R63">
        <v>13</v>
      </c>
      <c r="S63">
        <v>0.05016303610438722</v>
      </c>
      <c r="T63" t="s">
        <v>916</v>
      </c>
      <c r="U63">
        <v>0.240482532568793</v>
      </c>
      <c r="V63" t="s">
        <v>1004</v>
      </c>
      <c r="W63" t="s">
        <v>1008</v>
      </c>
      <c r="X63" t="s">
        <v>1015</v>
      </c>
      <c r="Y63">
        <v>49628.87674</v>
      </c>
      <c r="Z63" s="2">
        <v>45139</v>
      </c>
      <c r="AA63" t="s">
        <v>1030</v>
      </c>
    </row>
    <row r="64" spans="1:27">
      <c r="A64" s="1" t="s">
        <v>89</v>
      </c>
      <c r="B64">
        <f>HYPERLINK("https://www.suredividend.com/sure-analysis-RBCAA/","Republic Bancorp, Inc. (KY)")</f>
        <v>0</v>
      </c>
      <c r="C64" t="s">
        <v>899</v>
      </c>
      <c r="D64">
        <v>47</v>
      </c>
      <c r="E64">
        <v>42.9119</v>
      </c>
      <c r="F64">
        <v>52</v>
      </c>
      <c r="G64">
        <v>0.8252288461538462</v>
      </c>
      <c r="H64">
        <v>0.03495533872888406</v>
      </c>
      <c r="I64">
        <v>0.03916645723628731</v>
      </c>
      <c r="J64">
        <v>0.03</v>
      </c>
      <c r="K64">
        <v>0.09892973109136971</v>
      </c>
      <c r="L64" t="s">
        <v>901</v>
      </c>
      <c r="M64" t="s">
        <v>901</v>
      </c>
      <c r="N64">
        <v>9.535977777777779</v>
      </c>
      <c r="O64">
        <v>4.5</v>
      </c>
      <c r="P64">
        <v>1.5</v>
      </c>
      <c r="Q64">
        <v>0.3333333333333333</v>
      </c>
      <c r="R64">
        <v>22</v>
      </c>
      <c r="S64">
        <v>0.04170635302920389</v>
      </c>
      <c r="T64" t="s">
        <v>904</v>
      </c>
      <c r="U64">
        <v>0.102627849863085</v>
      </c>
      <c r="V64" t="s">
        <v>1004</v>
      </c>
      <c r="W64" t="s">
        <v>1008</v>
      </c>
      <c r="X64" t="s">
        <v>1015</v>
      </c>
      <c r="Y64">
        <v>760.301019</v>
      </c>
      <c r="Z64" s="2">
        <v>45153</v>
      </c>
      <c r="AA64" t="s">
        <v>1022</v>
      </c>
    </row>
    <row r="65" spans="1:27">
      <c r="A65" s="1" t="s">
        <v>90</v>
      </c>
      <c r="B65">
        <f>HYPERLINK("https://www.suredividend.com/sure-analysis-SJW/","SJW Group")</f>
        <v>0</v>
      </c>
      <c r="C65" t="s">
        <v>899</v>
      </c>
      <c r="D65">
        <v>70</v>
      </c>
      <c r="E65">
        <v>64.40000000000001</v>
      </c>
      <c r="F65">
        <v>64</v>
      </c>
      <c r="G65">
        <v>1.00625</v>
      </c>
      <c r="H65">
        <v>0.02360248447204969</v>
      </c>
      <c r="I65">
        <v>-0.001245333877514132</v>
      </c>
      <c r="J65">
        <v>0.08</v>
      </c>
      <c r="K65">
        <v>0.09870562924049242</v>
      </c>
      <c r="L65" t="s">
        <v>901</v>
      </c>
      <c r="M65" t="s">
        <v>902</v>
      </c>
      <c r="N65">
        <v>26.28571428571428</v>
      </c>
      <c r="O65">
        <v>2.45</v>
      </c>
      <c r="P65">
        <v>1.52</v>
      </c>
      <c r="Q65">
        <v>0.6204081632653061</v>
      </c>
      <c r="R65">
        <v>55</v>
      </c>
      <c r="S65">
        <v>0.0595720409403111</v>
      </c>
      <c r="T65" t="s">
        <v>910</v>
      </c>
      <c r="U65">
        <v>-0.016701500220164</v>
      </c>
      <c r="V65" t="s">
        <v>1004</v>
      </c>
      <c r="W65" t="s">
        <v>1008</v>
      </c>
      <c r="X65" t="s">
        <v>1018</v>
      </c>
      <c r="Y65">
        <v>2014.785731</v>
      </c>
      <c r="Z65" s="2">
        <v>45141</v>
      </c>
      <c r="AA65" t="s">
        <v>1021</v>
      </c>
    </row>
    <row r="66" spans="1:27">
      <c r="A66" s="1" t="s">
        <v>91</v>
      </c>
      <c r="B66">
        <f>HYPERLINK("https://www.suredividend.com/sure-analysis-HI/","Hillenbrand Inc")</f>
        <v>0</v>
      </c>
      <c r="C66" t="s">
        <v>899</v>
      </c>
      <c r="D66">
        <v>48</v>
      </c>
      <c r="E66">
        <v>43.07</v>
      </c>
      <c r="F66">
        <v>48</v>
      </c>
      <c r="G66">
        <v>0.8972916666666667</v>
      </c>
      <c r="H66">
        <v>0.02043185511957279</v>
      </c>
      <c r="I66">
        <v>0.02191146857454074</v>
      </c>
      <c r="J66">
        <v>0.06</v>
      </c>
      <c r="K66">
        <v>0.09815125141959702</v>
      </c>
      <c r="L66" t="s">
        <v>901</v>
      </c>
      <c r="M66" t="s">
        <v>902</v>
      </c>
      <c r="N66">
        <v>12.48405797101449</v>
      </c>
      <c r="O66">
        <v>3.45</v>
      </c>
      <c r="P66">
        <v>0.88</v>
      </c>
      <c r="Q66">
        <v>0.2550724637681159</v>
      </c>
      <c r="R66">
        <v>15</v>
      </c>
      <c r="S66">
        <v>0.01111384065820276</v>
      </c>
      <c r="T66" t="s">
        <v>904</v>
      </c>
      <c r="U66">
        <v>0.041864542997004</v>
      </c>
      <c r="V66" t="s">
        <v>1004</v>
      </c>
      <c r="W66" t="s">
        <v>1008</v>
      </c>
      <c r="X66" t="s">
        <v>1012</v>
      </c>
      <c r="Y66">
        <v>2990.976063</v>
      </c>
      <c r="Z66" s="2">
        <v>45143</v>
      </c>
      <c r="AA66" t="s">
        <v>1026</v>
      </c>
    </row>
    <row r="67" spans="1:27">
      <c r="A67" s="1" t="s">
        <v>92</v>
      </c>
      <c r="B67">
        <f>HYPERLINK("https://www.suredividend.com/sure-analysis-ENSG/","Ensign Group Inc")</f>
        <v>0</v>
      </c>
      <c r="C67" t="s">
        <v>898</v>
      </c>
      <c r="D67">
        <v>97</v>
      </c>
      <c r="E67">
        <v>93.81</v>
      </c>
      <c r="F67">
        <v>101</v>
      </c>
      <c r="G67">
        <v>0.9288118811881189</v>
      </c>
      <c r="H67">
        <v>0.002451764204242618</v>
      </c>
      <c r="I67">
        <v>0.01487942399205955</v>
      </c>
      <c r="J67">
        <v>0.08</v>
      </c>
      <c r="K67">
        <v>0.09801924586669664</v>
      </c>
      <c r="L67" t="s">
        <v>901</v>
      </c>
      <c r="M67" t="s">
        <v>580</v>
      </c>
      <c r="N67">
        <v>20.39347826086957</v>
      </c>
      <c r="O67">
        <v>4.6</v>
      </c>
      <c r="P67">
        <v>0.23</v>
      </c>
      <c r="Q67">
        <v>0.05</v>
      </c>
      <c r="R67">
        <v>15</v>
      </c>
      <c r="S67">
        <v>0.04745176373283</v>
      </c>
      <c r="T67" t="s">
        <v>911</v>
      </c>
      <c r="U67">
        <v>0.07795401634825901</v>
      </c>
      <c r="V67" t="s">
        <v>1004</v>
      </c>
      <c r="W67" t="s">
        <v>1008</v>
      </c>
      <c r="X67" t="s">
        <v>1014</v>
      </c>
      <c r="Y67">
        <v>5264.333901</v>
      </c>
      <c r="Z67" s="2">
        <v>45141</v>
      </c>
      <c r="AA67" t="s">
        <v>1024</v>
      </c>
    </row>
    <row r="68" spans="1:27">
      <c r="A68" s="1" t="s">
        <v>93</v>
      </c>
      <c r="B68">
        <f>HYPERLINK("https://www.suredividend.com/sure-analysis-ADM/","Archer Daniels Midland Co.")</f>
        <v>0</v>
      </c>
      <c r="C68" t="s">
        <v>899</v>
      </c>
      <c r="D68">
        <v>86</v>
      </c>
      <c r="E68">
        <v>79.64</v>
      </c>
      <c r="F68">
        <v>101</v>
      </c>
      <c r="G68">
        <v>0.7885148514851485</v>
      </c>
      <c r="H68">
        <v>0.02260170768458061</v>
      </c>
      <c r="I68">
        <v>0.04866802108459001</v>
      </c>
      <c r="J68">
        <v>0.03</v>
      </c>
      <c r="K68">
        <v>0.09772362444924743</v>
      </c>
      <c r="L68" t="s">
        <v>901</v>
      </c>
      <c r="M68" t="s">
        <v>902</v>
      </c>
      <c r="N68">
        <v>11.01521438450899</v>
      </c>
      <c r="O68">
        <v>7.23</v>
      </c>
      <c r="P68">
        <v>1.8</v>
      </c>
      <c r="Q68">
        <v>0.2489626556016598</v>
      </c>
      <c r="R68">
        <v>50</v>
      </c>
      <c r="S68">
        <v>0.03032622996477263</v>
      </c>
      <c r="T68" t="s">
        <v>923</v>
      </c>
      <c r="U68">
        <v>-0.07734019289031001</v>
      </c>
      <c r="V68" t="s">
        <v>1004</v>
      </c>
      <c r="W68" t="s">
        <v>1008</v>
      </c>
      <c r="X68" t="s">
        <v>1011</v>
      </c>
      <c r="Y68">
        <v>42727.300947</v>
      </c>
      <c r="Z68" s="2">
        <v>45148</v>
      </c>
      <c r="AA68" t="s">
        <v>1027</v>
      </c>
    </row>
    <row r="69" spans="1:27">
      <c r="A69" s="1" t="s">
        <v>94</v>
      </c>
      <c r="B69">
        <f>HYPERLINK("https://www.suredividend.com/sure-analysis-KO/","Coca-Cola Co")</f>
        <v>0</v>
      </c>
      <c r="C69" t="s">
        <v>899</v>
      </c>
      <c r="D69">
        <v>62</v>
      </c>
      <c r="E69">
        <v>57.98</v>
      </c>
      <c r="F69">
        <v>61</v>
      </c>
      <c r="G69">
        <v>0.9504918032786884</v>
      </c>
      <c r="H69">
        <v>0.03173508106243533</v>
      </c>
      <c r="I69">
        <v>0.01020688664187697</v>
      </c>
      <c r="J69">
        <v>0.06</v>
      </c>
      <c r="K69">
        <v>0.09747819156969006</v>
      </c>
      <c r="L69" t="s">
        <v>901</v>
      </c>
      <c r="M69" t="s">
        <v>902</v>
      </c>
      <c r="N69">
        <v>21.87924528301887</v>
      </c>
      <c r="O69">
        <v>2.65</v>
      </c>
      <c r="P69">
        <v>1.84</v>
      </c>
      <c r="Q69">
        <v>0.6943396226415095</v>
      </c>
      <c r="R69">
        <v>61</v>
      </c>
      <c r="S69">
        <v>0.05014678675369377</v>
      </c>
      <c r="T69" t="s">
        <v>904</v>
      </c>
      <c r="U69">
        <v>-0.039215815529436</v>
      </c>
      <c r="V69" t="s">
        <v>1004</v>
      </c>
      <c r="W69" t="s">
        <v>1008</v>
      </c>
      <c r="X69" t="s">
        <v>1011</v>
      </c>
      <c r="Y69">
        <v>252109.30254</v>
      </c>
      <c r="Z69" s="2">
        <v>45139</v>
      </c>
      <c r="AA69" t="s">
        <v>1030</v>
      </c>
    </row>
    <row r="70" spans="1:27">
      <c r="A70" s="1" t="s">
        <v>95</v>
      </c>
      <c r="B70">
        <f>HYPERLINK("https://www.suredividend.com/sure-analysis-CSX/","CSX Corp.")</f>
        <v>0</v>
      </c>
      <c r="C70" t="s">
        <v>899</v>
      </c>
      <c r="D70">
        <v>32</v>
      </c>
      <c r="E70">
        <v>30.5</v>
      </c>
      <c r="F70">
        <v>34</v>
      </c>
      <c r="G70">
        <v>0.8970588235294118</v>
      </c>
      <c r="H70">
        <v>0.01442622950819672</v>
      </c>
      <c r="I70">
        <v>0.02196451311638481</v>
      </c>
      <c r="J70">
        <v>0.06</v>
      </c>
      <c r="K70">
        <v>0.0973764780855908</v>
      </c>
      <c r="L70" t="s">
        <v>901</v>
      </c>
      <c r="M70" t="s">
        <v>580</v>
      </c>
      <c r="N70">
        <v>16.05263157894737</v>
      </c>
      <c r="O70">
        <v>1.9</v>
      </c>
      <c r="P70">
        <v>0.44</v>
      </c>
      <c r="Q70">
        <v>0.2315789473684211</v>
      </c>
      <c r="R70">
        <v>18</v>
      </c>
      <c r="S70">
        <v>0.1095728171731842</v>
      </c>
      <c r="T70" t="s">
        <v>925</v>
      </c>
      <c r="U70">
        <v>-0.048682336403838</v>
      </c>
      <c r="V70" t="s">
        <v>1004</v>
      </c>
      <c r="W70" t="s">
        <v>1008</v>
      </c>
      <c r="X70" t="s">
        <v>1012</v>
      </c>
      <c r="Y70">
        <v>61373.636444</v>
      </c>
      <c r="Z70" s="2">
        <v>45130</v>
      </c>
      <c r="AA70" t="s">
        <v>1030</v>
      </c>
    </row>
    <row r="71" spans="1:27">
      <c r="A71" s="1" t="s">
        <v>96</v>
      </c>
      <c r="B71">
        <f>HYPERLINK("https://www.suredividend.com/sure-analysis-AMP/","Ameriprise Financial Inc")</f>
        <v>0</v>
      </c>
      <c r="C71" t="s">
        <v>899</v>
      </c>
      <c r="D71">
        <v>346</v>
      </c>
      <c r="E71">
        <v>345.12</v>
      </c>
      <c r="F71">
        <v>349</v>
      </c>
      <c r="G71">
        <v>0.9888825214899714</v>
      </c>
      <c r="H71">
        <v>0.01564673157162726</v>
      </c>
      <c r="I71">
        <v>0.002238449507981244</v>
      </c>
      <c r="J71">
        <v>0.08</v>
      </c>
      <c r="K71">
        <v>0.09648592854277993</v>
      </c>
      <c r="L71" t="s">
        <v>901</v>
      </c>
      <c r="M71" t="s">
        <v>902</v>
      </c>
      <c r="N71">
        <v>11.36758893280632</v>
      </c>
      <c r="O71">
        <v>30.36</v>
      </c>
      <c r="P71">
        <v>5.4</v>
      </c>
      <c r="Q71">
        <v>0.1778656126482214</v>
      </c>
      <c r="R71">
        <v>19</v>
      </c>
      <c r="S71">
        <v>0.07988096386199439</v>
      </c>
      <c r="T71" t="s">
        <v>910</v>
      </c>
      <c r="U71">
        <v>0.220057292091273</v>
      </c>
      <c r="V71" t="s">
        <v>1004</v>
      </c>
      <c r="W71" t="s">
        <v>1008</v>
      </c>
      <c r="X71" t="s">
        <v>1015</v>
      </c>
      <c r="Y71">
        <v>35631.782962</v>
      </c>
      <c r="Z71" s="2">
        <v>45137</v>
      </c>
      <c r="AA71" t="s">
        <v>1021</v>
      </c>
    </row>
    <row r="72" spans="1:27">
      <c r="A72" s="1" t="s">
        <v>97</v>
      </c>
      <c r="B72">
        <f>HYPERLINK("https://www.suredividend.com/sure-analysis-SYK/","Stryker Corp.")</f>
        <v>0</v>
      </c>
      <c r="C72" t="s">
        <v>899</v>
      </c>
      <c r="D72">
        <v>285</v>
      </c>
      <c r="E72">
        <v>297.32</v>
      </c>
      <c r="F72">
        <v>254</v>
      </c>
      <c r="G72">
        <v>1.170551181102362</v>
      </c>
      <c r="H72">
        <v>0.01009013857123638</v>
      </c>
      <c r="I72">
        <v>-0.03100414680370078</v>
      </c>
      <c r="J72">
        <v>0.12</v>
      </c>
      <c r="K72">
        <v>0.09543733908029073</v>
      </c>
      <c r="L72" t="s">
        <v>901</v>
      </c>
      <c r="M72" t="s">
        <v>580</v>
      </c>
      <c r="N72">
        <v>28.72657004830918</v>
      </c>
      <c r="O72">
        <v>10.35</v>
      </c>
      <c r="P72">
        <v>3</v>
      </c>
      <c r="Q72">
        <v>0.2898550724637681</v>
      </c>
      <c r="R72">
        <v>29</v>
      </c>
      <c r="S72">
        <v>0.1201260139579652</v>
      </c>
      <c r="T72" t="s">
        <v>911</v>
      </c>
      <c r="U72">
        <v>0.286433941571276</v>
      </c>
      <c r="V72" t="s">
        <v>1004</v>
      </c>
      <c r="W72" t="s">
        <v>1008</v>
      </c>
      <c r="X72" t="s">
        <v>1014</v>
      </c>
      <c r="Y72">
        <v>111947.243301</v>
      </c>
      <c r="Z72" s="2">
        <v>45146</v>
      </c>
      <c r="AA72" t="s">
        <v>1021</v>
      </c>
    </row>
    <row r="73" spans="1:27">
      <c r="A73" s="1" t="s">
        <v>98</v>
      </c>
      <c r="B73">
        <f>HYPERLINK("https://www.suredividend.com/sure-analysis-KWR/","Quaker Houghton")</f>
        <v>0</v>
      </c>
      <c r="C73" t="s">
        <v>899</v>
      </c>
      <c r="D73">
        <v>173</v>
      </c>
      <c r="E73">
        <v>166.19</v>
      </c>
      <c r="F73">
        <v>195</v>
      </c>
      <c r="G73">
        <v>0.8522564102564102</v>
      </c>
      <c r="H73">
        <v>0.01095132077742343</v>
      </c>
      <c r="I73">
        <v>0.03249021548970799</v>
      </c>
      <c r="J73">
        <v>0.05</v>
      </c>
      <c r="K73">
        <v>0.09289241391114333</v>
      </c>
      <c r="L73" t="s">
        <v>901</v>
      </c>
      <c r="M73" t="s">
        <v>825</v>
      </c>
      <c r="N73">
        <v>25.56769230769231</v>
      </c>
      <c r="O73">
        <v>6.5</v>
      </c>
      <c r="P73">
        <v>1.82</v>
      </c>
      <c r="Q73">
        <v>0.28</v>
      </c>
      <c r="R73">
        <v>16</v>
      </c>
      <c r="S73">
        <v>0.03959498820755258</v>
      </c>
      <c r="T73" t="s">
        <v>939</v>
      </c>
      <c r="U73">
        <v>-0.07071988511879801</v>
      </c>
      <c r="V73" t="s">
        <v>1004</v>
      </c>
      <c r="W73" t="s">
        <v>1008</v>
      </c>
      <c r="X73" t="s">
        <v>1012</v>
      </c>
      <c r="Y73">
        <v>3037.522798</v>
      </c>
      <c r="Z73" s="2">
        <v>45148</v>
      </c>
      <c r="AA73" t="s">
        <v>1024</v>
      </c>
    </row>
    <row r="74" spans="1:27">
      <c r="A74" s="1" t="s">
        <v>99</v>
      </c>
      <c r="B74">
        <f>HYPERLINK("https://www.suredividend.com/sure-analysis-STE/","Steris Plc")</f>
        <v>0</v>
      </c>
      <c r="C74" t="s">
        <v>898</v>
      </c>
      <c r="D74">
        <v>206</v>
      </c>
      <c r="E74">
        <v>230.43</v>
      </c>
      <c r="F74">
        <v>214</v>
      </c>
      <c r="G74">
        <v>1.07677570093458</v>
      </c>
      <c r="H74">
        <v>0.009026602438918544</v>
      </c>
      <c r="I74">
        <v>-0.01468532589435012</v>
      </c>
      <c r="J74">
        <v>0.1</v>
      </c>
      <c r="K74">
        <v>0.09196749629976386</v>
      </c>
      <c r="L74" t="s">
        <v>901</v>
      </c>
      <c r="M74" t="s">
        <v>825</v>
      </c>
      <c r="N74">
        <v>26.95087719298245</v>
      </c>
      <c r="O74">
        <v>8.550000000000001</v>
      </c>
      <c r="P74">
        <v>2.08</v>
      </c>
      <c r="Q74">
        <v>0.2432748538011696</v>
      </c>
      <c r="R74">
        <v>13</v>
      </c>
      <c r="S74">
        <v>0.07814173686049752</v>
      </c>
      <c r="T74" t="s">
        <v>940</v>
      </c>
      <c r="U74">
        <v>0.08073396156215201</v>
      </c>
      <c r="V74" t="s">
        <v>1004</v>
      </c>
      <c r="W74" t="s">
        <v>1009</v>
      </c>
      <c r="X74" t="s">
        <v>1014</v>
      </c>
      <c r="Y74">
        <v>22409.549765</v>
      </c>
      <c r="Z74" s="2">
        <v>45064</v>
      </c>
      <c r="AA74" t="s">
        <v>1024</v>
      </c>
    </row>
    <row r="75" spans="1:27">
      <c r="A75" s="1" t="s">
        <v>100</v>
      </c>
      <c r="B75">
        <f>HYPERLINK("https://www.suredividend.com/sure-analysis-SLGN/","Silgan Holdings Inc.")</f>
        <v>0</v>
      </c>
      <c r="C75" t="s">
        <v>899</v>
      </c>
      <c r="D75">
        <v>43</v>
      </c>
      <c r="E75">
        <v>43.22</v>
      </c>
      <c r="F75">
        <v>46</v>
      </c>
      <c r="G75">
        <v>0.9395652173913043</v>
      </c>
      <c r="H75">
        <v>0.01665895418787598</v>
      </c>
      <c r="I75">
        <v>0.01254565372629246</v>
      </c>
      <c r="J75">
        <v>0.06</v>
      </c>
      <c r="K75">
        <v>0.08965701181297225</v>
      </c>
      <c r="L75" t="s">
        <v>901</v>
      </c>
      <c r="M75" t="s">
        <v>902</v>
      </c>
      <c r="N75">
        <v>12.34857142857143</v>
      </c>
      <c r="O75">
        <v>3.5</v>
      </c>
      <c r="P75">
        <v>0.72</v>
      </c>
      <c r="Q75">
        <v>0.2057142857142857</v>
      </c>
      <c r="R75">
        <v>19</v>
      </c>
      <c r="S75">
        <v>0.100082101138866</v>
      </c>
      <c r="T75" t="s">
        <v>916</v>
      </c>
      <c r="U75">
        <v>-0.09726687597787301</v>
      </c>
      <c r="V75" t="s">
        <v>1004</v>
      </c>
      <c r="W75" t="s">
        <v>1008</v>
      </c>
      <c r="X75" t="s">
        <v>1010</v>
      </c>
      <c r="Y75">
        <v>4738.691133</v>
      </c>
      <c r="Z75" s="2">
        <v>45134</v>
      </c>
      <c r="AA75" t="s">
        <v>1032</v>
      </c>
    </row>
    <row r="76" spans="1:27">
      <c r="A76" s="1" t="s">
        <v>101</v>
      </c>
      <c r="B76">
        <f>HYPERLINK("https://www.suredividend.com/sure-analysis-NIDB/","Northeast Indiana Bancorp Inc.")</f>
        <v>0</v>
      </c>
      <c r="C76" t="s">
        <v>899</v>
      </c>
      <c r="D76">
        <v>21</v>
      </c>
      <c r="E76">
        <v>20.4</v>
      </c>
      <c r="F76">
        <v>24</v>
      </c>
      <c r="G76">
        <v>0.85</v>
      </c>
      <c r="H76">
        <v>0.03137254901960784</v>
      </c>
      <c r="I76">
        <v>0.03303780411393231</v>
      </c>
      <c r="J76">
        <v>0.03</v>
      </c>
      <c r="K76">
        <v>0.08950534787204867</v>
      </c>
      <c r="L76" t="s">
        <v>901</v>
      </c>
      <c r="M76" t="s">
        <v>901</v>
      </c>
      <c r="N76">
        <v>7.756653992395437</v>
      </c>
      <c r="O76">
        <v>2.63</v>
      </c>
      <c r="P76">
        <v>0.64</v>
      </c>
      <c r="Q76">
        <v>0.2433460076045628</v>
      </c>
      <c r="R76">
        <v>27</v>
      </c>
      <c r="S76">
        <v>0.02946206823925857</v>
      </c>
      <c r="T76" t="s">
        <v>915</v>
      </c>
      <c r="U76">
        <v>-0.536363636363636</v>
      </c>
      <c r="V76" t="s">
        <v>1004</v>
      </c>
      <c r="W76" t="s">
        <v>1008</v>
      </c>
      <c r="X76" t="s">
        <v>1015</v>
      </c>
      <c r="Y76">
        <v>49.483668</v>
      </c>
      <c r="Z76" s="2">
        <v>45139</v>
      </c>
      <c r="AA76" t="s">
        <v>1021</v>
      </c>
    </row>
    <row r="77" spans="1:27">
      <c r="A77" s="1" t="s">
        <v>102</v>
      </c>
      <c r="B77">
        <f>HYPERLINK("https://www.suredividend.com/sure-analysis-RPM/","RPM International, Inc.")</f>
        <v>0</v>
      </c>
      <c r="C77" t="s">
        <v>899</v>
      </c>
      <c r="D77">
        <v>105</v>
      </c>
      <c r="E77">
        <v>96.69</v>
      </c>
      <c r="F77">
        <v>98</v>
      </c>
      <c r="G77">
        <v>0.9866326530612245</v>
      </c>
      <c r="H77">
        <v>0.01737511635122557</v>
      </c>
      <c r="I77">
        <v>0.002695124169810992</v>
      </c>
      <c r="J77">
        <v>0.07000000000000001</v>
      </c>
      <c r="K77">
        <v>0.08857232214205357</v>
      </c>
      <c r="L77" t="s">
        <v>901</v>
      </c>
      <c r="M77" t="s">
        <v>902</v>
      </c>
      <c r="N77">
        <v>19.65243902439024</v>
      </c>
      <c r="O77">
        <v>4.92</v>
      </c>
      <c r="P77">
        <v>1.68</v>
      </c>
      <c r="Q77">
        <v>0.3414634146341463</v>
      </c>
      <c r="R77">
        <v>49</v>
      </c>
      <c r="S77">
        <v>0.07033701387905711</v>
      </c>
      <c r="T77" t="s">
        <v>941</v>
      </c>
      <c r="U77">
        <v>0.03101267558973</v>
      </c>
      <c r="V77" t="s">
        <v>1004</v>
      </c>
      <c r="W77" t="s">
        <v>1008</v>
      </c>
      <c r="X77" t="s">
        <v>1010</v>
      </c>
      <c r="Y77">
        <v>12614.086623</v>
      </c>
      <c r="Z77" s="2">
        <v>45139</v>
      </c>
      <c r="AA77" t="s">
        <v>1021</v>
      </c>
    </row>
    <row r="78" spans="1:27">
      <c r="A78" s="1" t="s">
        <v>103</v>
      </c>
      <c r="B78">
        <f>HYPERLINK("https://www.suredividend.com/sure-analysis-ANDE/","Andersons Inc.")</f>
        <v>0</v>
      </c>
      <c r="C78" t="s">
        <v>899</v>
      </c>
      <c r="D78">
        <v>50</v>
      </c>
      <c r="E78">
        <v>49.05</v>
      </c>
      <c r="F78">
        <v>58</v>
      </c>
      <c r="G78">
        <v>0.8456896551724138</v>
      </c>
      <c r="H78">
        <v>0.01508664627930683</v>
      </c>
      <c r="I78">
        <v>0.03408870944576337</v>
      </c>
      <c r="J78">
        <v>0.04</v>
      </c>
      <c r="K78">
        <v>0.0878652058922651</v>
      </c>
      <c r="L78" t="s">
        <v>901</v>
      </c>
      <c r="M78" t="s">
        <v>902</v>
      </c>
      <c r="N78">
        <v>15.328125</v>
      </c>
      <c r="O78">
        <v>3.2</v>
      </c>
      <c r="P78">
        <v>0.74</v>
      </c>
      <c r="Q78">
        <v>0.23125</v>
      </c>
      <c r="R78">
        <v>27</v>
      </c>
      <c r="S78">
        <v>0.03992533304330625</v>
      </c>
      <c r="T78" t="s">
        <v>938</v>
      </c>
      <c r="U78">
        <v>0.448294099015194</v>
      </c>
      <c r="V78" t="s">
        <v>1004</v>
      </c>
      <c r="W78" t="s">
        <v>1008</v>
      </c>
      <c r="X78" t="s">
        <v>1011</v>
      </c>
      <c r="Y78">
        <v>1682.20895</v>
      </c>
      <c r="Z78" s="2">
        <v>45141</v>
      </c>
      <c r="AA78" t="s">
        <v>1023</v>
      </c>
    </row>
    <row r="79" spans="1:27">
      <c r="A79" s="1" t="s">
        <v>104</v>
      </c>
      <c r="B79">
        <f>HYPERLINK("https://www.suredividend.com/sure-analysis-PH/","Parker-Hannifin Corp.")</f>
        <v>0</v>
      </c>
      <c r="C79" t="s">
        <v>899</v>
      </c>
      <c r="D79">
        <v>398</v>
      </c>
      <c r="E79">
        <v>390.03</v>
      </c>
      <c r="F79">
        <v>360</v>
      </c>
      <c r="G79">
        <v>1.083416666666667</v>
      </c>
      <c r="H79">
        <v>0.01517831961643976</v>
      </c>
      <c r="I79">
        <v>-0.01589622545871916</v>
      </c>
      <c r="J79">
        <v>0.09</v>
      </c>
      <c r="K79">
        <v>0.08764323779119843</v>
      </c>
      <c r="L79" t="s">
        <v>901</v>
      </c>
      <c r="M79" t="s">
        <v>902</v>
      </c>
      <c r="N79">
        <v>17.03187772925764</v>
      </c>
      <c r="O79">
        <v>22.9</v>
      </c>
      <c r="P79">
        <v>5.92</v>
      </c>
      <c r="Q79">
        <v>0.2585152838427948</v>
      </c>
      <c r="R79">
        <v>67</v>
      </c>
      <c r="S79">
        <v>0.09990262565483254</v>
      </c>
      <c r="T79" t="s">
        <v>927</v>
      </c>
      <c r="U79">
        <v>0.4652398608278761</v>
      </c>
      <c r="V79" t="s">
        <v>1004</v>
      </c>
      <c r="W79" t="s">
        <v>1008</v>
      </c>
      <c r="X79" t="s">
        <v>1012</v>
      </c>
      <c r="Y79">
        <v>52063.521337</v>
      </c>
      <c r="Z79" s="2">
        <v>45162</v>
      </c>
      <c r="AA79" t="s">
        <v>1022</v>
      </c>
    </row>
    <row r="80" spans="1:27">
      <c r="A80" s="1" t="s">
        <v>105</v>
      </c>
      <c r="B80">
        <f>HYPERLINK("https://www.suredividend.com/sure-analysis-SEIC/","SEI Investments Co.")</f>
        <v>0</v>
      </c>
      <c r="C80" t="s">
        <v>899</v>
      </c>
      <c r="D80">
        <v>63</v>
      </c>
      <c r="E80">
        <v>60.75</v>
      </c>
      <c r="F80">
        <v>65</v>
      </c>
      <c r="G80">
        <v>0.9346153846153846</v>
      </c>
      <c r="H80">
        <v>0.01415637860082304</v>
      </c>
      <c r="I80">
        <v>0.0136159009850656</v>
      </c>
      <c r="J80">
        <v>0.06</v>
      </c>
      <c r="K80">
        <v>0.08754546121663687</v>
      </c>
      <c r="L80" t="s">
        <v>901</v>
      </c>
      <c r="M80" t="s">
        <v>902</v>
      </c>
      <c r="N80">
        <v>16.875</v>
      </c>
      <c r="O80">
        <v>3.6</v>
      </c>
      <c r="P80">
        <v>0.86</v>
      </c>
      <c r="Q80">
        <v>0.2388888888888889</v>
      </c>
      <c r="R80">
        <v>32</v>
      </c>
      <c r="S80">
        <v>0.07938012944050121</v>
      </c>
      <c r="T80" t="s">
        <v>942</v>
      </c>
      <c r="U80">
        <v>0.081480210110025</v>
      </c>
      <c r="V80" t="s">
        <v>1004</v>
      </c>
      <c r="W80" t="s">
        <v>1008</v>
      </c>
      <c r="X80" t="s">
        <v>1015</v>
      </c>
      <c r="Y80">
        <v>8006.338747</v>
      </c>
      <c r="Z80" s="2">
        <v>45139</v>
      </c>
      <c r="AA80" t="s">
        <v>1030</v>
      </c>
    </row>
    <row r="81" spans="1:27">
      <c r="A81" s="1" t="s">
        <v>106</v>
      </c>
      <c r="B81">
        <f>HYPERLINK("https://www.suredividend.com/sure-analysis-GRC/","Gorman-Rupp Co.")</f>
        <v>0</v>
      </c>
      <c r="C81" t="s">
        <v>899</v>
      </c>
      <c r="D81">
        <v>32</v>
      </c>
      <c r="E81">
        <v>31.75</v>
      </c>
      <c r="F81">
        <v>30</v>
      </c>
      <c r="G81">
        <v>1.058333333333333</v>
      </c>
      <c r="H81">
        <v>0.02204724409448819</v>
      </c>
      <c r="I81">
        <v>-0.0112750237939786</v>
      </c>
      <c r="J81">
        <v>0.08</v>
      </c>
      <c r="K81">
        <v>0.08676922473818816</v>
      </c>
      <c r="L81" t="s">
        <v>901</v>
      </c>
      <c r="M81" t="s">
        <v>902</v>
      </c>
      <c r="N81">
        <v>24.42307692307692</v>
      </c>
      <c r="O81">
        <v>1.3</v>
      </c>
      <c r="P81">
        <v>0.7</v>
      </c>
      <c r="Q81">
        <v>0.5384615384615384</v>
      </c>
      <c r="R81">
        <v>50</v>
      </c>
      <c r="S81">
        <v>0.04920026914708719</v>
      </c>
      <c r="T81" t="s">
        <v>917</v>
      </c>
      <c r="U81">
        <v>0.23152143972087</v>
      </c>
      <c r="V81" t="s">
        <v>1004</v>
      </c>
      <c r="W81" t="s">
        <v>1008</v>
      </c>
      <c r="X81" t="s">
        <v>1012</v>
      </c>
      <c r="Y81">
        <v>843.184796</v>
      </c>
      <c r="Z81" s="2">
        <v>45140</v>
      </c>
      <c r="AA81" t="s">
        <v>1030</v>
      </c>
    </row>
    <row r="82" spans="1:27">
      <c r="A82" s="1" t="s">
        <v>107</v>
      </c>
      <c r="B82">
        <f>HYPERLINK("https://www.suredividend.com/sure-analysis-BDX/","Becton Dickinson &amp; Co.")</f>
        <v>0</v>
      </c>
      <c r="C82" t="s">
        <v>899</v>
      </c>
      <c r="D82">
        <v>275</v>
      </c>
      <c r="E82">
        <v>265.01</v>
      </c>
      <c r="F82">
        <v>232</v>
      </c>
      <c r="G82">
        <v>1.142284482758621</v>
      </c>
      <c r="H82">
        <v>0.01373533074223614</v>
      </c>
      <c r="I82">
        <v>-0.02625521548277832</v>
      </c>
      <c r="J82">
        <v>0.1</v>
      </c>
      <c r="K82">
        <v>0.08477831444860717</v>
      </c>
      <c r="L82" t="s">
        <v>901</v>
      </c>
      <c r="M82" t="s">
        <v>902</v>
      </c>
      <c r="N82">
        <v>21.7043407043407</v>
      </c>
      <c r="O82">
        <v>12.21</v>
      </c>
      <c r="P82">
        <v>3.64</v>
      </c>
      <c r="Q82">
        <v>0.2981162981162981</v>
      </c>
      <c r="R82">
        <v>51</v>
      </c>
      <c r="S82">
        <v>0.09991530830258055</v>
      </c>
      <c r="T82" t="s">
        <v>924</v>
      </c>
      <c r="U82">
        <v>0.012679811150768</v>
      </c>
      <c r="V82" t="s">
        <v>1004</v>
      </c>
      <c r="W82" t="s">
        <v>1008</v>
      </c>
      <c r="X82" t="s">
        <v>1014</v>
      </c>
      <c r="Y82">
        <v>76501.630964</v>
      </c>
      <c r="Z82" s="2">
        <v>45148</v>
      </c>
      <c r="AA82" t="s">
        <v>1021</v>
      </c>
    </row>
    <row r="83" spans="1:27">
      <c r="A83" s="1" t="s">
        <v>108</v>
      </c>
      <c r="B83">
        <f>HYPERLINK("https://www.suredividend.com/sure-analysis-ATO/","Atmos Energy Corp.")</f>
        <v>0</v>
      </c>
      <c r="C83" t="s">
        <v>899</v>
      </c>
      <c r="D83">
        <v>117</v>
      </c>
      <c r="E83">
        <v>115.26</v>
      </c>
      <c r="F83">
        <v>115</v>
      </c>
      <c r="G83">
        <v>1.002260869565218</v>
      </c>
      <c r="H83">
        <v>0.02568106888773208</v>
      </c>
      <c r="I83">
        <v>-0.0004515615444371512</v>
      </c>
      <c r="J83">
        <v>0.06</v>
      </c>
      <c r="K83">
        <v>0.08417357901383427</v>
      </c>
      <c r="L83" t="s">
        <v>901</v>
      </c>
      <c r="M83" t="s">
        <v>902</v>
      </c>
      <c r="N83">
        <v>19.05123966942149</v>
      </c>
      <c r="O83">
        <v>6.05</v>
      </c>
      <c r="P83">
        <v>2.96</v>
      </c>
      <c r="Q83">
        <v>0.4892561983471074</v>
      </c>
      <c r="R83">
        <v>39</v>
      </c>
      <c r="S83">
        <v>0.08003917686469086</v>
      </c>
      <c r="T83" t="s">
        <v>905</v>
      </c>
      <c r="U83">
        <v>-0.022056120994363</v>
      </c>
      <c r="V83" t="s">
        <v>1004</v>
      </c>
      <c r="W83" t="s">
        <v>1008</v>
      </c>
      <c r="X83" t="s">
        <v>1018</v>
      </c>
      <c r="Y83">
        <v>16906.907336</v>
      </c>
      <c r="Z83" s="2">
        <v>45152</v>
      </c>
      <c r="AA83" t="s">
        <v>1030</v>
      </c>
    </row>
    <row r="84" spans="1:27">
      <c r="A84" s="1" t="s">
        <v>109</v>
      </c>
      <c r="B84">
        <f>HYPERLINK("https://www.suredividend.com/sure-analysis-RRX/","Regal Rexnord Corp")</f>
        <v>0</v>
      </c>
      <c r="C84" t="s">
        <v>899</v>
      </c>
      <c r="D84">
        <v>154</v>
      </c>
      <c r="E84">
        <v>149.3</v>
      </c>
      <c r="F84">
        <v>146</v>
      </c>
      <c r="G84">
        <v>1.022602739726028</v>
      </c>
      <c r="H84">
        <v>0.009377093101138646</v>
      </c>
      <c r="I84">
        <v>-0.004460240020593087</v>
      </c>
      <c r="J84">
        <v>0.08</v>
      </c>
      <c r="K84">
        <v>0.08343112212186754</v>
      </c>
      <c r="L84" t="s">
        <v>901</v>
      </c>
      <c r="M84" t="s">
        <v>580</v>
      </c>
      <c r="N84">
        <v>14.35576923076923</v>
      </c>
      <c r="O84">
        <v>10.4</v>
      </c>
      <c r="P84">
        <v>1.4</v>
      </c>
      <c r="Q84">
        <v>0.1346153846153846</v>
      </c>
      <c r="R84">
        <v>19</v>
      </c>
      <c r="S84">
        <v>0.05960186535674428</v>
      </c>
      <c r="T84" t="s">
        <v>911</v>
      </c>
      <c r="U84">
        <v>0.035378110601612</v>
      </c>
      <c r="V84" t="s">
        <v>1004</v>
      </c>
      <c r="W84" t="s">
        <v>1008</v>
      </c>
      <c r="X84" t="s">
        <v>1012</v>
      </c>
      <c r="Y84">
        <v>9989.808041</v>
      </c>
      <c r="Z84" s="2">
        <v>45162</v>
      </c>
      <c r="AA84" t="s">
        <v>1029</v>
      </c>
    </row>
    <row r="85" spans="1:27">
      <c r="A85" s="1" t="s">
        <v>110</v>
      </c>
      <c r="B85">
        <f>HYPERLINK("https://www.suredividend.com/sure-analysis-INTU/","Intuit Inc")</f>
        <v>0</v>
      </c>
      <c r="C85" t="s">
        <v>899</v>
      </c>
      <c r="D85">
        <v>424</v>
      </c>
      <c r="E85">
        <v>541.95</v>
      </c>
      <c r="F85">
        <v>424</v>
      </c>
      <c r="G85">
        <v>1.278183962264151</v>
      </c>
      <c r="H85">
        <v>0.006642679213949626</v>
      </c>
      <c r="I85">
        <v>-0.04790271397190982</v>
      </c>
      <c r="J85">
        <v>0.13</v>
      </c>
      <c r="K85">
        <v>0.08303310261137509</v>
      </c>
      <c r="L85" t="s">
        <v>901</v>
      </c>
      <c r="M85" t="s">
        <v>825</v>
      </c>
      <c r="N85">
        <v>33.2077205882353</v>
      </c>
      <c r="O85">
        <v>16.32</v>
      </c>
      <c r="P85">
        <v>3.6</v>
      </c>
      <c r="Q85">
        <v>0.2205882352941176</v>
      </c>
      <c r="R85">
        <v>12</v>
      </c>
      <c r="S85">
        <v>0.1299057156295129</v>
      </c>
      <c r="T85" t="s">
        <v>921</v>
      </c>
      <c r="U85">
        <v>0.210037460188991</v>
      </c>
      <c r="V85" t="s">
        <v>1004</v>
      </c>
      <c r="W85" t="s">
        <v>1008</v>
      </c>
      <c r="X85" t="s">
        <v>1016</v>
      </c>
      <c r="Y85">
        <v>153043.8</v>
      </c>
      <c r="Z85" s="2">
        <v>45165</v>
      </c>
      <c r="AA85" t="s">
        <v>1032</v>
      </c>
    </row>
    <row r="86" spans="1:27">
      <c r="A86" s="1" t="s">
        <v>111</v>
      </c>
      <c r="B86">
        <f>HYPERLINK("https://www.suredividend.com/sure-analysis-FRT/","Federal Realty Investment Trust.")</f>
        <v>0</v>
      </c>
      <c r="C86" t="s">
        <v>899</v>
      </c>
      <c r="D86">
        <v>98</v>
      </c>
      <c r="E86">
        <v>97.54000000000001</v>
      </c>
      <c r="F86">
        <v>98</v>
      </c>
      <c r="G86">
        <v>0.9953061224489796</v>
      </c>
      <c r="H86">
        <v>0.04469961041623949</v>
      </c>
      <c r="I86">
        <v>0.0009414285436550873</v>
      </c>
      <c r="J86">
        <v>0.043</v>
      </c>
      <c r="K86">
        <v>0.08199456799402149</v>
      </c>
      <c r="L86" t="s">
        <v>901</v>
      </c>
      <c r="M86" t="s">
        <v>901</v>
      </c>
      <c r="N86">
        <v>14.9601226993865</v>
      </c>
      <c r="O86">
        <v>6.52</v>
      </c>
      <c r="P86">
        <v>4.36</v>
      </c>
      <c r="Q86">
        <v>0.6687116564417179</v>
      </c>
      <c r="R86">
        <v>56</v>
      </c>
      <c r="S86">
        <v>0.02777181342233748</v>
      </c>
      <c r="T86" t="s">
        <v>943</v>
      </c>
      <c r="U86">
        <v>-0.024403807844095</v>
      </c>
      <c r="V86" t="s">
        <v>1005</v>
      </c>
      <c r="W86" t="s">
        <v>1008</v>
      </c>
      <c r="X86" t="s">
        <v>1019</v>
      </c>
      <c r="Y86">
        <v>8008.845062</v>
      </c>
      <c r="Z86" s="2">
        <v>45167</v>
      </c>
      <c r="AA86" t="s">
        <v>1033</v>
      </c>
    </row>
    <row r="87" spans="1:27">
      <c r="A87" s="1" t="s">
        <v>112</v>
      </c>
      <c r="B87">
        <f>HYPERLINK("https://www.suredividend.com/sure-analysis-ITT/","ITT Inc")</f>
        <v>0</v>
      </c>
      <c r="C87" t="s">
        <v>899</v>
      </c>
      <c r="D87">
        <v>96</v>
      </c>
      <c r="E87">
        <v>100.05</v>
      </c>
      <c r="F87">
        <v>90</v>
      </c>
      <c r="G87">
        <v>1.111666666666667</v>
      </c>
      <c r="H87">
        <v>0.01159420289855072</v>
      </c>
      <c r="I87">
        <v>-0.02094952311157472</v>
      </c>
      <c r="J87">
        <v>0.09</v>
      </c>
      <c r="K87">
        <v>0.07891758433701446</v>
      </c>
      <c r="L87" t="s">
        <v>901</v>
      </c>
      <c r="M87" t="s">
        <v>580</v>
      </c>
      <c r="N87">
        <v>20.01</v>
      </c>
      <c r="O87">
        <v>5</v>
      </c>
      <c r="P87">
        <v>1.16</v>
      </c>
      <c r="Q87">
        <v>0.232</v>
      </c>
      <c r="R87">
        <v>27</v>
      </c>
      <c r="S87">
        <v>0.1002128764755552</v>
      </c>
      <c r="T87" t="s">
        <v>916</v>
      </c>
      <c r="U87">
        <v>0.322704334834348</v>
      </c>
      <c r="V87" t="s">
        <v>1004</v>
      </c>
      <c r="W87" t="s">
        <v>1008</v>
      </c>
      <c r="X87" t="s">
        <v>1012</v>
      </c>
      <c r="Y87">
        <v>8315.088</v>
      </c>
      <c r="Z87" s="2">
        <v>45161</v>
      </c>
      <c r="AA87" t="s">
        <v>1034</v>
      </c>
    </row>
    <row r="88" spans="1:27">
      <c r="A88" s="1" t="s">
        <v>113</v>
      </c>
      <c r="B88">
        <f>HYPERLINK("https://www.suredividend.com/sure-analysis-GL/","Globe Life Inc")</f>
        <v>0</v>
      </c>
      <c r="C88" t="s">
        <v>899</v>
      </c>
      <c r="D88">
        <v>115</v>
      </c>
      <c r="E88">
        <v>109.81</v>
      </c>
      <c r="F88">
        <v>105</v>
      </c>
      <c r="G88">
        <v>1.045809523809524</v>
      </c>
      <c r="H88">
        <v>0.008195974865677079</v>
      </c>
      <c r="I88">
        <v>-0.008918244318964819</v>
      </c>
      <c r="J88">
        <v>0.08</v>
      </c>
      <c r="K88">
        <v>0.07862836494573555</v>
      </c>
      <c r="L88" t="s">
        <v>901</v>
      </c>
      <c r="M88" t="s">
        <v>580</v>
      </c>
      <c r="N88">
        <v>13.62406947890819</v>
      </c>
      <c r="O88">
        <v>8.06</v>
      </c>
      <c r="P88">
        <v>0.9</v>
      </c>
      <c r="Q88">
        <v>0.1116625310173697</v>
      </c>
      <c r="R88">
        <v>18</v>
      </c>
      <c r="S88">
        <v>0.100082101138866</v>
      </c>
      <c r="T88" t="s">
        <v>944</v>
      </c>
      <c r="U88">
        <v>0.07238005468524801</v>
      </c>
      <c r="V88" t="s">
        <v>1004</v>
      </c>
      <c r="W88" t="s">
        <v>1008</v>
      </c>
      <c r="X88" t="s">
        <v>1015</v>
      </c>
      <c r="Y88">
        <v>10430.042483</v>
      </c>
      <c r="Z88" s="2">
        <v>45145</v>
      </c>
      <c r="AA88" t="s">
        <v>1025</v>
      </c>
    </row>
    <row r="89" spans="1:27">
      <c r="A89" s="1" t="s">
        <v>114</v>
      </c>
      <c r="B89">
        <f>HYPERLINK("https://www.suredividend.com/sure-analysis-MLI/","Mueller Industries, Inc.")</f>
        <v>0</v>
      </c>
      <c r="C89" t="s">
        <v>899</v>
      </c>
      <c r="D89">
        <v>83</v>
      </c>
      <c r="E89">
        <v>72.68000000000001</v>
      </c>
      <c r="F89">
        <v>95</v>
      </c>
      <c r="G89">
        <v>0.7650526315789474</v>
      </c>
      <c r="H89">
        <v>0.01651073197578426</v>
      </c>
      <c r="I89">
        <v>0.05502253787497469</v>
      </c>
      <c r="J89">
        <v>0.01</v>
      </c>
      <c r="K89">
        <v>0.07862634252637868</v>
      </c>
      <c r="L89" t="s">
        <v>901</v>
      </c>
      <c r="M89" t="s">
        <v>580</v>
      </c>
      <c r="N89">
        <v>7.650526315789475</v>
      </c>
      <c r="O89">
        <v>9.5</v>
      </c>
      <c r="P89">
        <v>1.2</v>
      </c>
      <c r="Q89">
        <v>0.1263157894736842</v>
      </c>
      <c r="R89">
        <v>3</v>
      </c>
      <c r="S89">
        <v>0.01456924404965632</v>
      </c>
      <c r="T89" t="s">
        <v>916</v>
      </c>
      <c r="U89">
        <v>0.157458554689876</v>
      </c>
      <c r="V89" t="s">
        <v>1004</v>
      </c>
      <c r="W89" t="s">
        <v>1008</v>
      </c>
      <c r="X89" t="s">
        <v>1012</v>
      </c>
      <c r="Y89">
        <v>4103.184737</v>
      </c>
      <c r="Z89" s="2">
        <v>45134</v>
      </c>
      <c r="AA89" t="s">
        <v>1031</v>
      </c>
    </row>
    <row r="90" spans="1:27">
      <c r="A90" s="1" t="s">
        <v>115</v>
      </c>
      <c r="B90">
        <f>HYPERLINK("https://www.suredividend.com/sure-analysis-THFF/","First Financial Corp. - Indiana")</f>
        <v>0</v>
      </c>
      <c r="C90" t="s">
        <v>899</v>
      </c>
      <c r="D90">
        <v>38</v>
      </c>
      <c r="E90">
        <v>36.41</v>
      </c>
      <c r="F90">
        <v>50</v>
      </c>
      <c r="G90">
        <v>0.7282</v>
      </c>
      <c r="H90">
        <v>0.02966218071958254</v>
      </c>
      <c r="I90">
        <v>0.06549119484201005</v>
      </c>
      <c r="J90">
        <v>-0.01</v>
      </c>
      <c r="K90">
        <v>0.07850184583804132</v>
      </c>
      <c r="L90" t="s">
        <v>901</v>
      </c>
      <c r="M90" t="s">
        <v>901</v>
      </c>
      <c r="N90">
        <v>7.355555555555554</v>
      </c>
      <c r="O90">
        <v>4.95</v>
      </c>
      <c r="P90">
        <v>1.08</v>
      </c>
      <c r="Q90">
        <v>0.2181818181818182</v>
      </c>
      <c r="R90">
        <v>34</v>
      </c>
      <c r="S90">
        <v>0.01087212085035083</v>
      </c>
      <c r="T90" t="s">
        <v>904</v>
      </c>
      <c r="U90">
        <v>-0.178113620056367</v>
      </c>
      <c r="V90" t="s">
        <v>1004</v>
      </c>
      <c r="W90" t="s">
        <v>1008</v>
      </c>
      <c r="X90" t="s">
        <v>1015</v>
      </c>
      <c r="Y90">
        <v>437.587511</v>
      </c>
      <c r="Z90" s="2">
        <v>45139</v>
      </c>
      <c r="AA90" t="s">
        <v>1030</v>
      </c>
    </row>
    <row r="91" spans="1:27">
      <c r="A91" s="1" t="s">
        <v>116</v>
      </c>
      <c r="B91">
        <f>HYPERLINK("https://www.suredividend.com/sure-analysis-CAT/","Caterpillar Inc.")</f>
        <v>0</v>
      </c>
      <c r="C91" t="s">
        <v>899</v>
      </c>
      <c r="D91">
        <v>286</v>
      </c>
      <c r="E91">
        <v>275.92</v>
      </c>
      <c r="F91">
        <v>288</v>
      </c>
      <c r="G91">
        <v>0.9580555555555557</v>
      </c>
      <c r="H91">
        <v>0.01884604233111047</v>
      </c>
      <c r="I91">
        <v>0.008606729039543515</v>
      </c>
      <c r="J91">
        <v>0.05</v>
      </c>
      <c r="K91">
        <v>0.07737531867757164</v>
      </c>
      <c r="L91" t="s">
        <v>901</v>
      </c>
      <c r="M91" t="s">
        <v>902</v>
      </c>
      <c r="N91">
        <v>15.32888888888889</v>
      </c>
      <c r="O91">
        <v>18</v>
      </c>
      <c r="P91">
        <v>5.2</v>
      </c>
      <c r="Q91">
        <v>0.2888888888888889</v>
      </c>
      <c r="R91">
        <v>30</v>
      </c>
      <c r="S91">
        <v>0.07998569482738827</v>
      </c>
      <c r="T91" t="s">
        <v>945</v>
      </c>
      <c r="U91">
        <v>0.4969605024679311</v>
      </c>
      <c r="V91" t="s">
        <v>1004</v>
      </c>
      <c r="W91" t="s">
        <v>1008</v>
      </c>
      <c r="X91" t="s">
        <v>1012</v>
      </c>
      <c r="Y91">
        <v>143751.281</v>
      </c>
      <c r="Z91" s="2">
        <v>45140</v>
      </c>
      <c r="AA91" t="s">
        <v>1032</v>
      </c>
    </row>
    <row r="92" spans="1:27">
      <c r="A92" s="1" t="s">
        <v>117</v>
      </c>
      <c r="B92">
        <f>HYPERLINK("https://www.suredividend.com/sure-analysis-AOS/","A.O. Smith Corp.")</f>
        <v>0</v>
      </c>
      <c r="C92" t="s">
        <v>899</v>
      </c>
      <c r="D92">
        <v>69</v>
      </c>
      <c r="E92">
        <v>67.12</v>
      </c>
      <c r="F92">
        <v>67</v>
      </c>
      <c r="G92">
        <v>1.00179104477612</v>
      </c>
      <c r="H92">
        <v>0.01787842669845053</v>
      </c>
      <c r="I92">
        <v>-0.0003578245191278029</v>
      </c>
      <c r="J92">
        <v>0.06</v>
      </c>
      <c r="K92">
        <v>0.07699200925398131</v>
      </c>
      <c r="L92" t="s">
        <v>901</v>
      </c>
      <c r="M92" t="s">
        <v>902</v>
      </c>
      <c r="N92">
        <v>19.01416430594901</v>
      </c>
      <c r="O92">
        <v>3.53</v>
      </c>
      <c r="P92">
        <v>1.2</v>
      </c>
      <c r="Q92">
        <v>0.339943342776204</v>
      </c>
      <c r="R92">
        <v>29</v>
      </c>
      <c r="S92">
        <v>0.0796084730466029</v>
      </c>
      <c r="T92" t="s">
        <v>918</v>
      </c>
      <c r="U92">
        <v>0.239121162345381</v>
      </c>
      <c r="V92" t="s">
        <v>1004</v>
      </c>
      <c r="W92" t="s">
        <v>1008</v>
      </c>
      <c r="X92" t="s">
        <v>1012</v>
      </c>
      <c r="Y92">
        <v>10429.985228</v>
      </c>
      <c r="Z92" s="2">
        <v>45158</v>
      </c>
      <c r="AA92" t="s">
        <v>1028</v>
      </c>
    </row>
    <row r="93" spans="1:27">
      <c r="A93" s="1" t="s">
        <v>118</v>
      </c>
      <c r="B93">
        <f>HYPERLINK("https://www.suredividend.com/sure-analysis-V/","Visa Inc")</f>
        <v>0</v>
      </c>
      <c r="C93" t="s">
        <v>899</v>
      </c>
      <c r="D93">
        <v>237</v>
      </c>
      <c r="E93">
        <v>247.83</v>
      </c>
      <c r="F93">
        <v>215</v>
      </c>
      <c r="G93">
        <v>1.152697674418605</v>
      </c>
      <c r="H93">
        <v>0.007263043215107129</v>
      </c>
      <c r="I93">
        <v>-0.02802092236765752</v>
      </c>
      <c r="J93">
        <v>0.1</v>
      </c>
      <c r="K93">
        <v>0.07654170307655295</v>
      </c>
      <c r="L93" t="s">
        <v>901</v>
      </c>
      <c r="M93" t="s">
        <v>825</v>
      </c>
      <c r="N93">
        <v>28.78397212543554</v>
      </c>
      <c r="O93">
        <v>8.609999999999999</v>
      </c>
      <c r="P93">
        <v>1.8</v>
      </c>
      <c r="Q93">
        <v>0.2090592334494774</v>
      </c>
      <c r="R93">
        <v>15</v>
      </c>
      <c r="S93">
        <v>0.100082101138866</v>
      </c>
      <c r="T93" t="s">
        <v>915</v>
      </c>
      <c r="U93">
        <v>0.20926316118896</v>
      </c>
      <c r="V93" t="s">
        <v>1004</v>
      </c>
      <c r="W93" t="s">
        <v>1008</v>
      </c>
      <c r="X93" t="s">
        <v>1015</v>
      </c>
      <c r="Y93">
        <v>467499.523903</v>
      </c>
      <c r="Z93" s="2">
        <v>45135</v>
      </c>
      <c r="AA93" t="s">
        <v>1026</v>
      </c>
    </row>
    <row r="94" spans="1:27">
      <c r="A94" s="1" t="s">
        <v>119</v>
      </c>
      <c r="B94">
        <f>HYPERLINK("https://www.suredividend.com/sure-analysis-EG/","Everest Group Ltd")</f>
        <v>0</v>
      </c>
      <c r="C94" t="s">
        <v>899</v>
      </c>
      <c r="D94">
        <v>353</v>
      </c>
      <c r="E94">
        <v>375.16</v>
      </c>
      <c r="F94">
        <v>480</v>
      </c>
      <c r="G94">
        <v>0.7815833333333334</v>
      </c>
      <c r="H94">
        <v>0.01865870561893592</v>
      </c>
      <c r="I94">
        <v>0.0505214925562214</v>
      </c>
      <c r="J94">
        <v>0.01</v>
      </c>
      <c r="K94">
        <v>0.07612377979006046</v>
      </c>
      <c r="L94" t="s">
        <v>901</v>
      </c>
      <c r="M94" t="s">
        <v>580</v>
      </c>
      <c r="N94">
        <v>7.815833333333334</v>
      </c>
      <c r="O94">
        <v>48</v>
      </c>
      <c r="P94">
        <v>7</v>
      </c>
      <c r="Q94">
        <v>0.1458333333333333</v>
      </c>
      <c r="R94">
        <v>2</v>
      </c>
      <c r="S94">
        <v>0.01791773022210408</v>
      </c>
      <c r="T94" t="s">
        <v>946</v>
      </c>
      <c r="U94">
        <v>0.343435129602271</v>
      </c>
      <c r="V94" t="s">
        <v>1004</v>
      </c>
      <c r="W94" t="s">
        <v>1009</v>
      </c>
      <c r="X94" t="s">
        <v>1015</v>
      </c>
      <c r="Y94">
        <v>16332.333118</v>
      </c>
      <c r="Z94" s="2">
        <v>45168</v>
      </c>
      <c r="AA94" t="s">
        <v>1028</v>
      </c>
    </row>
    <row r="95" spans="1:27">
      <c r="A95" s="1" t="s">
        <v>120</v>
      </c>
      <c r="B95">
        <f>HYPERLINK("https://www.suredividend.com/sure-analysis-MCK/","Mckesson Corporation")</f>
        <v>0</v>
      </c>
      <c r="C95" t="s">
        <v>899</v>
      </c>
      <c r="D95">
        <v>438</v>
      </c>
      <c r="E95">
        <v>420.48</v>
      </c>
      <c r="F95">
        <v>380</v>
      </c>
      <c r="G95">
        <v>1.106526315789474</v>
      </c>
      <c r="H95">
        <v>0.005898021308980213</v>
      </c>
      <c r="I95">
        <v>-0.02004157592149791</v>
      </c>
      <c r="J95">
        <v>0.09</v>
      </c>
      <c r="K95">
        <v>0.07367481151822153</v>
      </c>
      <c r="L95" t="s">
        <v>901</v>
      </c>
      <c r="M95" t="s">
        <v>580</v>
      </c>
      <c r="N95">
        <v>15.48729281767956</v>
      </c>
      <c r="O95">
        <v>27.15</v>
      </c>
      <c r="P95">
        <v>2.48</v>
      </c>
      <c r="Q95">
        <v>0.09134438305709025</v>
      </c>
      <c r="R95">
        <v>16</v>
      </c>
      <c r="S95">
        <v>0.07010283006626494</v>
      </c>
      <c r="T95" t="s">
        <v>916</v>
      </c>
      <c r="U95">
        <v>0.167242867817004</v>
      </c>
      <c r="V95" t="s">
        <v>1004</v>
      </c>
      <c r="W95" t="s">
        <v>1008</v>
      </c>
      <c r="X95" t="s">
        <v>1014</v>
      </c>
      <c r="Y95">
        <v>56942.294598</v>
      </c>
      <c r="Z95" s="2">
        <v>45155</v>
      </c>
      <c r="AA95" t="s">
        <v>1030</v>
      </c>
    </row>
    <row r="96" spans="1:27">
      <c r="A96" s="1" t="s">
        <v>121</v>
      </c>
      <c r="B96">
        <f>HYPERLINK("https://www.suredividend.com/sure-analysis-CINF/","Cincinnati Financial Corp.")</f>
        <v>0</v>
      </c>
      <c r="C96" t="s">
        <v>899</v>
      </c>
      <c r="D96">
        <v>108</v>
      </c>
      <c r="E96">
        <v>106.43</v>
      </c>
      <c r="F96">
        <v>100</v>
      </c>
      <c r="G96">
        <v>1.0643</v>
      </c>
      <c r="H96">
        <v>0.02818754110683078</v>
      </c>
      <c r="I96">
        <v>-0.0123861139519359</v>
      </c>
      <c r="J96">
        <v>0.06</v>
      </c>
      <c r="K96">
        <v>0.07279235027434461</v>
      </c>
      <c r="L96" t="s">
        <v>901</v>
      </c>
      <c r="M96" t="s">
        <v>901</v>
      </c>
      <c r="N96">
        <v>21.286</v>
      </c>
      <c r="O96">
        <v>5</v>
      </c>
      <c r="P96">
        <v>3</v>
      </c>
      <c r="Q96">
        <v>0.6</v>
      </c>
      <c r="R96">
        <v>63</v>
      </c>
      <c r="S96">
        <v>0.05006335758366887</v>
      </c>
      <c r="T96" t="s">
        <v>904</v>
      </c>
      <c r="U96">
        <v>0.082258294133148</v>
      </c>
      <c r="V96" t="s">
        <v>1004</v>
      </c>
      <c r="W96" t="s">
        <v>1008</v>
      </c>
      <c r="X96" t="s">
        <v>1015</v>
      </c>
      <c r="Y96">
        <v>16813.412005</v>
      </c>
      <c r="Z96" s="2">
        <v>45155</v>
      </c>
      <c r="AA96" t="s">
        <v>1027</v>
      </c>
    </row>
    <row r="97" spans="1:27">
      <c r="A97" s="1" t="s">
        <v>122</v>
      </c>
      <c r="B97">
        <f>HYPERLINK("https://www.suredividend.com/sure-analysis-CHE/","Chemed Corp.")</f>
        <v>0</v>
      </c>
      <c r="C97" t="s">
        <v>899</v>
      </c>
      <c r="D97">
        <v>523</v>
      </c>
      <c r="E97">
        <v>500.78</v>
      </c>
      <c r="F97">
        <v>500</v>
      </c>
      <c r="G97">
        <v>1.00156</v>
      </c>
      <c r="H97">
        <v>0.003195015775390391</v>
      </c>
      <c r="I97">
        <v>-0.0003117083016681566</v>
      </c>
      <c r="J97">
        <v>0.07000000000000001</v>
      </c>
      <c r="K97">
        <v>0.07239618335152032</v>
      </c>
      <c r="L97" t="s">
        <v>901</v>
      </c>
      <c r="M97" t="s">
        <v>580</v>
      </c>
      <c r="N97">
        <v>25.039</v>
      </c>
      <c r="O97">
        <v>20</v>
      </c>
      <c r="P97">
        <v>1.6</v>
      </c>
      <c r="Q97">
        <v>0.08</v>
      </c>
      <c r="R97">
        <v>15</v>
      </c>
      <c r="S97">
        <v>0.03928904495613805</v>
      </c>
      <c r="T97" t="s">
        <v>947</v>
      </c>
      <c r="U97">
        <v>0.044237765934569</v>
      </c>
      <c r="V97" t="s">
        <v>1004</v>
      </c>
      <c r="W97" t="s">
        <v>1008</v>
      </c>
      <c r="X97" t="s">
        <v>1014</v>
      </c>
      <c r="Y97">
        <v>7540.570993</v>
      </c>
      <c r="Z97" s="2">
        <v>45141</v>
      </c>
      <c r="AA97" t="s">
        <v>1024</v>
      </c>
    </row>
    <row r="98" spans="1:27">
      <c r="A98" s="1" t="s">
        <v>123</v>
      </c>
      <c r="B98">
        <f>HYPERLINK("https://www.suredividend.com/sure-analysis-CNI/","Canadian National Railway Co.")</f>
        <v>0</v>
      </c>
      <c r="C98" t="s">
        <v>899</v>
      </c>
      <c r="D98">
        <v>118</v>
      </c>
      <c r="E98">
        <v>111.24</v>
      </c>
      <c r="F98">
        <v>102</v>
      </c>
      <c r="G98">
        <v>1.090588235294118</v>
      </c>
      <c r="H98">
        <v>0.02121539014742898</v>
      </c>
      <c r="I98">
        <v>-0.01719391141836946</v>
      </c>
      <c r="J98">
        <v>0.07000000000000001</v>
      </c>
      <c r="K98">
        <v>0.07213411567816652</v>
      </c>
      <c r="L98" t="s">
        <v>901</v>
      </c>
      <c r="M98" t="s">
        <v>902</v>
      </c>
      <c r="N98">
        <v>19.61904761904762</v>
      </c>
      <c r="O98">
        <v>5.67</v>
      </c>
      <c r="P98">
        <v>2.36</v>
      </c>
      <c r="Q98">
        <v>0.4162257495590829</v>
      </c>
      <c r="R98">
        <v>28</v>
      </c>
      <c r="S98">
        <v>0.06999857218918182</v>
      </c>
      <c r="T98" t="s">
        <v>924</v>
      </c>
      <c r="U98">
        <v>-0.100538459323491</v>
      </c>
      <c r="V98" t="s">
        <v>1004</v>
      </c>
      <c r="W98" t="s">
        <v>1009</v>
      </c>
      <c r="X98" t="s">
        <v>1012</v>
      </c>
      <c r="Y98">
        <v>71457.967737</v>
      </c>
      <c r="Z98" s="2">
        <v>45137</v>
      </c>
      <c r="AA98" t="s">
        <v>1021</v>
      </c>
    </row>
    <row r="99" spans="1:27">
      <c r="A99" s="1" t="s">
        <v>124</v>
      </c>
      <c r="B99">
        <f>HYPERLINK("https://www.suredividend.com/sure-analysis-SPGI/","S&amp;P Global Inc")</f>
        <v>0</v>
      </c>
      <c r="C99" t="s">
        <v>899</v>
      </c>
      <c r="D99">
        <v>395</v>
      </c>
      <c r="E99">
        <v>389.85</v>
      </c>
      <c r="F99">
        <v>326</v>
      </c>
      <c r="G99">
        <v>1.195858895705522</v>
      </c>
      <c r="H99">
        <v>0.00923432089265102</v>
      </c>
      <c r="I99">
        <v>-0.03514064432328867</v>
      </c>
      <c r="J99">
        <v>0.1</v>
      </c>
      <c r="K99">
        <v>0.07150048466086312</v>
      </c>
      <c r="L99" t="s">
        <v>901</v>
      </c>
      <c r="M99" t="s">
        <v>580</v>
      </c>
      <c r="N99">
        <v>31.06374501992032</v>
      </c>
      <c r="O99">
        <v>12.55</v>
      </c>
      <c r="P99">
        <v>3.6</v>
      </c>
      <c r="Q99">
        <v>0.2868525896414342</v>
      </c>
      <c r="R99">
        <v>50</v>
      </c>
      <c r="S99">
        <v>0.1198435461338727</v>
      </c>
      <c r="T99" t="s">
        <v>927</v>
      </c>
      <c r="U99">
        <v>0.052808417900434</v>
      </c>
      <c r="V99" t="s">
        <v>1004</v>
      </c>
      <c r="W99" t="s">
        <v>1008</v>
      </c>
      <c r="X99" t="s">
        <v>1015</v>
      </c>
      <c r="Y99">
        <v>128967.57</v>
      </c>
      <c r="Z99" s="2">
        <v>45140</v>
      </c>
      <c r="AA99" t="s">
        <v>1030</v>
      </c>
    </row>
    <row r="100" spans="1:27">
      <c r="A100" s="1" t="s">
        <v>125</v>
      </c>
      <c r="B100">
        <f>HYPERLINK("https://www.suredividend.com/sure-analysis-FFMR/","First Farmers Financial Corp")</f>
        <v>0</v>
      </c>
      <c r="C100" t="s">
        <v>899</v>
      </c>
      <c r="D100">
        <v>64</v>
      </c>
      <c r="E100">
        <v>62.25</v>
      </c>
      <c r="F100">
        <v>60</v>
      </c>
      <c r="G100">
        <v>1.0375</v>
      </c>
      <c r="H100">
        <v>0.02955823293172691</v>
      </c>
      <c r="I100">
        <v>-0.00733575565369482</v>
      </c>
      <c r="J100">
        <v>0.05</v>
      </c>
      <c r="K100">
        <v>0.07143782750385963</v>
      </c>
      <c r="L100" t="s">
        <v>901</v>
      </c>
      <c r="M100" t="s">
        <v>901</v>
      </c>
      <c r="N100">
        <v>10.375</v>
      </c>
      <c r="O100">
        <v>6</v>
      </c>
      <c r="P100">
        <v>1.84</v>
      </c>
      <c r="Q100">
        <v>0.3066666666666667</v>
      </c>
      <c r="R100">
        <v>32</v>
      </c>
      <c r="S100">
        <v>0.06994234673120125</v>
      </c>
      <c r="T100" t="s">
        <v>911</v>
      </c>
      <c r="U100">
        <v>0.07844827586206801</v>
      </c>
      <c r="V100" t="s">
        <v>1004</v>
      </c>
      <c r="W100" t="s">
        <v>1008</v>
      </c>
      <c r="X100" t="s">
        <v>1015</v>
      </c>
      <c r="Y100">
        <v>440.118876</v>
      </c>
      <c r="Z100" s="2">
        <v>45061</v>
      </c>
      <c r="AA100" t="s">
        <v>1030</v>
      </c>
    </row>
    <row r="101" spans="1:27">
      <c r="A101" s="1" t="s">
        <v>126</v>
      </c>
      <c r="B101">
        <f>HYPERLINK("https://www.suredividend.com/sure-analysis-MATW/","Matthews International Corp.")</f>
        <v>0</v>
      </c>
      <c r="C101" t="s">
        <v>899</v>
      </c>
      <c r="D101">
        <v>46</v>
      </c>
      <c r="E101">
        <v>38.54</v>
      </c>
      <c r="F101">
        <v>34</v>
      </c>
      <c r="G101">
        <v>1.133529411764706</v>
      </c>
      <c r="H101">
        <v>0.02387130254281266</v>
      </c>
      <c r="I101">
        <v>-0.02475565358455711</v>
      </c>
      <c r="J101">
        <v>0.075</v>
      </c>
      <c r="K101">
        <v>0.07032854740618522</v>
      </c>
      <c r="L101" t="s">
        <v>901</v>
      </c>
      <c r="M101" t="s">
        <v>902</v>
      </c>
      <c r="N101">
        <v>14.06569343065693</v>
      </c>
      <c r="O101">
        <v>2.74</v>
      </c>
      <c r="P101">
        <v>0.92</v>
      </c>
      <c r="Q101">
        <v>0.3357664233576642</v>
      </c>
      <c r="R101">
        <v>29</v>
      </c>
      <c r="S101">
        <v>0.04925151964895069</v>
      </c>
      <c r="T101" t="s">
        <v>910</v>
      </c>
      <c r="U101">
        <v>0.538412140331443</v>
      </c>
      <c r="V101" t="s">
        <v>1004</v>
      </c>
      <c r="W101" t="s">
        <v>1008</v>
      </c>
      <c r="X101" t="s">
        <v>1012</v>
      </c>
      <c r="Y101">
        <v>1167.825484</v>
      </c>
      <c r="Z101" s="2">
        <v>45143</v>
      </c>
      <c r="AA101" t="s">
        <v>1026</v>
      </c>
    </row>
    <row r="102" spans="1:27">
      <c r="A102" s="1" t="s">
        <v>127</v>
      </c>
      <c r="B102">
        <f>HYPERLINK("https://www.suredividend.com/sure-analysis-CTAS/","Cintas Corporation")</f>
        <v>0</v>
      </c>
      <c r="C102" t="s">
        <v>899</v>
      </c>
      <c r="D102">
        <v>504</v>
      </c>
      <c r="E102">
        <v>514.79</v>
      </c>
      <c r="F102">
        <v>428</v>
      </c>
      <c r="G102">
        <v>1.202780373831776</v>
      </c>
      <c r="H102">
        <v>0.01048971425241361</v>
      </c>
      <c r="I102">
        <v>-0.03625367851283234</v>
      </c>
      <c r="J102">
        <v>0.1</v>
      </c>
      <c r="K102">
        <v>0.07001621331308505</v>
      </c>
      <c r="L102" t="s">
        <v>901</v>
      </c>
      <c r="M102" t="s">
        <v>580</v>
      </c>
      <c r="N102">
        <v>36.12561403508771</v>
      </c>
      <c r="O102">
        <v>14.25</v>
      </c>
      <c r="P102">
        <v>5.4</v>
      </c>
      <c r="Q102">
        <v>0.3789473684210526</v>
      </c>
      <c r="R102">
        <v>41</v>
      </c>
      <c r="S102">
        <v>0.0653317970296361</v>
      </c>
      <c r="T102" t="s">
        <v>917</v>
      </c>
      <c r="U102">
        <v>0.208981695309872</v>
      </c>
      <c r="V102" t="s">
        <v>1004</v>
      </c>
      <c r="W102" t="s">
        <v>1008</v>
      </c>
      <c r="X102" t="s">
        <v>1012</v>
      </c>
      <c r="Y102">
        <v>52070.31504</v>
      </c>
      <c r="Z102" s="2">
        <v>45125</v>
      </c>
      <c r="AA102" t="s">
        <v>1030</v>
      </c>
    </row>
    <row r="103" spans="1:27">
      <c r="A103" s="1" t="s">
        <v>128</v>
      </c>
      <c r="B103">
        <f>HYPERLINK("https://www.suredividend.com/sure-analysis-AEL/","American Equity Investment Life Holding Co")</f>
        <v>0</v>
      </c>
      <c r="C103" t="s">
        <v>899</v>
      </c>
      <c r="D103">
        <v>54</v>
      </c>
      <c r="E103">
        <v>54.12</v>
      </c>
      <c r="F103">
        <v>55</v>
      </c>
      <c r="G103">
        <v>0.984</v>
      </c>
      <c r="H103">
        <v>0.007021433850702144</v>
      </c>
      <c r="I103">
        <v>0.003231085124615118</v>
      </c>
      <c r="J103">
        <v>0.06</v>
      </c>
      <c r="K103">
        <v>0.06991831196531906</v>
      </c>
      <c r="L103" t="s">
        <v>901</v>
      </c>
      <c r="M103" t="s">
        <v>580</v>
      </c>
      <c r="N103">
        <v>10.824</v>
      </c>
      <c r="O103">
        <v>5</v>
      </c>
      <c r="P103">
        <v>0.38</v>
      </c>
      <c r="Q103">
        <v>0.076</v>
      </c>
      <c r="R103">
        <v>18</v>
      </c>
      <c r="S103">
        <v>0.06061390336787298</v>
      </c>
      <c r="T103" t="s">
        <v>948</v>
      </c>
      <c r="U103">
        <v>0.384260446039477</v>
      </c>
      <c r="V103" t="s">
        <v>1004</v>
      </c>
      <c r="W103" t="s">
        <v>1008</v>
      </c>
      <c r="X103" t="s">
        <v>1015</v>
      </c>
      <c r="Y103">
        <v>4228.108038</v>
      </c>
      <c r="Z103" s="2">
        <v>45164</v>
      </c>
      <c r="AA103" t="s">
        <v>1025</v>
      </c>
    </row>
    <row r="104" spans="1:27">
      <c r="A104" s="1" t="s">
        <v>129</v>
      </c>
      <c r="B104">
        <f>HYPERLINK("https://www.suredividend.com/sure-analysis-NDSN/","Nordson Corp.")</f>
        <v>0</v>
      </c>
      <c r="C104" t="s">
        <v>899</v>
      </c>
      <c r="D104">
        <v>237</v>
      </c>
      <c r="E104">
        <v>231.24</v>
      </c>
      <c r="F104">
        <v>209</v>
      </c>
      <c r="G104">
        <v>1.106411483253589</v>
      </c>
      <c r="H104">
        <v>0.01176267081819754</v>
      </c>
      <c r="I104">
        <v>-0.02002123512765597</v>
      </c>
      <c r="J104">
        <v>0.08</v>
      </c>
      <c r="K104">
        <v>0.06967937583054162</v>
      </c>
      <c r="L104" t="s">
        <v>901</v>
      </c>
      <c r="M104" t="s">
        <v>902</v>
      </c>
      <c r="N104">
        <v>25.41098901098901</v>
      </c>
      <c r="O104">
        <v>9.1</v>
      </c>
      <c r="P104">
        <v>2.72</v>
      </c>
      <c r="Q104">
        <v>0.2989010989010989</v>
      </c>
      <c r="R104">
        <v>60</v>
      </c>
      <c r="S104">
        <v>0.07028365177818952</v>
      </c>
      <c r="T104" t="s">
        <v>949</v>
      </c>
      <c r="U104">
        <v>0.004297769985841001</v>
      </c>
      <c r="V104" t="s">
        <v>1004</v>
      </c>
      <c r="W104" t="s">
        <v>1008</v>
      </c>
      <c r="X104" t="s">
        <v>1012</v>
      </c>
      <c r="Y104">
        <v>13240.476638</v>
      </c>
      <c r="Z104" s="2">
        <v>45098</v>
      </c>
      <c r="AA104" t="s">
        <v>1026</v>
      </c>
    </row>
    <row r="105" spans="1:27">
      <c r="A105" s="1" t="s">
        <v>130</v>
      </c>
      <c r="B105">
        <f>HYPERLINK("https://www.suredividend.com/sure-analysis-BANF/","Bancfirst Corp.")</f>
        <v>0</v>
      </c>
      <c r="C105" t="s">
        <v>899</v>
      </c>
      <c r="D105">
        <v>99</v>
      </c>
      <c r="E105">
        <v>88.63</v>
      </c>
      <c r="F105">
        <v>94</v>
      </c>
      <c r="G105">
        <v>0.9428723404255319</v>
      </c>
      <c r="H105">
        <v>0.01940652149385084</v>
      </c>
      <c r="I105">
        <v>0.01183435466191995</v>
      </c>
      <c r="J105">
        <v>0.04</v>
      </c>
      <c r="K105">
        <v>0.06910386924993461</v>
      </c>
      <c r="L105" t="s">
        <v>901</v>
      </c>
      <c r="M105" t="s">
        <v>902</v>
      </c>
      <c r="N105">
        <v>14.0906200317965</v>
      </c>
      <c r="O105">
        <v>6.29</v>
      </c>
      <c r="P105">
        <v>1.72</v>
      </c>
      <c r="Q105">
        <v>0.2734499205087441</v>
      </c>
      <c r="R105">
        <v>30</v>
      </c>
      <c r="S105">
        <v>0.03062413800126618</v>
      </c>
      <c r="T105" t="s">
        <v>911</v>
      </c>
      <c r="U105">
        <v>-0.092852970734576</v>
      </c>
      <c r="V105" t="s">
        <v>1004</v>
      </c>
      <c r="W105" t="s">
        <v>1008</v>
      </c>
      <c r="X105" t="s">
        <v>1015</v>
      </c>
      <c r="Y105">
        <v>2911.062978</v>
      </c>
      <c r="Z105" s="2">
        <v>45155</v>
      </c>
      <c r="AA105" t="s">
        <v>1027</v>
      </c>
    </row>
    <row r="106" spans="1:27">
      <c r="A106" s="1" t="s">
        <v>131</v>
      </c>
      <c r="B106">
        <f>HYPERLINK("https://www.suredividend.com/sure-analysis-PSBQ/","PSB Holdings Inc (WI)")</f>
        <v>0</v>
      </c>
      <c r="C106" t="s">
        <v>899</v>
      </c>
      <c r="D106">
        <v>22</v>
      </c>
      <c r="E106">
        <v>21.25</v>
      </c>
      <c r="F106">
        <v>25</v>
      </c>
      <c r="G106">
        <v>0.85</v>
      </c>
      <c r="H106">
        <v>0.02823529411764706</v>
      </c>
      <c r="I106">
        <v>0.03303780411393231</v>
      </c>
      <c r="J106">
        <v>0.01</v>
      </c>
      <c r="K106">
        <v>0.06892682205085721</v>
      </c>
      <c r="L106" t="s">
        <v>901</v>
      </c>
      <c r="M106" t="s">
        <v>901</v>
      </c>
      <c r="N106">
        <v>8.018867924528303</v>
      </c>
      <c r="O106">
        <v>2.65</v>
      </c>
      <c r="P106">
        <v>0.6</v>
      </c>
      <c r="Q106">
        <v>0.2264150943396226</v>
      </c>
      <c r="R106">
        <v>30</v>
      </c>
      <c r="S106">
        <v>0.04000235313991807</v>
      </c>
      <c r="T106" t="s">
        <v>907</v>
      </c>
      <c r="U106">
        <v>-0.09940454747727301</v>
      </c>
      <c r="V106" t="s">
        <v>1004</v>
      </c>
      <c r="W106" t="s">
        <v>1008</v>
      </c>
      <c r="X106" t="s">
        <v>1015</v>
      </c>
      <c r="Y106">
        <v>90.509615</v>
      </c>
      <c r="Z106" s="2">
        <v>45134</v>
      </c>
      <c r="AA106" t="s">
        <v>1030</v>
      </c>
    </row>
    <row r="107" spans="1:27">
      <c r="A107" s="1" t="s">
        <v>132</v>
      </c>
      <c r="B107">
        <f>HYPERLINK("https://www.suredividend.com/sure-analysis-GATX/","GATX Corp.")</f>
        <v>0</v>
      </c>
      <c r="C107" t="s">
        <v>900</v>
      </c>
      <c r="D107">
        <v>132</v>
      </c>
      <c r="E107">
        <v>113.17</v>
      </c>
      <c r="F107">
        <v>119</v>
      </c>
      <c r="G107">
        <v>0.9510084033613445</v>
      </c>
      <c r="H107">
        <v>0.01943978086065212</v>
      </c>
      <c r="I107">
        <v>0.01009711129361968</v>
      </c>
      <c r="J107">
        <v>0.04</v>
      </c>
      <c r="K107">
        <v>0.06791161240973587</v>
      </c>
      <c r="L107" t="s">
        <v>901</v>
      </c>
      <c r="M107" t="s">
        <v>580</v>
      </c>
      <c r="N107">
        <v>16.16714285714286</v>
      </c>
      <c r="O107">
        <v>7</v>
      </c>
      <c r="P107">
        <v>2.2</v>
      </c>
      <c r="Q107">
        <v>0.3142857142857143</v>
      </c>
      <c r="R107">
        <v>18</v>
      </c>
      <c r="S107">
        <v>0.04026125343417397</v>
      </c>
      <c r="T107" t="s">
        <v>912</v>
      </c>
      <c r="U107">
        <v>0.188571002676924</v>
      </c>
      <c r="V107" t="s">
        <v>1004</v>
      </c>
      <c r="W107" t="s">
        <v>1008</v>
      </c>
      <c r="X107" t="s">
        <v>1012</v>
      </c>
      <c r="Y107">
        <v>4064.628</v>
      </c>
      <c r="Z107" s="2">
        <v>45132</v>
      </c>
      <c r="AA107" t="s">
        <v>1032</v>
      </c>
    </row>
    <row r="108" spans="1:27">
      <c r="A108" s="1" t="s">
        <v>133</v>
      </c>
      <c r="B108">
        <f>HYPERLINK("https://www.suredividend.com/sure-analysis-CBSH/","Commerce Bancshares, Inc.")</f>
        <v>0</v>
      </c>
      <c r="C108" t="s">
        <v>899</v>
      </c>
      <c r="D108">
        <v>53</v>
      </c>
      <c r="E108">
        <v>47.02</v>
      </c>
      <c r="F108">
        <v>46</v>
      </c>
      <c r="G108">
        <v>1.022173913043478</v>
      </c>
      <c r="H108">
        <v>0.02296894938324117</v>
      </c>
      <c r="I108">
        <v>-0.004376723432095497</v>
      </c>
      <c r="J108">
        <v>0.05</v>
      </c>
      <c r="K108">
        <v>0.06748120604838648</v>
      </c>
      <c r="L108" t="s">
        <v>901</v>
      </c>
      <c r="M108" t="s">
        <v>902</v>
      </c>
      <c r="N108">
        <v>12.37368421052632</v>
      </c>
      <c r="O108">
        <v>3.8</v>
      </c>
      <c r="P108">
        <v>1.08</v>
      </c>
      <c r="Q108">
        <v>0.2842105263157895</v>
      </c>
      <c r="R108">
        <v>54</v>
      </c>
      <c r="S108">
        <v>0.06069091570555463</v>
      </c>
      <c r="T108" t="s">
        <v>940</v>
      </c>
      <c r="U108">
        <v>-0.314940253210854</v>
      </c>
      <c r="V108" t="s">
        <v>1004</v>
      </c>
      <c r="W108" t="s">
        <v>1008</v>
      </c>
      <c r="X108" t="s">
        <v>1015</v>
      </c>
      <c r="Y108">
        <v>5885.840378</v>
      </c>
      <c r="Z108" s="2">
        <v>45143</v>
      </c>
      <c r="AA108" t="s">
        <v>1028</v>
      </c>
    </row>
    <row r="109" spans="1:27">
      <c r="A109" s="1" t="s">
        <v>134</v>
      </c>
      <c r="B109">
        <f>HYPERLINK("https://www.suredividend.com/sure-analysis-MET/","Metlife Inc")</f>
        <v>0</v>
      </c>
      <c r="C109" t="s">
        <v>899</v>
      </c>
      <c r="D109">
        <v>64</v>
      </c>
      <c r="E109">
        <v>63.79</v>
      </c>
      <c r="F109">
        <v>70</v>
      </c>
      <c r="G109">
        <v>0.9112857142857143</v>
      </c>
      <c r="H109">
        <v>0.0326069916914877</v>
      </c>
      <c r="I109">
        <v>0.01875343847670696</v>
      </c>
      <c r="J109">
        <v>0.02</v>
      </c>
      <c r="K109">
        <v>0.06727865074280182</v>
      </c>
      <c r="L109" t="s">
        <v>901</v>
      </c>
      <c r="M109" t="s">
        <v>902</v>
      </c>
      <c r="N109">
        <v>8.188703465982028</v>
      </c>
      <c r="O109">
        <v>7.79</v>
      </c>
      <c r="P109">
        <v>2.08</v>
      </c>
      <c r="Q109">
        <v>0.2670089858793325</v>
      </c>
      <c r="R109">
        <v>11</v>
      </c>
      <c r="S109">
        <v>0.02031177855938826</v>
      </c>
      <c r="T109" t="s">
        <v>950</v>
      </c>
      <c r="U109">
        <v>-0.035997559487492</v>
      </c>
      <c r="V109" t="s">
        <v>1004</v>
      </c>
      <c r="W109" t="s">
        <v>1008</v>
      </c>
      <c r="X109" t="s">
        <v>1015</v>
      </c>
      <c r="Y109">
        <v>48121.916256</v>
      </c>
      <c r="Z109" s="2">
        <v>45143</v>
      </c>
      <c r="AA109" t="s">
        <v>1021</v>
      </c>
    </row>
    <row r="110" spans="1:27">
      <c r="A110" s="1" t="s">
        <v>135</v>
      </c>
      <c r="B110">
        <f>HYPERLINK("https://www.suredividend.com/sure-analysis-JKHY/","Jack Henry &amp; Associates, Inc.")</f>
        <v>0</v>
      </c>
      <c r="C110" t="s">
        <v>899</v>
      </c>
      <c r="D110">
        <v>154</v>
      </c>
      <c r="E110">
        <v>151.48</v>
      </c>
      <c r="F110">
        <v>124</v>
      </c>
      <c r="G110">
        <v>1.221612903225806</v>
      </c>
      <c r="H110">
        <v>0.01373118563506734</v>
      </c>
      <c r="I110">
        <v>-0.0392436186278553</v>
      </c>
      <c r="J110">
        <v>0.095</v>
      </c>
      <c r="K110">
        <v>0.06626192979159495</v>
      </c>
      <c r="L110" t="s">
        <v>901</v>
      </c>
      <c r="M110" t="s">
        <v>580</v>
      </c>
      <c r="N110">
        <v>30.54032258064516</v>
      </c>
      <c r="O110">
        <v>4.96</v>
      </c>
      <c r="P110">
        <v>2.08</v>
      </c>
      <c r="Q110">
        <v>0.4193548387096774</v>
      </c>
      <c r="R110">
        <v>33</v>
      </c>
      <c r="S110">
        <v>0.08997698704834534</v>
      </c>
      <c r="T110" t="s">
        <v>924</v>
      </c>
      <c r="U110">
        <v>-0.220436586082907</v>
      </c>
      <c r="V110" t="s">
        <v>1004</v>
      </c>
      <c r="W110" t="s">
        <v>1008</v>
      </c>
      <c r="X110" t="s">
        <v>1016</v>
      </c>
      <c r="Y110">
        <v>11159.075043</v>
      </c>
      <c r="Z110" s="2">
        <v>45159</v>
      </c>
      <c r="AA110" t="s">
        <v>1028</v>
      </c>
    </row>
    <row r="111" spans="1:27">
      <c r="A111" s="1" t="s">
        <v>136</v>
      </c>
      <c r="B111">
        <f>HYPERLINK("https://www.suredividend.com/sure-analysis-TRV/","Travelers Companies Inc.")</f>
        <v>0</v>
      </c>
      <c r="C111" t="s">
        <v>899</v>
      </c>
      <c r="D111">
        <v>173</v>
      </c>
      <c r="E111">
        <v>163.13</v>
      </c>
      <c r="F111">
        <v>150</v>
      </c>
      <c r="G111">
        <v>1.087533333333333</v>
      </c>
      <c r="H111">
        <v>0.02452032121620793</v>
      </c>
      <c r="I111">
        <v>-0.01664238654335648</v>
      </c>
      <c r="J111">
        <v>0.06</v>
      </c>
      <c r="K111">
        <v>0.06606979091482179</v>
      </c>
      <c r="L111" t="s">
        <v>901</v>
      </c>
      <c r="M111" t="s">
        <v>902</v>
      </c>
      <c r="N111">
        <v>13.0504</v>
      </c>
      <c r="O111">
        <v>12.5</v>
      </c>
      <c r="P111">
        <v>4</v>
      </c>
      <c r="Q111">
        <v>0.32</v>
      </c>
      <c r="R111">
        <v>19</v>
      </c>
      <c r="S111">
        <v>0.05988502997905321</v>
      </c>
      <c r="T111" t="s">
        <v>924</v>
      </c>
      <c r="U111">
        <v>0.006569882924488001</v>
      </c>
      <c r="V111" t="s">
        <v>1004</v>
      </c>
      <c r="W111" t="s">
        <v>1008</v>
      </c>
      <c r="X111" t="s">
        <v>1015</v>
      </c>
      <c r="Y111">
        <v>37264.942729</v>
      </c>
      <c r="Z111" s="2">
        <v>45130</v>
      </c>
      <c r="AA111" t="s">
        <v>1030</v>
      </c>
    </row>
    <row r="112" spans="1:27">
      <c r="A112" s="1" t="s">
        <v>137</v>
      </c>
      <c r="B112">
        <f>HYPERLINK("https://www.suredividend.com/sure-analysis-FUL/","H.B. Fuller Company")</f>
        <v>0</v>
      </c>
      <c r="C112" t="s">
        <v>899</v>
      </c>
      <c r="D112">
        <v>63</v>
      </c>
      <c r="E112">
        <v>67.63</v>
      </c>
      <c r="F112">
        <v>60</v>
      </c>
      <c r="G112">
        <v>1.127166666666667</v>
      </c>
      <c r="H112">
        <v>0.01212479668786042</v>
      </c>
      <c r="I112">
        <v>-0.02365709957870232</v>
      </c>
      <c r="J112">
        <v>0.08</v>
      </c>
      <c r="K112">
        <v>0.06593594886722776</v>
      </c>
      <c r="L112" t="s">
        <v>901</v>
      </c>
      <c r="M112" t="s">
        <v>902</v>
      </c>
      <c r="N112">
        <v>16.9075</v>
      </c>
      <c r="O112">
        <v>4</v>
      </c>
      <c r="P112">
        <v>0.82</v>
      </c>
      <c r="Q112">
        <v>0.205</v>
      </c>
      <c r="R112">
        <v>54</v>
      </c>
      <c r="S112">
        <v>0.06051243834129849</v>
      </c>
      <c r="T112" t="s">
        <v>945</v>
      </c>
      <c r="U112">
        <v>0.003333111618591</v>
      </c>
      <c r="V112" t="s">
        <v>1004</v>
      </c>
      <c r="W112" t="s">
        <v>1008</v>
      </c>
      <c r="X112" t="s">
        <v>1010</v>
      </c>
      <c r="Y112">
        <v>3656.672317</v>
      </c>
      <c r="Z112" s="2">
        <v>45106</v>
      </c>
      <c r="AA112" t="s">
        <v>1022</v>
      </c>
    </row>
    <row r="113" spans="1:27">
      <c r="A113" s="1" t="s">
        <v>138</v>
      </c>
      <c r="B113">
        <f>HYPERLINK("https://www.suredividend.com/sure-analysis-ROP/","Roper Technologies Inc")</f>
        <v>0</v>
      </c>
      <c r="C113" t="s">
        <v>899</v>
      </c>
      <c r="D113">
        <v>496</v>
      </c>
      <c r="E113">
        <v>495.48</v>
      </c>
      <c r="F113">
        <v>411</v>
      </c>
      <c r="G113">
        <v>1.205547445255474</v>
      </c>
      <c r="H113">
        <v>0.005509808670380237</v>
      </c>
      <c r="I113">
        <v>-0.03669649918746076</v>
      </c>
      <c r="J113">
        <v>0.1</v>
      </c>
      <c r="K113">
        <v>0.06544250732521162</v>
      </c>
      <c r="L113" t="s">
        <v>901</v>
      </c>
      <c r="M113" t="s">
        <v>580</v>
      </c>
      <c r="N113">
        <v>30.15702982349361</v>
      </c>
      <c r="O113">
        <v>16.43</v>
      </c>
      <c r="P113">
        <v>2.73</v>
      </c>
      <c r="Q113">
        <v>0.1661594643944005</v>
      </c>
      <c r="R113">
        <v>30</v>
      </c>
      <c r="S113">
        <v>0.100165459638053</v>
      </c>
      <c r="T113" t="s">
        <v>921</v>
      </c>
      <c r="U113">
        <v>0.213795307726822</v>
      </c>
      <c r="V113" t="s">
        <v>1004</v>
      </c>
      <c r="W113" t="s">
        <v>1008</v>
      </c>
      <c r="X113" t="s">
        <v>1012</v>
      </c>
      <c r="Y113">
        <v>52682.103727</v>
      </c>
      <c r="Z113" s="2">
        <v>45128</v>
      </c>
      <c r="AA113" t="s">
        <v>1032</v>
      </c>
    </row>
    <row r="114" spans="1:27">
      <c r="A114" s="1" t="s">
        <v>139</v>
      </c>
      <c r="B114">
        <f>HYPERLINK("https://www.suredividend.com/sure-analysis-MGEE/","MGE Energy, Inc.")</f>
        <v>0</v>
      </c>
      <c r="C114" t="s">
        <v>899</v>
      </c>
      <c r="D114">
        <v>75.8</v>
      </c>
      <c r="E114">
        <v>73.04000000000001</v>
      </c>
      <c r="F114">
        <v>67.2</v>
      </c>
      <c r="G114">
        <v>1.086904761904762</v>
      </c>
      <c r="H114">
        <v>0.0234118291347207</v>
      </c>
      <c r="I114">
        <v>-0.01652867509658718</v>
      </c>
      <c r="J114">
        <v>0.06</v>
      </c>
      <c r="K114">
        <v>0.06463428411975691</v>
      </c>
      <c r="L114" t="s">
        <v>901</v>
      </c>
      <c r="M114" t="s">
        <v>902</v>
      </c>
      <c r="N114">
        <v>21.73809523809524</v>
      </c>
      <c r="O114">
        <v>3.36</v>
      </c>
      <c r="P114">
        <v>1.71</v>
      </c>
      <c r="Q114">
        <v>0.5089285714285714</v>
      </c>
      <c r="R114">
        <v>46</v>
      </c>
      <c r="S114">
        <v>0.05168411463959477</v>
      </c>
      <c r="T114" t="s">
        <v>916</v>
      </c>
      <c r="U114">
        <v>-0.05296364199898</v>
      </c>
      <c r="V114" t="s">
        <v>1004</v>
      </c>
      <c r="W114" t="s">
        <v>1008</v>
      </c>
      <c r="X114" t="s">
        <v>1018</v>
      </c>
      <c r="Y114">
        <v>2607.740611</v>
      </c>
      <c r="Z114" s="2">
        <v>45167</v>
      </c>
      <c r="AA114" t="s">
        <v>1033</v>
      </c>
    </row>
    <row r="115" spans="1:27">
      <c r="A115" s="1" t="s">
        <v>140</v>
      </c>
      <c r="B115">
        <f>HYPERLINK("https://www.suredividend.com/sure-analysis-HWKN/","Hawkins Inc")</f>
        <v>0</v>
      </c>
      <c r="C115" t="s">
        <v>899</v>
      </c>
      <c r="D115">
        <v>58</v>
      </c>
      <c r="E115">
        <v>57.57</v>
      </c>
      <c r="F115">
        <v>51</v>
      </c>
      <c r="G115">
        <v>1.128823529411765</v>
      </c>
      <c r="H115">
        <v>0.01111690116380059</v>
      </c>
      <c r="I115">
        <v>-0.02394387899522077</v>
      </c>
      <c r="J115">
        <v>0.08</v>
      </c>
      <c r="K115">
        <v>0.0644106983681505</v>
      </c>
      <c r="L115" t="s">
        <v>901</v>
      </c>
      <c r="M115" t="s">
        <v>580</v>
      </c>
      <c r="N115">
        <v>16.93235294117647</v>
      </c>
      <c r="O115">
        <v>3.4</v>
      </c>
      <c r="P115">
        <v>0.64</v>
      </c>
      <c r="Q115">
        <v>0.1882352941176471</v>
      </c>
      <c r="R115">
        <v>19</v>
      </c>
      <c r="S115">
        <v>0.05081623913789235</v>
      </c>
      <c r="T115" t="s">
        <v>932</v>
      </c>
      <c r="U115">
        <v>0.444411418823742</v>
      </c>
      <c r="V115" t="s">
        <v>1004</v>
      </c>
      <c r="W115" t="s">
        <v>1008</v>
      </c>
      <c r="X115" t="s">
        <v>1012</v>
      </c>
      <c r="Y115">
        <v>1179.223741</v>
      </c>
      <c r="Z115" s="2">
        <v>45155</v>
      </c>
      <c r="AA115" t="s">
        <v>1029</v>
      </c>
    </row>
    <row r="116" spans="1:27">
      <c r="A116" s="1" t="s">
        <v>141</v>
      </c>
      <c r="B116">
        <f>HYPERLINK("https://www.suredividend.com/sure-analysis-LECO/","Lincoln Electric Holdings, Inc.")</f>
        <v>0</v>
      </c>
      <c r="C116" t="s">
        <v>899</v>
      </c>
      <c r="D116">
        <v>184</v>
      </c>
      <c r="E116">
        <v>178.94</v>
      </c>
      <c r="F116">
        <v>162</v>
      </c>
      <c r="G116">
        <v>1.104567901234568</v>
      </c>
      <c r="H116">
        <v>0.01430647144294177</v>
      </c>
      <c r="I116">
        <v>-0.01969432606889621</v>
      </c>
      <c r="J116">
        <v>0.07000000000000001</v>
      </c>
      <c r="K116">
        <v>0.06348922837281168</v>
      </c>
      <c r="L116" t="s">
        <v>901</v>
      </c>
      <c r="M116" t="s">
        <v>580</v>
      </c>
      <c r="N116">
        <v>19.88222222222222</v>
      </c>
      <c r="O116">
        <v>9</v>
      </c>
      <c r="P116">
        <v>2.56</v>
      </c>
      <c r="Q116">
        <v>0.2844444444444444</v>
      </c>
      <c r="R116">
        <v>27</v>
      </c>
      <c r="S116">
        <v>0.0799150058822331</v>
      </c>
      <c r="T116" t="s">
        <v>911</v>
      </c>
      <c r="U116">
        <v>0.315073508479474</v>
      </c>
      <c r="V116" t="s">
        <v>1004</v>
      </c>
      <c r="W116" t="s">
        <v>1008</v>
      </c>
      <c r="X116" t="s">
        <v>1012</v>
      </c>
      <c r="Y116">
        <v>10476.072195</v>
      </c>
      <c r="Z116" s="2">
        <v>45159</v>
      </c>
      <c r="AA116" t="s">
        <v>1028</v>
      </c>
    </row>
    <row r="117" spans="1:27">
      <c r="A117" s="1" t="s">
        <v>142</v>
      </c>
      <c r="B117">
        <f>HYPERLINK("https://www.suredividend.com/sure-analysis-NOC/","Northrop Grumman Corp.")</f>
        <v>0</v>
      </c>
      <c r="C117" t="s">
        <v>899</v>
      </c>
      <c r="D117">
        <v>445</v>
      </c>
      <c r="E117">
        <v>426.31</v>
      </c>
      <c r="F117">
        <v>362</v>
      </c>
      <c r="G117">
        <v>1.177651933701658</v>
      </c>
      <c r="H117">
        <v>0.01754591729023481</v>
      </c>
      <c r="I117">
        <v>-0.03217550393929203</v>
      </c>
      <c r="J117">
        <v>0.08</v>
      </c>
      <c r="K117">
        <v>0.06324609218054977</v>
      </c>
      <c r="L117" t="s">
        <v>901</v>
      </c>
      <c r="M117" t="s">
        <v>580</v>
      </c>
      <c r="N117">
        <v>18.82163355408388</v>
      </c>
      <c r="O117">
        <v>22.65</v>
      </c>
      <c r="P117">
        <v>7.48</v>
      </c>
      <c r="Q117">
        <v>0.3302428256070641</v>
      </c>
      <c r="R117">
        <v>20</v>
      </c>
      <c r="S117">
        <v>0.07998871854059897</v>
      </c>
      <c r="T117" t="s">
        <v>927</v>
      </c>
      <c r="U117">
        <v>-0.106874714369654</v>
      </c>
      <c r="V117" t="s">
        <v>1004</v>
      </c>
      <c r="W117" t="s">
        <v>1008</v>
      </c>
      <c r="X117" t="s">
        <v>1012</v>
      </c>
      <c r="Y117">
        <v>64163.17508</v>
      </c>
      <c r="Z117" s="2">
        <v>45140</v>
      </c>
      <c r="AA117" t="s">
        <v>1029</v>
      </c>
    </row>
    <row r="118" spans="1:27">
      <c r="A118" s="1" t="s">
        <v>143</v>
      </c>
      <c r="B118">
        <f>HYPERLINK("https://www.suredividend.com/sure-analysis-GWW/","W.W. Grainger Inc.")</f>
        <v>0</v>
      </c>
      <c r="C118" t="s">
        <v>899</v>
      </c>
      <c r="D118">
        <v>731</v>
      </c>
      <c r="E118">
        <v>684.95</v>
      </c>
      <c r="F118">
        <v>646</v>
      </c>
      <c r="G118">
        <v>1.060294117647059</v>
      </c>
      <c r="H118">
        <v>0.01086210672311848</v>
      </c>
      <c r="I118">
        <v>-0.01164098113539069</v>
      </c>
      <c r="J118">
        <v>0.065</v>
      </c>
      <c r="K118">
        <v>0.06297895079469806</v>
      </c>
      <c r="L118" t="s">
        <v>901</v>
      </c>
      <c r="M118" t="s">
        <v>902</v>
      </c>
      <c r="N118">
        <v>19.09002229654403</v>
      </c>
      <c r="O118">
        <v>35.88</v>
      </c>
      <c r="P118">
        <v>7.44</v>
      </c>
      <c r="Q118">
        <v>0.2073578595317726</v>
      </c>
      <c r="R118">
        <v>52</v>
      </c>
      <c r="S118">
        <v>0.06028946075110442</v>
      </c>
      <c r="T118" t="s">
        <v>947</v>
      </c>
      <c r="U118">
        <v>0.225205179437868</v>
      </c>
      <c r="V118" t="s">
        <v>1004</v>
      </c>
      <c r="W118" t="s">
        <v>1008</v>
      </c>
      <c r="X118" t="s">
        <v>1012</v>
      </c>
      <c r="Y118">
        <v>34327.106206</v>
      </c>
      <c r="Z118" s="2">
        <v>45136</v>
      </c>
      <c r="AA118" t="s">
        <v>1032</v>
      </c>
    </row>
    <row r="119" spans="1:27">
      <c r="A119" s="1" t="s">
        <v>144</v>
      </c>
      <c r="B119">
        <f>HYPERLINK("https://www.suredividend.com/sure-analysis-CSL/","Carlisle Companies Inc.")</f>
        <v>0</v>
      </c>
      <c r="C119" t="s">
        <v>899</v>
      </c>
      <c r="D119">
        <v>278</v>
      </c>
      <c r="E119">
        <v>277.53</v>
      </c>
      <c r="F119">
        <v>280</v>
      </c>
      <c r="G119">
        <v>0.9911785714285714</v>
      </c>
      <c r="H119">
        <v>0.01225092782762224</v>
      </c>
      <c r="I119">
        <v>0.00177368466471961</v>
      </c>
      <c r="J119">
        <v>0.05</v>
      </c>
      <c r="K119">
        <v>0.06269809268134541</v>
      </c>
      <c r="L119" t="s">
        <v>901</v>
      </c>
      <c r="M119" t="s">
        <v>902</v>
      </c>
      <c r="N119">
        <v>15.85885714285714</v>
      </c>
      <c r="O119">
        <v>17.5</v>
      </c>
      <c r="P119">
        <v>3.4</v>
      </c>
      <c r="Q119">
        <v>0.1942857142857143</v>
      </c>
      <c r="R119">
        <v>47</v>
      </c>
      <c r="S119">
        <v>0.03355380727051216</v>
      </c>
      <c r="T119" t="s">
        <v>936</v>
      </c>
      <c r="U119">
        <v>-0.08881401359117501</v>
      </c>
      <c r="V119" t="s">
        <v>1004</v>
      </c>
      <c r="W119" t="s">
        <v>1008</v>
      </c>
      <c r="X119" t="s">
        <v>1012</v>
      </c>
      <c r="Y119">
        <v>14011.270534</v>
      </c>
      <c r="Z119" s="2">
        <v>45141</v>
      </c>
      <c r="AA119" t="s">
        <v>1028</v>
      </c>
    </row>
    <row r="120" spans="1:27">
      <c r="A120" s="1" t="s">
        <v>145</v>
      </c>
      <c r="B120">
        <f>HYPERLINK("https://www.suredividend.com/sure-analysis-TR/","Tootsie Roll Industries, Inc.")</f>
        <v>0</v>
      </c>
      <c r="C120" t="s">
        <v>900</v>
      </c>
      <c r="D120">
        <v>37</v>
      </c>
      <c r="E120">
        <v>30.46</v>
      </c>
      <c r="F120">
        <v>34</v>
      </c>
      <c r="G120">
        <v>0.8958823529411765</v>
      </c>
      <c r="H120">
        <v>0.01181877872619829</v>
      </c>
      <c r="I120">
        <v>0.02223278051471511</v>
      </c>
      <c r="J120">
        <v>0.03</v>
      </c>
      <c r="K120">
        <v>0.06234542590798031</v>
      </c>
      <c r="L120" t="s">
        <v>901</v>
      </c>
      <c r="M120" t="s">
        <v>902</v>
      </c>
      <c r="N120">
        <v>26.95575221238938</v>
      </c>
      <c r="O120">
        <v>1.13</v>
      </c>
      <c r="P120">
        <v>0.36</v>
      </c>
      <c r="Q120">
        <v>0.3185840707964602</v>
      </c>
      <c r="R120">
        <v>56</v>
      </c>
      <c r="S120">
        <v>0</v>
      </c>
      <c r="T120" t="s">
        <v>951</v>
      </c>
      <c r="U120">
        <v>-0.117684081721072</v>
      </c>
      <c r="V120" t="s">
        <v>1004</v>
      </c>
      <c r="W120" t="s">
        <v>1008</v>
      </c>
      <c r="X120" t="s">
        <v>1011</v>
      </c>
      <c r="Y120">
        <v>1220.368419</v>
      </c>
      <c r="Z120" s="2">
        <v>45063</v>
      </c>
      <c r="AA120" t="s">
        <v>1029</v>
      </c>
    </row>
    <row r="121" spans="1:27">
      <c r="A121" s="1" t="s">
        <v>146</v>
      </c>
      <c r="B121">
        <f>HYPERLINK("https://www.suredividend.com/sure-analysis-FELE/","Franklin Electric Co., Inc.")</f>
        <v>0</v>
      </c>
      <c r="C121" t="s">
        <v>899</v>
      </c>
      <c r="D121">
        <v>93</v>
      </c>
      <c r="E121">
        <v>91.36</v>
      </c>
      <c r="F121">
        <v>84</v>
      </c>
      <c r="G121">
        <v>1.087619047619048</v>
      </c>
      <c r="H121">
        <v>0.009851138353765325</v>
      </c>
      <c r="I121">
        <v>-0.01665788653902278</v>
      </c>
      <c r="J121">
        <v>0.07000000000000001</v>
      </c>
      <c r="K121">
        <v>0.06234493043144296</v>
      </c>
      <c r="L121" t="s">
        <v>901</v>
      </c>
      <c r="M121" t="s">
        <v>580</v>
      </c>
      <c r="N121">
        <v>20.76363636363636</v>
      </c>
      <c r="O121">
        <v>4.4</v>
      </c>
      <c r="P121">
        <v>0.9</v>
      </c>
      <c r="Q121">
        <v>0.2045454545454545</v>
      </c>
      <c r="R121">
        <v>31</v>
      </c>
      <c r="S121">
        <v>0.08607365672211231</v>
      </c>
      <c r="T121" t="s">
        <v>952</v>
      </c>
      <c r="U121">
        <v>0.04419994600733301</v>
      </c>
      <c r="V121" t="s">
        <v>1004</v>
      </c>
      <c r="W121" t="s">
        <v>1008</v>
      </c>
      <c r="X121" t="s">
        <v>1012</v>
      </c>
      <c r="Y121">
        <v>4240.729094</v>
      </c>
      <c r="Z121" s="2">
        <v>45157</v>
      </c>
      <c r="AA121" t="s">
        <v>1022</v>
      </c>
    </row>
    <row r="122" spans="1:27">
      <c r="A122" s="1" t="s">
        <v>147</v>
      </c>
      <c r="B122">
        <f>HYPERLINK("https://www.suredividend.com/sure-analysis-PNR/","Pentair plc")</f>
        <v>0</v>
      </c>
      <c r="C122" t="s">
        <v>899</v>
      </c>
      <c r="D122">
        <v>69</v>
      </c>
      <c r="E122">
        <v>66.37</v>
      </c>
      <c r="F122">
        <v>63</v>
      </c>
      <c r="G122">
        <v>1.053492063492063</v>
      </c>
      <c r="H122">
        <v>0.01325900256139822</v>
      </c>
      <c r="I122">
        <v>-0.01036796241782201</v>
      </c>
      <c r="J122">
        <v>0.06</v>
      </c>
      <c r="K122">
        <v>0.06139754492370297</v>
      </c>
      <c r="L122" t="s">
        <v>901</v>
      </c>
      <c r="M122" t="s">
        <v>902</v>
      </c>
      <c r="N122">
        <v>17.93783783783784</v>
      </c>
      <c r="O122">
        <v>3.7</v>
      </c>
      <c r="P122">
        <v>0.88</v>
      </c>
      <c r="Q122">
        <v>0.2378378378378378</v>
      </c>
      <c r="R122">
        <v>46</v>
      </c>
      <c r="S122">
        <v>0.04941452284458392</v>
      </c>
      <c r="T122" t="s">
        <v>935</v>
      </c>
      <c r="U122">
        <v>0.443874178206891</v>
      </c>
      <c r="V122" t="s">
        <v>1004</v>
      </c>
      <c r="W122" t="s">
        <v>1009</v>
      </c>
      <c r="X122" t="s">
        <v>1012</v>
      </c>
      <c r="Y122">
        <v>11143.498237</v>
      </c>
      <c r="Z122" s="2">
        <v>45141</v>
      </c>
      <c r="AA122" t="s">
        <v>1028</v>
      </c>
    </row>
    <row r="123" spans="1:27">
      <c r="A123" s="1" t="s">
        <v>148</v>
      </c>
      <c r="B123">
        <f>HYPERLINK("https://www.suredividend.com/sure-analysis-COR/","Cencora Inc.")</f>
        <v>0</v>
      </c>
      <c r="C123" t="s">
        <v>899</v>
      </c>
      <c r="D123">
        <v>192</v>
      </c>
      <c r="E123">
        <v>176.69</v>
      </c>
      <c r="F123">
        <v>161</v>
      </c>
      <c r="G123">
        <v>1.097453416149068</v>
      </c>
      <c r="H123">
        <v>0.01097968192880186</v>
      </c>
      <c r="I123">
        <v>-0.01842659937346436</v>
      </c>
      <c r="J123">
        <v>0.07000000000000001</v>
      </c>
      <c r="K123">
        <v>0.0611581229523479</v>
      </c>
      <c r="L123" t="s">
        <v>901</v>
      </c>
      <c r="M123" t="s">
        <v>580</v>
      </c>
      <c r="N123">
        <v>14.84789915966386</v>
      </c>
      <c r="O123">
        <v>11.9</v>
      </c>
      <c r="P123">
        <v>1.94</v>
      </c>
      <c r="Q123">
        <v>0.1630252100840336</v>
      </c>
      <c r="R123">
        <v>19</v>
      </c>
      <c r="S123">
        <v>0.06992524489229845</v>
      </c>
      <c r="T123" t="s">
        <v>915</v>
      </c>
      <c r="U123">
        <v>0.226283189792882</v>
      </c>
      <c r="V123" t="s">
        <v>1004</v>
      </c>
      <c r="W123" t="s">
        <v>1008</v>
      </c>
      <c r="X123" t="s">
        <v>1014</v>
      </c>
      <c r="Y123">
        <v>36084.168299</v>
      </c>
      <c r="Z123" s="2">
        <v>45142</v>
      </c>
      <c r="AA123" t="s">
        <v>1026</v>
      </c>
    </row>
    <row r="124" spans="1:27">
      <c r="A124" s="1" t="s">
        <v>149</v>
      </c>
      <c r="B124">
        <f>HYPERLINK("https://www.suredividend.com/sure-analysis-EMR/","Emerson Electric Co.")</f>
        <v>0</v>
      </c>
      <c r="C124" t="s">
        <v>899</v>
      </c>
      <c r="D124">
        <v>96</v>
      </c>
      <c r="E124">
        <v>97.68000000000001</v>
      </c>
      <c r="F124">
        <v>85</v>
      </c>
      <c r="G124">
        <v>1.149176470588235</v>
      </c>
      <c r="H124">
        <v>0.02129402129402129</v>
      </c>
      <c r="I124">
        <v>-0.02742600080041591</v>
      </c>
      <c r="J124">
        <v>0.07000000000000001</v>
      </c>
      <c r="K124">
        <v>0.05978841782286426</v>
      </c>
      <c r="L124" t="s">
        <v>901</v>
      </c>
      <c r="M124" t="s">
        <v>902</v>
      </c>
      <c r="N124">
        <v>21.95056179775281</v>
      </c>
      <c r="O124">
        <v>4.45</v>
      </c>
      <c r="P124">
        <v>2.08</v>
      </c>
      <c r="Q124">
        <v>0.4674157303370787</v>
      </c>
      <c r="R124">
        <v>66</v>
      </c>
      <c r="S124">
        <v>0.02988976347130756</v>
      </c>
      <c r="T124" t="s">
        <v>915</v>
      </c>
      <c r="U124">
        <v>0.202505138807989</v>
      </c>
      <c r="V124" t="s">
        <v>1004</v>
      </c>
      <c r="W124" t="s">
        <v>1008</v>
      </c>
      <c r="X124" t="s">
        <v>1012</v>
      </c>
      <c r="Y124">
        <v>57345.391257</v>
      </c>
      <c r="Z124" s="2">
        <v>45152</v>
      </c>
      <c r="AA124" t="s">
        <v>1030</v>
      </c>
    </row>
    <row r="125" spans="1:27">
      <c r="A125" s="1" t="s">
        <v>150</v>
      </c>
      <c r="B125">
        <f>HYPERLINK("https://www.suredividend.com/sure-analysis-HRL/","Hormel Foods Corp.")</f>
        <v>0</v>
      </c>
      <c r="C125" t="s">
        <v>899</v>
      </c>
      <c r="D125">
        <v>38</v>
      </c>
      <c r="E125">
        <v>37.55</v>
      </c>
      <c r="F125">
        <v>36</v>
      </c>
      <c r="G125">
        <v>1.043055555555555</v>
      </c>
      <c r="H125">
        <v>0.02929427430093209</v>
      </c>
      <c r="I125">
        <v>-0.00839544768256606</v>
      </c>
      <c r="J125">
        <v>0.04</v>
      </c>
      <c r="K125">
        <v>0.05894402470209159</v>
      </c>
      <c r="L125" t="s">
        <v>901</v>
      </c>
      <c r="M125" t="s">
        <v>902</v>
      </c>
      <c r="N125">
        <v>22.75757575757576</v>
      </c>
      <c r="O125">
        <v>1.65</v>
      </c>
      <c r="P125">
        <v>1.1</v>
      </c>
      <c r="Q125">
        <v>0.6666666666666667</v>
      </c>
      <c r="R125">
        <v>57</v>
      </c>
      <c r="S125">
        <v>0.04026125343417397</v>
      </c>
      <c r="T125" t="s">
        <v>939</v>
      </c>
      <c r="U125">
        <v>-0.185162106987779</v>
      </c>
      <c r="V125" t="s">
        <v>1004</v>
      </c>
      <c r="W125" t="s">
        <v>1008</v>
      </c>
      <c r="X125" t="s">
        <v>1011</v>
      </c>
      <c r="Y125">
        <v>20438.394673</v>
      </c>
      <c r="Z125" s="2">
        <v>45175</v>
      </c>
      <c r="AA125" t="s">
        <v>1030</v>
      </c>
    </row>
    <row r="126" spans="1:27">
      <c r="A126" s="1" t="s">
        <v>151</v>
      </c>
      <c r="B126">
        <f>HYPERLINK("https://www.suredividend.com/sure-analysis-UBSI/","United Bankshares, Inc.")</f>
        <v>0</v>
      </c>
      <c r="C126" t="s">
        <v>900</v>
      </c>
      <c r="D126">
        <v>33</v>
      </c>
      <c r="E126">
        <v>27.71</v>
      </c>
      <c r="F126">
        <v>32</v>
      </c>
      <c r="G126">
        <v>0.8659375</v>
      </c>
      <c r="H126">
        <v>0.05196679898953446</v>
      </c>
      <c r="I126">
        <v>0.02920690323756503</v>
      </c>
      <c r="J126">
        <v>-0.02</v>
      </c>
      <c r="K126">
        <v>0.05705247968245852</v>
      </c>
      <c r="L126" t="s">
        <v>901</v>
      </c>
      <c r="M126" t="s">
        <v>901</v>
      </c>
      <c r="N126">
        <v>10.45660377358491</v>
      </c>
      <c r="O126">
        <v>2.65</v>
      </c>
      <c r="P126">
        <v>1.44</v>
      </c>
      <c r="Q126">
        <v>0.5433962264150943</v>
      </c>
      <c r="R126">
        <v>48</v>
      </c>
      <c r="S126">
        <v>0.02001586442069092</v>
      </c>
      <c r="T126" t="s">
        <v>924</v>
      </c>
      <c r="U126">
        <v>-0.187179140189283</v>
      </c>
      <c r="V126" t="s">
        <v>1004</v>
      </c>
      <c r="W126" t="s">
        <v>1008</v>
      </c>
      <c r="X126" t="s">
        <v>1015</v>
      </c>
      <c r="Y126">
        <v>3809.216433</v>
      </c>
      <c r="Z126" s="2">
        <v>45139</v>
      </c>
      <c r="AA126" t="s">
        <v>1030</v>
      </c>
    </row>
    <row r="127" spans="1:27">
      <c r="A127" s="1" t="s">
        <v>152</v>
      </c>
      <c r="B127">
        <f>HYPERLINK("https://www.suredividend.com/sure-analysis-MSFT/","Microsoft Corporation")</f>
        <v>0</v>
      </c>
      <c r="C127" t="s">
        <v>899</v>
      </c>
      <c r="D127">
        <v>321</v>
      </c>
      <c r="E127">
        <v>336.06</v>
      </c>
      <c r="F127">
        <v>264</v>
      </c>
      <c r="G127">
        <v>1.272954545454545</v>
      </c>
      <c r="H127">
        <v>0.008093792775099685</v>
      </c>
      <c r="I127">
        <v>-0.04712173524169161</v>
      </c>
      <c r="J127">
        <v>0.1</v>
      </c>
      <c r="K127">
        <v>0.05673987785127754</v>
      </c>
      <c r="L127" t="s">
        <v>901</v>
      </c>
      <c r="M127" t="s">
        <v>580</v>
      </c>
      <c r="N127">
        <v>30.55090909090909</v>
      </c>
      <c r="O127">
        <v>11</v>
      </c>
      <c r="P127">
        <v>2.72</v>
      </c>
      <c r="Q127">
        <v>0.2472727272727273</v>
      </c>
      <c r="R127">
        <v>21</v>
      </c>
      <c r="S127">
        <v>0.08869163325077611</v>
      </c>
      <c r="T127" t="s">
        <v>936</v>
      </c>
      <c r="U127">
        <v>0.256235360581237</v>
      </c>
      <c r="V127" t="s">
        <v>1004</v>
      </c>
      <c r="W127" t="s">
        <v>1008</v>
      </c>
      <c r="X127" t="s">
        <v>1016</v>
      </c>
      <c r="Y127">
        <v>2464972.80228</v>
      </c>
      <c r="Z127" s="2">
        <v>45155</v>
      </c>
      <c r="AA127" t="s">
        <v>1022</v>
      </c>
    </row>
    <row r="128" spans="1:27">
      <c r="A128" s="1" t="s">
        <v>153</v>
      </c>
      <c r="B128">
        <f>HYPERLINK("https://www.suredividend.com/sure-analysis-MSEX/","Middlesex Water Co.")</f>
        <v>0</v>
      </c>
      <c r="C128" t="s">
        <v>899</v>
      </c>
      <c r="D128">
        <v>80.59999999999999</v>
      </c>
      <c r="E128">
        <v>73.73</v>
      </c>
      <c r="F128">
        <v>78.59999999999999</v>
      </c>
      <c r="G128">
        <v>0.9380407124681935</v>
      </c>
      <c r="H128">
        <v>0.0169537501695375</v>
      </c>
      <c r="I128">
        <v>0.01287455807054694</v>
      </c>
      <c r="J128">
        <v>0.027</v>
      </c>
      <c r="K128">
        <v>0.0559165112833111</v>
      </c>
      <c r="L128" t="s">
        <v>901</v>
      </c>
      <c r="M128" t="s">
        <v>902</v>
      </c>
      <c r="N128">
        <v>28.1412213740458</v>
      </c>
      <c r="O128">
        <v>2.62</v>
      </c>
      <c r="P128">
        <v>1.25</v>
      </c>
      <c r="Q128">
        <v>0.4770992366412213</v>
      </c>
      <c r="R128">
        <v>50</v>
      </c>
      <c r="S128">
        <v>0.03713728933664817</v>
      </c>
      <c r="T128" t="s">
        <v>915</v>
      </c>
      <c r="U128">
        <v>-0.180946087590575</v>
      </c>
      <c r="V128" t="s">
        <v>1004</v>
      </c>
      <c r="W128" t="s">
        <v>1008</v>
      </c>
      <c r="X128" t="s">
        <v>1018</v>
      </c>
      <c r="Y128">
        <v>1275.886323</v>
      </c>
      <c r="Z128" s="2">
        <v>45146</v>
      </c>
      <c r="AA128" t="s">
        <v>1033</v>
      </c>
    </row>
    <row r="129" spans="1:27">
      <c r="A129" s="1" t="s">
        <v>154</v>
      </c>
      <c r="B129">
        <f>HYPERLINK("https://www.suredividend.com/sure-analysis-ITW/","Illinois Tool Works, Inc.")</f>
        <v>0</v>
      </c>
      <c r="C129" t="s">
        <v>899</v>
      </c>
      <c r="D129">
        <v>250</v>
      </c>
      <c r="E129">
        <v>237.91</v>
      </c>
      <c r="F129">
        <v>190</v>
      </c>
      <c r="G129">
        <v>1.252157894736842</v>
      </c>
      <c r="H129">
        <v>0.02353831280736413</v>
      </c>
      <c r="I129">
        <v>-0.04397735191574959</v>
      </c>
      <c r="J129">
        <v>0.08</v>
      </c>
      <c r="K129">
        <v>0.0558762109167692</v>
      </c>
      <c r="L129" t="s">
        <v>901</v>
      </c>
      <c r="M129" t="s">
        <v>902</v>
      </c>
      <c r="N129">
        <v>24.40102564102564</v>
      </c>
      <c r="O129">
        <v>9.75</v>
      </c>
      <c r="P129">
        <v>5.6</v>
      </c>
      <c r="Q129">
        <v>0.5743589743589743</v>
      </c>
      <c r="R129">
        <v>60</v>
      </c>
      <c r="S129">
        <v>0.05589288248337687</v>
      </c>
      <c r="T129" t="s">
        <v>911</v>
      </c>
      <c r="U129">
        <v>0.171646076162174</v>
      </c>
      <c r="V129" t="s">
        <v>1004</v>
      </c>
      <c r="W129" t="s">
        <v>1008</v>
      </c>
      <c r="X129" t="s">
        <v>1012</v>
      </c>
      <c r="Y129">
        <v>71820.725378</v>
      </c>
      <c r="Z129" s="2">
        <v>45142</v>
      </c>
      <c r="AA129" t="s">
        <v>1026</v>
      </c>
    </row>
    <row r="130" spans="1:27">
      <c r="A130" s="1" t="s">
        <v>155</v>
      </c>
      <c r="B130">
        <f>HYPERLINK("https://www.suredividend.com/sure-analysis-AWR/","American States Water Co.")</f>
        <v>0</v>
      </c>
      <c r="C130" t="s">
        <v>899</v>
      </c>
      <c r="D130">
        <v>86</v>
      </c>
      <c r="E130">
        <v>83.23999999999999</v>
      </c>
      <c r="F130">
        <v>69.3</v>
      </c>
      <c r="G130">
        <v>1.201154401154401</v>
      </c>
      <c r="H130">
        <v>0.02066314271984623</v>
      </c>
      <c r="I130">
        <v>-0.03599289981918063</v>
      </c>
      <c r="J130">
        <v>0.074</v>
      </c>
      <c r="K130">
        <v>0.05571471929053451</v>
      </c>
      <c r="L130" t="s">
        <v>901</v>
      </c>
      <c r="M130" t="s">
        <v>902</v>
      </c>
      <c r="N130">
        <v>30.05054151624548</v>
      </c>
      <c r="O130">
        <v>2.77</v>
      </c>
      <c r="P130">
        <v>1.72</v>
      </c>
      <c r="Q130">
        <v>0.6209386281588447</v>
      </c>
      <c r="R130">
        <v>69</v>
      </c>
      <c r="S130">
        <v>0.05519035831995422</v>
      </c>
      <c r="T130" t="s">
        <v>917</v>
      </c>
      <c r="U130">
        <v>-0.031128308216405</v>
      </c>
      <c r="V130" t="s">
        <v>1004</v>
      </c>
      <c r="W130" t="s">
        <v>1008</v>
      </c>
      <c r="X130" t="s">
        <v>1018</v>
      </c>
      <c r="Y130">
        <v>3035.054431</v>
      </c>
      <c r="Z130" s="2">
        <v>45170</v>
      </c>
      <c r="AA130" t="s">
        <v>1033</v>
      </c>
    </row>
    <row r="131" spans="1:27">
      <c r="A131" s="1" t="s">
        <v>156</v>
      </c>
      <c r="B131">
        <f>HYPERLINK("https://www.suredividend.com/sure-analysis-GD/","General Dynamics Corp.")</f>
        <v>0</v>
      </c>
      <c r="C131" t="s">
        <v>899</v>
      </c>
      <c r="D131">
        <v>219</v>
      </c>
      <c r="E131">
        <v>219.69</v>
      </c>
      <c r="F131">
        <v>189</v>
      </c>
      <c r="G131">
        <v>1.162380952380952</v>
      </c>
      <c r="H131">
        <v>0.02403386590195275</v>
      </c>
      <c r="I131">
        <v>-0.0296457707322012</v>
      </c>
      <c r="J131">
        <v>0.06</v>
      </c>
      <c r="K131">
        <v>0.05305267764888</v>
      </c>
      <c r="L131" t="s">
        <v>901</v>
      </c>
      <c r="M131" t="s">
        <v>902</v>
      </c>
      <c r="N131">
        <v>17.4080824088748</v>
      </c>
      <c r="O131">
        <v>12.62</v>
      </c>
      <c r="P131">
        <v>5.28</v>
      </c>
      <c r="Q131">
        <v>0.4183835182250397</v>
      </c>
      <c r="R131">
        <v>32</v>
      </c>
      <c r="S131">
        <v>0.06012505378897903</v>
      </c>
      <c r="T131" t="s">
        <v>907</v>
      </c>
      <c r="U131">
        <v>-0.05538376501139301</v>
      </c>
      <c r="V131" t="s">
        <v>1004</v>
      </c>
      <c r="W131" t="s">
        <v>1008</v>
      </c>
      <c r="X131" t="s">
        <v>1012</v>
      </c>
      <c r="Y131">
        <v>59353.994084</v>
      </c>
      <c r="Z131" s="2">
        <v>45134</v>
      </c>
      <c r="AA131" t="s">
        <v>1029</v>
      </c>
    </row>
    <row r="132" spans="1:27">
      <c r="A132" s="1" t="s">
        <v>157</v>
      </c>
      <c r="B132">
        <f>HYPERLINK("https://www.suredividend.com/sure-analysis-FDS/","Factset Research Systems Inc.")</f>
        <v>0</v>
      </c>
      <c r="C132" t="s">
        <v>899</v>
      </c>
      <c r="D132">
        <v>396</v>
      </c>
      <c r="E132">
        <v>429.14</v>
      </c>
      <c r="F132">
        <v>350</v>
      </c>
      <c r="G132">
        <v>1.226114285714286</v>
      </c>
      <c r="H132">
        <v>0.009134548166099642</v>
      </c>
      <c r="I132">
        <v>-0.03995009385782788</v>
      </c>
      <c r="J132">
        <v>0.08500000000000001</v>
      </c>
      <c r="K132">
        <v>0.05202088587000375</v>
      </c>
      <c r="L132" t="s">
        <v>901</v>
      </c>
      <c r="M132" t="s">
        <v>580</v>
      </c>
      <c r="N132">
        <v>34.3312</v>
      </c>
      <c r="O132">
        <v>12.5</v>
      </c>
      <c r="P132">
        <v>3.92</v>
      </c>
      <c r="Q132">
        <v>0.3136</v>
      </c>
      <c r="R132">
        <v>24</v>
      </c>
      <c r="S132">
        <v>0.1050687307381557</v>
      </c>
      <c r="T132" t="s">
        <v>925</v>
      </c>
      <c r="U132">
        <v>-0.065151142580785</v>
      </c>
      <c r="V132" t="s">
        <v>1004</v>
      </c>
      <c r="W132" t="s">
        <v>1008</v>
      </c>
      <c r="X132" t="s">
        <v>1015</v>
      </c>
      <c r="Y132">
        <v>16155.69133</v>
      </c>
      <c r="Z132" s="2">
        <v>45108</v>
      </c>
      <c r="AA132" t="s">
        <v>1024</v>
      </c>
    </row>
    <row r="133" spans="1:27">
      <c r="A133" s="1" t="s">
        <v>158</v>
      </c>
      <c r="B133">
        <f>HYPERLINK("https://www.suredividend.com/sure-analysis-DHR/","Danaher Corp.")</f>
        <v>0</v>
      </c>
      <c r="C133" t="s">
        <v>899</v>
      </c>
      <c r="D133">
        <v>256</v>
      </c>
      <c r="E133">
        <v>252.45</v>
      </c>
      <c r="F133">
        <v>249</v>
      </c>
      <c r="G133">
        <v>1.013855421686747</v>
      </c>
      <c r="H133">
        <v>0.004278074866310161</v>
      </c>
      <c r="I133">
        <v>-0.002748279115416197</v>
      </c>
      <c r="J133">
        <v>0.05</v>
      </c>
      <c r="K133">
        <v>0.0515908018397897</v>
      </c>
      <c r="L133" t="s">
        <v>901</v>
      </c>
      <c r="M133" t="s">
        <v>825</v>
      </c>
      <c r="N133">
        <v>28.36516853932584</v>
      </c>
      <c r="O133">
        <v>8.9</v>
      </c>
      <c r="P133">
        <v>1.08</v>
      </c>
      <c r="Q133">
        <v>0.1213483146067416</v>
      </c>
      <c r="R133">
        <v>9</v>
      </c>
      <c r="S133">
        <v>0.0804251218424088</v>
      </c>
      <c r="T133" t="s">
        <v>911</v>
      </c>
      <c r="U133">
        <v>-0.15041485400396</v>
      </c>
      <c r="V133" t="s">
        <v>1004</v>
      </c>
      <c r="W133" t="s">
        <v>1008</v>
      </c>
      <c r="X133" t="s">
        <v>1014</v>
      </c>
      <c r="Y133">
        <v>183354.98047</v>
      </c>
      <c r="Z133" s="2">
        <v>45138</v>
      </c>
      <c r="AA133" t="s">
        <v>1023</v>
      </c>
    </row>
    <row r="134" spans="1:27">
      <c r="A134" s="1" t="s">
        <v>159</v>
      </c>
      <c r="B134">
        <f>HYPERLINK("https://www.suredividend.com/sure-analysis-COST/","Costco Wholesale Corp")</f>
        <v>0</v>
      </c>
      <c r="C134" t="s">
        <v>899</v>
      </c>
      <c r="D134">
        <v>482</v>
      </c>
      <c r="E134">
        <v>559.76</v>
      </c>
      <c r="F134">
        <v>448</v>
      </c>
      <c r="G134">
        <v>1.249464285714286</v>
      </c>
      <c r="H134">
        <v>0.007288838073460055</v>
      </c>
      <c r="I134">
        <v>-0.04356550605313558</v>
      </c>
      <c r="J134">
        <v>0.09</v>
      </c>
      <c r="K134">
        <v>0.05067213648013214</v>
      </c>
      <c r="L134" t="s">
        <v>901</v>
      </c>
      <c r="M134" t="s">
        <v>825</v>
      </c>
      <c r="N134">
        <v>38.73771626297578</v>
      </c>
      <c r="O134">
        <v>14.45</v>
      </c>
      <c r="P134">
        <v>4.08</v>
      </c>
      <c r="Q134">
        <v>0.2823529411764706</v>
      </c>
      <c r="R134">
        <v>20</v>
      </c>
      <c r="S134">
        <v>0.09997050830829379</v>
      </c>
      <c r="T134" t="s">
        <v>922</v>
      </c>
      <c r="U134">
        <v>0.04768102679077801</v>
      </c>
      <c r="V134" t="s">
        <v>1004</v>
      </c>
      <c r="W134" t="s">
        <v>1008</v>
      </c>
      <c r="X134" t="s">
        <v>1011</v>
      </c>
      <c r="Y134">
        <v>247599.849</v>
      </c>
      <c r="Z134" s="2">
        <v>45072</v>
      </c>
      <c r="AA134" t="s">
        <v>1030</v>
      </c>
    </row>
    <row r="135" spans="1:27">
      <c r="A135" s="1" t="s">
        <v>160</v>
      </c>
      <c r="B135">
        <f>HYPERLINK("https://www.suredividend.com/sure-analysis-WMT/","Walmart Inc")</f>
        <v>0</v>
      </c>
      <c r="C135" t="s">
        <v>899</v>
      </c>
      <c r="D135">
        <v>156</v>
      </c>
      <c r="E135">
        <v>164.56</v>
      </c>
      <c r="F135">
        <v>135</v>
      </c>
      <c r="G135">
        <v>1.218962962962963</v>
      </c>
      <c r="H135">
        <v>0.01385512882839086</v>
      </c>
      <c r="I135">
        <v>-0.03882625795422523</v>
      </c>
      <c r="J135">
        <v>0.08</v>
      </c>
      <c r="K135">
        <v>0.05044436111108141</v>
      </c>
      <c r="L135" t="s">
        <v>901</v>
      </c>
      <c r="M135" t="s">
        <v>902</v>
      </c>
      <c r="N135">
        <v>25.51317829457364</v>
      </c>
      <c r="O135">
        <v>6.45</v>
      </c>
      <c r="P135">
        <v>2.28</v>
      </c>
      <c r="Q135">
        <v>0.3534883720930232</v>
      </c>
      <c r="R135">
        <v>50</v>
      </c>
      <c r="S135">
        <v>0.02021836907521157</v>
      </c>
      <c r="T135" t="s">
        <v>915</v>
      </c>
      <c r="U135">
        <v>0.209811740880268</v>
      </c>
      <c r="V135" t="s">
        <v>1004</v>
      </c>
      <c r="W135" t="s">
        <v>1008</v>
      </c>
      <c r="X135" t="s">
        <v>1011</v>
      </c>
      <c r="Y135">
        <v>442816.084602</v>
      </c>
      <c r="Z135" s="2">
        <v>45157</v>
      </c>
      <c r="AA135" t="s">
        <v>1030</v>
      </c>
    </row>
    <row r="136" spans="1:27">
      <c r="A136" s="1" t="s">
        <v>161</v>
      </c>
      <c r="B136">
        <f>HYPERLINK("https://www.suredividend.com/sure-analysis-CHD/","Church &amp; Dwight Co., Inc.")</f>
        <v>0</v>
      </c>
      <c r="C136" t="s">
        <v>899</v>
      </c>
      <c r="D136">
        <v>96</v>
      </c>
      <c r="E136">
        <v>95.7</v>
      </c>
      <c r="F136">
        <v>86</v>
      </c>
      <c r="G136">
        <v>1.112790697674419</v>
      </c>
      <c r="H136">
        <v>0.01138975966562174</v>
      </c>
      <c r="I136">
        <v>-0.02114739104950436</v>
      </c>
      <c r="J136">
        <v>0.06</v>
      </c>
      <c r="K136">
        <v>0.04941079807685989</v>
      </c>
      <c r="L136" t="s">
        <v>901</v>
      </c>
      <c r="M136" t="s">
        <v>580</v>
      </c>
      <c r="N136">
        <v>29.90625</v>
      </c>
      <c r="O136">
        <v>3.2</v>
      </c>
      <c r="P136">
        <v>1.09</v>
      </c>
      <c r="Q136">
        <v>0.340625</v>
      </c>
      <c r="R136">
        <v>27</v>
      </c>
      <c r="S136">
        <v>0.07017052810122615</v>
      </c>
      <c r="T136" t="s">
        <v>917</v>
      </c>
      <c r="U136">
        <v>0.173211867536624</v>
      </c>
      <c r="V136" t="s">
        <v>1004</v>
      </c>
      <c r="W136" t="s">
        <v>1008</v>
      </c>
      <c r="X136" t="s">
        <v>1011</v>
      </c>
      <c r="Y136">
        <v>23448.2791</v>
      </c>
      <c r="Z136" s="2">
        <v>45140</v>
      </c>
      <c r="AA136" t="s">
        <v>1030</v>
      </c>
    </row>
    <row r="137" spans="1:27">
      <c r="A137" s="1" t="s">
        <v>162</v>
      </c>
      <c r="B137">
        <f>HYPERLINK("https://www.suredividend.com/sure-analysis-BEN/","Franklin Resources, Inc.")</f>
        <v>0</v>
      </c>
      <c r="C137" t="s">
        <v>899</v>
      </c>
      <c r="D137">
        <v>29</v>
      </c>
      <c r="E137">
        <v>25.91</v>
      </c>
      <c r="F137">
        <v>21</v>
      </c>
      <c r="G137">
        <v>1.233809523809524</v>
      </c>
      <c r="H137">
        <v>0.04631416441528367</v>
      </c>
      <c r="I137">
        <v>-0.04115065403855978</v>
      </c>
      <c r="J137">
        <v>0.045</v>
      </c>
      <c r="K137">
        <v>0.04929710113411145</v>
      </c>
      <c r="L137" t="s">
        <v>901</v>
      </c>
      <c r="M137" t="s">
        <v>901</v>
      </c>
      <c r="N137">
        <v>10.93248945147679</v>
      </c>
      <c r="O137">
        <v>2.37</v>
      </c>
      <c r="P137">
        <v>1.2</v>
      </c>
      <c r="Q137">
        <v>0.5063291139240506</v>
      </c>
      <c r="R137">
        <v>43</v>
      </c>
      <c r="S137">
        <v>0.04142312668144399</v>
      </c>
      <c r="T137" t="s">
        <v>911</v>
      </c>
      <c r="U137">
        <v>0.022922714682525</v>
      </c>
      <c r="V137" t="s">
        <v>1004</v>
      </c>
      <c r="W137" t="s">
        <v>1008</v>
      </c>
      <c r="X137" t="s">
        <v>1015</v>
      </c>
      <c r="Y137">
        <v>13028.31088</v>
      </c>
      <c r="Z137" s="2">
        <v>45141</v>
      </c>
      <c r="AA137" t="s">
        <v>1026</v>
      </c>
    </row>
    <row r="138" spans="1:27">
      <c r="A138" s="1" t="s">
        <v>163</v>
      </c>
      <c r="B138">
        <f>HYPERLINK("https://www.suredividend.com/sure-analysis-AXS/","Axis Capital Holdings Ltd")</f>
        <v>0</v>
      </c>
      <c r="C138" t="s">
        <v>899</v>
      </c>
      <c r="D138">
        <v>56</v>
      </c>
      <c r="E138">
        <v>55.54</v>
      </c>
      <c r="F138">
        <v>50</v>
      </c>
      <c r="G138">
        <v>1.1108</v>
      </c>
      <c r="H138">
        <v>0.03168887288440764</v>
      </c>
      <c r="I138">
        <v>-0.02079679611701124</v>
      </c>
      <c r="J138">
        <v>0.04</v>
      </c>
      <c r="K138">
        <v>0.04872727885030592</v>
      </c>
      <c r="L138" t="s">
        <v>901</v>
      </c>
      <c r="M138" t="s">
        <v>901</v>
      </c>
      <c r="N138">
        <v>6.534117647058824</v>
      </c>
      <c r="O138">
        <v>8.5</v>
      </c>
      <c r="P138">
        <v>1.76</v>
      </c>
      <c r="Q138">
        <v>0.2070588235294118</v>
      </c>
      <c r="R138">
        <v>19</v>
      </c>
      <c r="S138">
        <v>0.02996744995959233</v>
      </c>
      <c r="T138" t="s">
        <v>911</v>
      </c>
      <c r="U138">
        <v>0.073053627952276</v>
      </c>
      <c r="V138" t="s">
        <v>1004</v>
      </c>
      <c r="W138" t="s">
        <v>1009</v>
      </c>
      <c r="X138" t="s">
        <v>1015</v>
      </c>
      <c r="Y138">
        <v>4807.329528</v>
      </c>
      <c r="Z138" s="2">
        <v>45147</v>
      </c>
      <c r="AA138" t="s">
        <v>1030</v>
      </c>
    </row>
    <row r="139" spans="1:27">
      <c r="A139" s="1" t="s">
        <v>164</v>
      </c>
      <c r="B139">
        <f>HYPERLINK("https://www.suredividend.com/sure-analysis-MCD/","McDonald`s Corp")</f>
        <v>0</v>
      </c>
      <c r="C139" t="s">
        <v>899</v>
      </c>
      <c r="D139">
        <v>295</v>
      </c>
      <c r="E139">
        <v>281.77</v>
      </c>
      <c r="F139">
        <v>240</v>
      </c>
      <c r="G139">
        <v>1.174041666666667</v>
      </c>
      <c r="H139">
        <v>0.02157788267026298</v>
      </c>
      <c r="I139">
        <v>-0.03158100801453279</v>
      </c>
      <c r="J139">
        <v>0.06</v>
      </c>
      <c r="K139">
        <v>0.04754329286785408</v>
      </c>
      <c r="L139" t="s">
        <v>901</v>
      </c>
      <c r="M139" t="s">
        <v>902</v>
      </c>
      <c r="N139">
        <v>24.65179352580927</v>
      </c>
      <c r="O139">
        <v>11.43</v>
      </c>
      <c r="P139">
        <v>6.08</v>
      </c>
      <c r="Q139">
        <v>0.5319335083114611</v>
      </c>
      <c r="R139">
        <v>48</v>
      </c>
      <c r="S139">
        <v>0.04007732447526613</v>
      </c>
      <c r="T139" t="s">
        <v>916</v>
      </c>
      <c r="U139">
        <v>0.10213355561061</v>
      </c>
      <c r="V139" t="s">
        <v>1004</v>
      </c>
      <c r="W139" t="s">
        <v>1008</v>
      </c>
      <c r="X139" t="s">
        <v>1013</v>
      </c>
      <c r="Y139">
        <v>204571.188611</v>
      </c>
      <c r="Z139" s="2">
        <v>45138</v>
      </c>
      <c r="AA139" t="s">
        <v>1029</v>
      </c>
    </row>
    <row r="140" spans="1:27">
      <c r="A140" s="1" t="s">
        <v>165</v>
      </c>
      <c r="B140">
        <f>HYPERLINK("https://www.suredividend.com/sure-analysis-SHW/","Sherwin-Williams Co.")</f>
        <v>0</v>
      </c>
      <c r="C140" t="s">
        <v>899</v>
      </c>
      <c r="D140">
        <v>280</v>
      </c>
      <c r="E140">
        <v>268.46</v>
      </c>
      <c r="F140">
        <v>219</v>
      </c>
      <c r="G140">
        <v>1.225844748858447</v>
      </c>
      <c r="H140">
        <v>0.00901437830589287</v>
      </c>
      <c r="I140">
        <v>-0.03990787871152723</v>
      </c>
      <c r="J140">
        <v>0.08</v>
      </c>
      <c r="K140">
        <v>0.04746699304996937</v>
      </c>
      <c r="L140" t="s">
        <v>901</v>
      </c>
      <c r="M140" t="s">
        <v>580</v>
      </c>
      <c r="N140">
        <v>28.25894736842105</v>
      </c>
      <c r="O140">
        <v>9.5</v>
      </c>
      <c r="P140">
        <v>2.42</v>
      </c>
      <c r="Q140">
        <v>0.2547368421052632</v>
      </c>
      <c r="R140">
        <v>45</v>
      </c>
      <c r="S140">
        <v>0.1101175267224515</v>
      </c>
      <c r="T140" t="s">
        <v>932</v>
      </c>
      <c r="U140">
        <v>0.117237841157074</v>
      </c>
      <c r="V140" t="s">
        <v>1004</v>
      </c>
      <c r="W140" t="s">
        <v>1008</v>
      </c>
      <c r="X140" t="s">
        <v>1010</v>
      </c>
      <c r="Y140">
        <v>69103.545159</v>
      </c>
      <c r="Z140" s="2">
        <v>45133</v>
      </c>
      <c r="AA140" t="s">
        <v>1035</v>
      </c>
    </row>
    <row r="141" spans="1:27">
      <c r="A141" s="1" t="s">
        <v>166</v>
      </c>
      <c r="B141">
        <f>HYPERLINK("https://www.suredividend.com/sure-analysis-ORCL/","Oracle Corp.")</f>
        <v>0</v>
      </c>
      <c r="C141" t="s">
        <v>899</v>
      </c>
      <c r="D141">
        <v>114</v>
      </c>
      <c r="E141">
        <v>111.84</v>
      </c>
      <c r="F141">
        <v>89</v>
      </c>
      <c r="G141">
        <v>1.256629213483146</v>
      </c>
      <c r="H141">
        <v>0.01430615164520744</v>
      </c>
      <c r="I141">
        <v>-0.04465866331719692</v>
      </c>
      <c r="J141">
        <v>0.08</v>
      </c>
      <c r="K141">
        <v>0.04683984848074418</v>
      </c>
      <c r="L141" t="s">
        <v>901</v>
      </c>
      <c r="M141" t="s">
        <v>580</v>
      </c>
      <c r="N141">
        <v>20.15135135135135</v>
      </c>
      <c r="O141">
        <v>5.55</v>
      </c>
      <c r="P141">
        <v>1.6</v>
      </c>
      <c r="Q141">
        <v>0.2882882882882883</v>
      </c>
      <c r="R141">
        <v>13</v>
      </c>
      <c r="S141">
        <v>0.06961037572506878</v>
      </c>
      <c r="T141" t="s">
        <v>953</v>
      </c>
      <c r="U141">
        <v>0.445761837743867</v>
      </c>
      <c r="V141" t="s">
        <v>1004</v>
      </c>
      <c r="W141" t="s">
        <v>1008</v>
      </c>
      <c r="X141" t="s">
        <v>1016</v>
      </c>
      <c r="Y141">
        <v>297509.92899</v>
      </c>
      <c r="Z141" s="2">
        <v>45120</v>
      </c>
      <c r="AA141" t="s">
        <v>1028</v>
      </c>
    </row>
    <row r="142" spans="1:27">
      <c r="A142" s="1" t="s">
        <v>167</v>
      </c>
      <c r="B142">
        <f>HYPERLINK("https://www.suredividend.com/sure-analysis-RNR/","RenaissanceRe Holdings Ltd")</f>
        <v>0</v>
      </c>
      <c r="C142" t="s">
        <v>900</v>
      </c>
      <c r="D142">
        <v>206</v>
      </c>
      <c r="E142">
        <v>198.7</v>
      </c>
      <c r="F142">
        <v>149</v>
      </c>
      <c r="G142">
        <v>1.333557046979866</v>
      </c>
      <c r="H142">
        <v>0.007649723200805234</v>
      </c>
      <c r="I142">
        <v>-0.05594416630511889</v>
      </c>
      <c r="J142">
        <v>0.1</v>
      </c>
      <c r="K142">
        <v>0.0454796298654927</v>
      </c>
      <c r="L142" t="s">
        <v>901</v>
      </c>
      <c r="M142" t="s">
        <v>580</v>
      </c>
      <c r="N142">
        <v>12.41875</v>
      </c>
      <c r="O142">
        <v>16</v>
      </c>
      <c r="P142">
        <v>1.52</v>
      </c>
      <c r="Q142">
        <v>0.095</v>
      </c>
      <c r="R142">
        <v>28</v>
      </c>
      <c r="S142">
        <v>0.02622006774714669</v>
      </c>
      <c r="T142" t="s">
        <v>912</v>
      </c>
      <c r="U142">
        <v>0.410028613947127</v>
      </c>
      <c r="V142" t="s">
        <v>1004</v>
      </c>
      <c r="W142" t="s">
        <v>1009</v>
      </c>
      <c r="X142" t="s">
        <v>1015</v>
      </c>
      <c r="Y142">
        <v>10300.283718</v>
      </c>
      <c r="Z142" s="2">
        <v>45133</v>
      </c>
      <c r="AA142" t="s">
        <v>1032</v>
      </c>
    </row>
    <row r="143" spans="1:27">
      <c r="A143" s="1" t="s">
        <v>168</v>
      </c>
      <c r="B143">
        <f>HYPERLINK("https://www.suredividend.com/sure-analysis-HUBB/","Hubbell Inc.")</f>
        <v>0</v>
      </c>
      <c r="C143" t="s">
        <v>899</v>
      </c>
      <c r="D143">
        <v>307</v>
      </c>
      <c r="E143">
        <v>315.54</v>
      </c>
      <c r="F143">
        <v>270</v>
      </c>
      <c r="G143">
        <v>1.168666666666667</v>
      </c>
      <c r="H143">
        <v>0.01419788299423211</v>
      </c>
      <c r="I143">
        <v>-0.03069184047833262</v>
      </c>
      <c r="J143">
        <v>0.06</v>
      </c>
      <c r="K143">
        <v>0.04143304746141907</v>
      </c>
      <c r="L143" t="s">
        <v>901</v>
      </c>
      <c r="M143" t="s">
        <v>580</v>
      </c>
      <c r="N143">
        <v>21.036</v>
      </c>
      <c r="O143">
        <v>15</v>
      </c>
      <c r="P143">
        <v>4.48</v>
      </c>
      <c r="Q143">
        <v>0.2986666666666667</v>
      </c>
      <c r="R143">
        <v>16</v>
      </c>
      <c r="S143">
        <v>0.03997691152451632</v>
      </c>
      <c r="T143" t="s">
        <v>925</v>
      </c>
      <c r="U143">
        <v>0.440377633387242</v>
      </c>
      <c r="V143" t="s">
        <v>1004</v>
      </c>
      <c r="W143" t="s">
        <v>1008</v>
      </c>
      <c r="X143" t="s">
        <v>1012</v>
      </c>
      <c r="Y143">
        <v>17104.539933</v>
      </c>
      <c r="Z143" s="2">
        <v>45143</v>
      </c>
      <c r="AA143" t="s">
        <v>1026</v>
      </c>
    </row>
    <row r="144" spans="1:27">
      <c r="A144" s="1" t="s">
        <v>169</v>
      </c>
      <c r="B144">
        <f>HYPERLINK("https://www.suredividend.com/sure-analysis-WLK/","Westlake Corporation")</f>
        <v>0</v>
      </c>
      <c r="C144" t="s">
        <v>900</v>
      </c>
      <c r="D144">
        <v>133</v>
      </c>
      <c r="E144">
        <v>123.9</v>
      </c>
      <c r="F144">
        <v>110</v>
      </c>
      <c r="G144">
        <v>1.126363636363636</v>
      </c>
      <c r="H144">
        <v>0.01614205004035512</v>
      </c>
      <c r="I144">
        <v>-0.02351792437489952</v>
      </c>
      <c r="J144">
        <v>0.05</v>
      </c>
      <c r="K144">
        <v>0.04073153735321777</v>
      </c>
      <c r="L144" t="s">
        <v>901</v>
      </c>
      <c r="M144" t="s">
        <v>580</v>
      </c>
      <c r="N144">
        <v>13.57064622124863</v>
      </c>
      <c r="O144">
        <v>9.130000000000001</v>
      </c>
      <c r="P144">
        <v>2</v>
      </c>
      <c r="Q144">
        <v>0.2190580503833516</v>
      </c>
      <c r="R144">
        <v>18</v>
      </c>
      <c r="S144">
        <v>0.02834672210021361</v>
      </c>
      <c r="T144" t="s">
        <v>922</v>
      </c>
      <c r="U144">
        <v>0.243489362212228</v>
      </c>
      <c r="V144" t="s">
        <v>1004</v>
      </c>
      <c r="W144" t="s">
        <v>1008</v>
      </c>
      <c r="X144" t="s">
        <v>1012</v>
      </c>
      <c r="Y144">
        <v>15896.096</v>
      </c>
      <c r="Z144" s="2">
        <v>45148</v>
      </c>
      <c r="AA144" t="s">
        <v>1024</v>
      </c>
    </row>
    <row r="145" spans="1:27">
      <c r="A145" s="1" t="s">
        <v>170</v>
      </c>
      <c r="B145">
        <f>HYPERLINK("https://www.suredividend.com/sure-analysis-ABT/","Abbott Laboratories")</f>
        <v>0</v>
      </c>
      <c r="C145" t="s">
        <v>900</v>
      </c>
      <c r="D145">
        <v>112</v>
      </c>
      <c r="E145">
        <v>102.69</v>
      </c>
      <c r="F145">
        <v>88</v>
      </c>
      <c r="G145">
        <v>1.166931818181818</v>
      </c>
      <c r="H145">
        <v>0.0198656149576395</v>
      </c>
      <c r="I145">
        <v>-0.03040380245280527</v>
      </c>
      <c r="J145">
        <v>0.05</v>
      </c>
      <c r="K145">
        <v>0.03987358858844559</v>
      </c>
      <c r="L145" t="s">
        <v>901</v>
      </c>
      <c r="M145" t="s">
        <v>902</v>
      </c>
      <c r="N145">
        <v>23.33863636363636</v>
      </c>
      <c r="O145">
        <v>4.4</v>
      </c>
      <c r="P145">
        <v>2.04</v>
      </c>
      <c r="Q145">
        <v>0.4636363636363636</v>
      </c>
      <c r="R145">
        <v>51</v>
      </c>
      <c r="S145">
        <v>0.06990981876632385</v>
      </c>
      <c r="T145" t="s">
        <v>908</v>
      </c>
      <c r="U145">
        <v>-0.04507631462870301</v>
      </c>
      <c r="V145" t="s">
        <v>1004</v>
      </c>
      <c r="W145" t="s">
        <v>1008</v>
      </c>
      <c r="X145" t="s">
        <v>1014</v>
      </c>
      <c r="Y145">
        <v>177700.657152</v>
      </c>
      <c r="Z145" s="2">
        <v>45128</v>
      </c>
      <c r="AA145" t="s">
        <v>1021</v>
      </c>
    </row>
    <row r="146" spans="1:27">
      <c r="A146" s="1" t="s">
        <v>171</v>
      </c>
      <c r="B146">
        <f>HYPERLINK("https://www.suredividend.com/sure-analysis-BRO/","Brown &amp; Brown, Inc.")</f>
        <v>0</v>
      </c>
      <c r="C146" t="s">
        <v>899</v>
      </c>
      <c r="D146">
        <v>71</v>
      </c>
      <c r="E146">
        <v>73.14</v>
      </c>
      <c r="F146">
        <v>61</v>
      </c>
      <c r="G146">
        <v>1.199016393442623</v>
      </c>
      <c r="H146">
        <v>0.006289308176100629</v>
      </c>
      <c r="I146">
        <v>-0.0356493538691337</v>
      </c>
      <c r="J146">
        <v>0.07000000000000001</v>
      </c>
      <c r="K146">
        <v>0.0390079658260809</v>
      </c>
      <c r="L146" t="s">
        <v>901</v>
      </c>
      <c r="M146" t="s">
        <v>580</v>
      </c>
      <c r="N146">
        <v>28.68235294117647</v>
      </c>
      <c r="O146">
        <v>2.55</v>
      </c>
      <c r="P146">
        <v>0.46</v>
      </c>
      <c r="Q146">
        <v>0.1803921568627451</v>
      </c>
      <c r="R146">
        <v>29</v>
      </c>
      <c r="S146">
        <v>0.09068691621347957</v>
      </c>
      <c r="T146" t="s">
        <v>954</v>
      </c>
      <c r="U146">
        <v>0.134640393815091</v>
      </c>
      <c r="V146" t="s">
        <v>1004</v>
      </c>
      <c r="W146" t="s">
        <v>1008</v>
      </c>
      <c r="X146" t="s">
        <v>1015</v>
      </c>
      <c r="Y146">
        <v>20859.742255</v>
      </c>
      <c r="Z146" s="2">
        <v>45134</v>
      </c>
      <c r="AA146" t="s">
        <v>1030</v>
      </c>
    </row>
    <row r="147" spans="1:27">
      <c r="A147" s="1" t="s">
        <v>172</v>
      </c>
      <c r="B147">
        <f>HYPERLINK("https://www.suredividend.com/sure-analysis-PG/","Procter &amp; Gamble Co.")</f>
        <v>0</v>
      </c>
      <c r="C147" t="s">
        <v>899</v>
      </c>
      <c r="D147">
        <v>155</v>
      </c>
      <c r="E147">
        <v>153.09</v>
      </c>
      <c r="F147">
        <v>128</v>
      </c>
      <c r="G147">
        <v>1.196015625</v>
      </c>
      <c r="H147">
        <v>0.02456071591874061</v>
      </c>
      <c r="I147">
        <v>-0.03516593323259032</v>
      </c>
      <c r="J147">
        <v>0.05</v>
      </c>
      <c r="K147">
        <v>0.0384163078375217</v>
      </c>
      <c r="L147" t="s">
        <v>901</v>
      </c>
      <c r="M147" t="s">
        <v>902</v>
      </c>
      <c r="N147">
        <v>23.9203125</v>
      </c>
      <c r="O147">
        <v>6.4</v>
      </c>
      <c r="P147">
        <v>3.76</v>
      </c>
      <c r="Q147">
        <v>0.5874999999999999</v>
      </c>
      <c r="R147">
        <v>67</v>
      </c>
      <c r="S147">
        <v>0.04474812797648475</v>
      </c>
      <c r="T147" t="s">
        <v>935</v>
      </c>
      <c r="U147">
        <v>0.105678356180722</v>
      </c>
      <c r="V147" t="s">
        <v>1004</v>
      </c>
      <c r="W147" t="s">
        <v>1008</v>
      </c>
      <c r="X147" t="s">
        <v>1011</v>
      </c>
      <c r="Y147">
        <v>358381.25961</v>
      </c>
      <c r="Z147" s="2">
        <v>45155</v>
      </c>
      <c r="AA147" t="s">
        <v>1022</v>
      </c>
    </row>
    <row r="148" spans="1:27">
      <c r="A148" s="1" t="s">
        <v>173</v>
      </c>
      <c r="B148">
        <f>HYPERLINK("https://www.suredividend.com/sure-analysis-BF.B/","Brown-Forman Corp.")</f>
        <v>0</v>
      </c>
      <c r="C148" t="s">
        <v>900</v>
      </c>
      <c r="D148">
        <v>67</v>
      </c>
      <c r="E148">
        <v>64.01000000000001</v>
      </c>
      <c r="F148">
        <v>49</v>
      </c>
      <c r="G148">
        <v>1.306326530612245</v>
      </c>
      <c r="H148">
        <v>0.01281049835963131</v>
      </c>
      <c r="I148">
        <v>-0.05204078955415137</v>
      </c>
      <c r="J148">
        <v>0.08</v>
      </c>
      <c r="K148">
        <v>0.03738621571040524</v>
      </c>
      <c r="L148" t="s">
        <v>901</v>
      </c>
      <c r="M148" t="s">
        <v>580</v>
      </c>
      <c r="N148">
        <v>31.22439024390244</v>
      </c>
      <c r="O148">
        <v>2.05</v>
      </c>
      <c r="P148">
        <v>0.82</v>
      </c>
      <c r="Q148">
        <v>0.4</v>
      </c>
      <c r="R148">
        <v>39</v>
      </c>
      <c r="S148">
        <v>0.06051243834129849</v>
      </c>
      <c r="T148" t="s">
        <v>920</v>
      </c>
      <c r="U148">
        <v>-0.118094356465104</v>
      </c>
      <c r="V148" t="s">
        <v>1004</v>
      </c>
      <c r="W148" t="s">
        <v>1008</v>
      </c>
      <c r="X148" t="s">
        <v>1011</v>
      </c>
      <c r="Y148">
        <v>30968.098954</v>
      </c>
      <c r="Z148" s="2">
        <v>45113</v>
      </c>
      <c r="AA148" t="s">
        <v>1028</v>
      </c>
    </row>
    <row r="149" spans="1:27">
      <c r="A149" s="1" t="s">
        <v>174</v>
      </c>
      <c r="B149">
        <f>HYPERLINK("https://www.suredividend.com/sure-analysis-MSA/","MSA Safety Inc")</f>
        <v>0</v>
      </c>
      <c r="C149" t="s">
        <v>900</v>
      </c>
      <c r="D149">
        <v>175</v>
      </c>
      <c r="E149">
        <v>172.93</v>
      </c>
      <c r="F149">
        <v>138</v>
      </c>
      <c r="G149">
        <v>1.253115942028985</v>
      </c>
      <c r="H149">
        <v>0.01087145087607702</v>
      </c>
      <c r="I149">
        <v>-0.04412357863038474</v>
      </c>
      <c r="J149">
        <v>0.07000000000000001</v>
      </c>
      <c r="K149">
        <v>0.03375048500931799</v>
      </c>
      <c r="L149" t="s">
        <v>901</v>
      </c>
      <c r="M149" t="s">
        <v>580</v>
      </c>
      <c r="N149">
        <v>28.82166666666667</v>
      </c>
      <c r="O149">
        <v>6</v>
      </c>
      <c r="P149">
        <v>1.88</v>
      </c>
      <c r="Q149">
        <v>0.3133333333333333</v>
      </c>
      <c r="R149">
        <v>53</v>
      </c>
      <c r="S149">
        <v>0.04024473558263919</v>
      </c>
      <c r="T149" t="s">
        <v>923</v>
      </c>
      <c r="U149">
        <v>0.418200582637851</v>
      </c>
      <c r="V149" t="s">
        <v>1004</v>
      </c>
      <c r="W149" t="s">
        <v>1008</v>
      </c>
      <c r="X149" t="s">
        <v>1012</v>
      </c>
      <c r="Y149">
        <v>6793.952633</v>
      </c>
      <c r="Z149" s="2">
        <v>45140</v>
      </c>
      <c r="AA149" t="s">
        <v>1032</v>
      </c>
    </row>
    <row r="150" spans="1:27">
      <c r="A150" s="1" t="s">
        <v>175</v>
      </c>
      <c r="B150">
        <f>HYPERLINK("https://www.suredividend.com/sure-analysis-ECL/","Ecolab, Inc.")</f>
        <v>0</v>
      </c>
      <c r="C150" t="s">
        <v>899</v>
      </c>
      <c r="D150">
        <v>184</v>
      </c>
      <c r="E150">
        <v>180.24</v>
      </c>
      <c r="F150">
        <v>98</v>
      </c>
      <c r="G150">
        <v>1.839183673469388</v>
      </c>
      <c r="H150">
        <v>0.01176209498446516</v>
      </c>
      <c r="I150">
        <v>-0.1147315649199203</v>
      </c>
      <c r="J150">
        <v>0.15</v>
      </c>
      <c r="K150">
        <v>0.03208567041003985</v>
      </c>
      <c r="L150" t="s">
        <v>901</v>
      </c>
      <c r="M150" t="s">
        <v>580</v>
      </c>
      <c r="N150">
        <v>36.78367346938776</v>
      </c>
      <c r="O150">
        <v>4.9</v>
      </c>
      <c r="P150">
        <v>2.12</v>
      </c>
      <c r="Q150">
        <v>0.4326530612244898</v>
      </c>
      <c r="R150">
        <v>31</v>
      </c>
      <c r="S150">
        <v>0.09319698831383527</v>
      </c>
      <c r="T150" t="s">
        <v>951</v>
      </c>
      <c r="U150">
        <v>0.05519494628135301</v>
      </c>
      <c r="V150" t="s">
        <v>1004</v>
      </c>
      <c r="W150" t="s">
        <v>1008</v>
      </c>
      <c r="X150" t="s">
        <v>1010</v>
      </c>
      <c r="Y150">
        <v>51910.376782</v>
      </c>
      <c r="Z150" s="2">
        <v>45153</v>
      </c>
      <c r="AA150" t="s">
        <v>1022</v>
      </c>
    </row>
    <row r="151" spans="1:27">
      <c r="A151" s="1" t="s">
        <v>176</v>
      </c>
      <c r="B151">
        <f>HYPERLINK("https://www.suredividend.com/sure-analysis-JBHT/","J.B. Hunt Transport Services, Inc.")</f>
        <v>0</v>
      </c>
      <c r="C151" t="s">
        <v>900</v>
      </c>
      <c r="D151">
        <v>195</v>
      </c>
      <c r="E151">
        <v>189.35</v>
      </c>
      <c r="F151">
        <v>162</v>
      </c>
      <c r="G151">
        <v>1.168827160493827</v>
      </c>
      <c r="H151">
        <v>0.008872458410351201</v>
      </c>
      <c r="I151">
        <v>-0.03071846144107426</v>
      </c>
      <c r="J151">
        <v>0.055</v>
      </c>
      <c r="K151">
        <v>0.03156344590007576</v>
      </c>
      <c r="L151" t="s">
        <v>901</v>
      </c>
      <c r="M151" t="s">
        <v>580</v>
      </c>
      <c r="N151">
        <v>24.59090909090909</v>
      </c>
      <c r="O151">
        <v>7.7</v>
      </c>
      <c r="P151">
        <v>1.68</v>
      </c>
      <c r="Q151">
        <v>0.2181818181818182</v>
      </c>
      <c r="R151">
        <v>21</v>
      </c>
      <c r="S151">
        <v>0.03959498820755258</v>
      </c>
      <c r="T151" t="s">
        <v>955</v>
      </c>
      <c r="U151">
        <v>0.053632689893964</v>
      </c>
      <c r="V151" t="s">
        <v>1004</v>
      </c>
      <c r="W151" t="s">
        <v>1008</v>
      </c>
      <c r="X151" t="s">
        <v>1012</v>
      </c>
      <c r="Y151">
        <v>18799.48895</v>
      </c>
      <c r="Z151" s="2">
        <v>45127</v>
      </c>
      <c r="AA151" t="s">
        <v>1034</v>
      </c>
    </row>
    <row r="152" spans="1:27">
      <c r="A152" s="1" t="s">
        <v>177</v>
      </c>
      <c r="B152">
        <f>HYPERLINK("https://www.suredividend.com/sure-analysis-UNF/","Unifirst Corp.")</f>
        <v>0</v>
      </c>
      <c r="C152" t="s">
        <v>899</v>
      </c>
      <c r="D152">
        <v>155</v>
      </c>
      <c r="E152">
        <v>173.39</v>
      </c>
      <c r="F152">
        <v>152</v>
      </c>
      <c r="G152">
        <v>1.140723684210526</v>
      </c>
      <c r="H152">
        <v>0.007151508160793588</v>
      </c>
      <c r="I152">
        <v>-0.0259888953650933</v>
      </c>
      <c r="J152">
        <v>0.05</v>
      </c>
      <c r="K152">
        <v>0.03135283617601159</v>
      </c>
      <c r="L152" t="s">
        <v>901</v>
      </c>
      <c r="M152" t="s">
        <v>825</v>
      </c>
      <c r="N152">
        <v>25.12898550724637</v>
      </c>
      <c r="O152">
        <v>6.9</v>
      </c>
      <c r="P152">
        <v>1.24</v>
      </c>
      <c r="Q152">
        <v>0.1797101449275362</v>
      </c>
      <c r="R152">
        <v>5</v>
      </c>
      <c r="S152">
        <v>0.1003267269360468</v>
      </c>
      <c r="T152" t="s">
        <v>956</v>
      </c>
      <c r="U152">
        <v>-0.04385172040310301</v>
      </c>
      <c r="V152" t="s">
        <v>1004</v>
      </c>
      <c r="W152" t="s">
        <v>1008</v>
      </c>
      <c r="X152" t="s">
        <v>1012</v>
      </c>
      <c r="Y152">
        <v>2610.73245</v>
      </c>
      <c r="Z152" s="2">
        <v>45112</v>
      </c>
      <c r="AA152" t="s">
        <v>1026</v>
      </c>
    </row>
    <row r="153" spans="1:27">
      <c r="A153" s="1" t="s">
        <v>178</v>
      </c>
      <c r="B153">
        <f>HYPERLINK("https://www.suredividend.com/sure-analysis-CB/","Chubb Limited")</f>
        <v>0</v>
      </c>
      <c r="C153" t="s">
        <v>899</v>
      </c>
      <c r="D153">
        <v>201</v>
      </c>
      <c r="E153">
        <v>209.01</v>
      </c>
      <c r="F153">
        <v>175</v>
      </c>
      <c r="G153">
        <v>1.194342857142857</v>
      </c>
      <c r="H153">
        <v>0.01645854265346156</v>
      </c>
      <c r="I153">
        <v>-0.03489581984200429</v>
      </c>
      <c r="J153">
        <v>0.05</v>
      </c>
      <c r="K153">
        <v>0.03037403991091714</v>
      </c>
      <c r="L153" t="s">
        <v>901</v>
      </c>
      <c r="M153" t="s">
        <v>902</v>
      </c>
      <c r="N153">
        <v>11.29783783783784</v>
      </c>
      <c r="O153">
        <v>18.5</v>
      </c>
      <c r="P153">
        <v>3.44</v>
      </c>
      <c r="Q153">
        <v>0.1859459459459459</v>
      </c>
      <c r="R153">
        <v>31</v>
      </c>
      <c r="S153">
        <v>0.04023417129032292</v>
      </c>
      <c r="T153" t="s">
        <v>904</v>
      </c>
      <c r="U153">
        <v>0.07570029747149201</v>
      </c>
      <c r="V153" t="s">
        <v>1004</v>
      </c>
      <c r="W153" t="s">
        <v>1009</v>
      </c>
      <c r="X153" t="s">
        <v>1015</v>
      </c>
      <c r="Y153">
        <v>85551.987318</v>
      </c>
      <c r="Z153" s="2">
        <v>45170</v>
      </c>
      <c r="AA153" t="s">
        <v>1028</v>
      </c>
    </row>
    <row r="154" spans="1:27">
      <c r="A154" s="1" t="s">
        <v>179</v>
      </c>
      <c r="B154">
        <f>HYPERLINK("https://www.suredividend.com/sure-analysis-ABBV/","Abbvie Inc")</f>
        <v>0</v>
      </c>
      <c r="C154" t="s">
        <v>899</v>
      </c>
      <c r="D154">
        <v>149</v>
      </c>
      <c r="E154">
        <v>151.16</v>
      </c>
      <c r="F154">
        <v>121</v>
      </c>
      <c r="G154">
        <v>1.249256198347107</v>
      </c>
      <c r="H154">
        <v>0.03916379994707594</v>
      </c>
      <c r="I154">
        <v>-0.04353364570664187</v>
      </c>
      <c r="J154">
        <v>0.03</v>
      </c>
      <c r="K154">
        <v>0.02928903498658531</v>
      </c>
      <c r="L154" t="s">
        <v>901</v>
      </c>
      <c r="M154" t="s">
        <v>901</v>
      </c>
      <c r="N154">
        <v>13.74181818181818</v>
      </c>
      <c r="O154">
        <v>11</v>
      </c>
      <c r="P154">
        <v>5.92</v>
      </c>
      <c r="Q154">
        <v>0.5381818181818182</v>
      </c>
      <c r="R154">
        <v>51</v>
      </c>
      <c r="S154">
        <v>0.0501226304546607</v>
      </c>
      <c r="T154" t="s">
        <v>908</v>
      </c>
      <c r="U154">
        <v>0.09199711766018301</v>
      </c>
      <c r="V154" t="s">
        <v>1004</v>
      </c>
      <c r="W154" t="s">
        <v>1008</v>
      </c>
      <c r="X154" t="s">
        <v>1014</v>
      </c>
      <c r="Y154">
        <v>263468.517924</v>
      </c>
      <c r="Z154" s="2">
        <v>45141</v>
      </c>
      <c r="AA154" t="s">
        <v>1028</v>
      </c>
    </row>
    <row r="155" spans="1:27">
      <c r="A155" s="1" t="s">
        <v>180</v>
      </c>
      <c r="B155">
        <f>HYPERLINK("https://www.suredividend.com/sure-analysis-SRCE/","1st Source Corp.")</f>
        <v>0</v>
      </c>
      <c r="C155" t="s">
        <v>900</v>
      </c>
      <c r="D155">
        <v>45</v>
      </c>
      <c r="E155">
        <v>43.16</v>
      </c>
      <c r="F155">
        <v>47</v>
      </c>
      <c r="G155">
        <v>0.9182978723404255</v>
      </c>
      <c r="H155">
        <v>0.02965708989805376</v>
      </c>
      <c r="I155">
        <v>0.01719281625197344</v>
      </c>
      <c r="J155">
        <v>-0.02</v>
      </c>
      <c r="K155">
        <v>0.02683083110343332</v>
      </c>
      <c r="L155" t="s">
        <v>901</v>
      </c>
      <c r="M155" t="s">
        <v>901</v>
      </c>
      <c r="N155">
        <v>10.15529411764706</v>
      </c>
      <c r="O155">
        <v>4.25</v>
      </c>
      <c r="P155">
        <v>1.28</v>
      </c>
      <c r="Q155">
        <v>0.3011764705882353</v>
      </c>
      <c r="R155">
        <v>35</v>
      </c>
      <c r="S155">
        <v>0.01953427031337696</v>
      </c>
      <c r="T155" t="s">
        <v>957</v>
      </c>
      <c r="U155">
        <v>-0.058793247678085</v>
      </c>
      <c r="V155" t="s">
        <v>1004</v>
      </c>
      <c r="W155" t="s">
        <v>1008</v>
      </c>
      <c r="X155" t="s">
        <v>1015</v>
      </c>
      <c r="Y155">
        <v>1083.304218</v>
      </c>
      <c r="Z155" s="2">
        <v>45129</v>
      </c>
      <c r="AA155" t="s">
        <v>1030</v>
      </c>
    </row>
    <row r="156" spans="1:27">
      <c r="A156" s="1" t="s">
        <v>181</v>
      </c>
      <c r="B156">
        <f>HYPERLINK("https://www.suredividend.com/sure-analysis-CASY/","Casey`s General Stores, Inc.")</f>
        <v>0</v>
      </c>
      <c r="C156" t="s">
        <v>899</v>
      </c>
      <c r="D156">
        <v>220</v>
      </c>
      <c r="E156">
        <v>275.69</v>
      </c>
      <c r="F156">
        <v>236</v>
      </c>
      <c r="G156">
        <v>1.168177966101695</v>
      </c>
      <c r="H156">
        <v>0.006238891508578476</v>
      </c>
      <c r="I156">
        <v>-0.03061075314220585</v>
      </c>
      <c r="J156">
        <v>0.05</v>
      </c>
      <c r="K156">
        <v>0.02413018520746424</v>
      </c>
      <c r="L156" t="s">
        <v>901</v>
      </c>
      <c r="M156" t="s">
        <v>580</v>
      </c>
      <c r="N156">
        <v>25.74136321195144</v>
      </c>
      <c r="O156">
        <v>10.71</v>
      </c>
      <c r="P156">
        <v>1.72</v>
      </c>
      <c r="Q156">
        <v>0.1605975723622782</v>
      </c>
      <c r="R156">
        <v>24</v>
      </c>
      <c r="S156">
        <v>0.02959144640951838</v>
      </c>
      <c r="T156" t="s">
        <v>957</v>
      </c>
      <c r="U156">
        <v>0.234187151041374</v>
      </c>
      <c r="V156" t="s">
        <v>1004</v>
      </c>
      <c r="W156" t="s">
        <v>1008</v>
      </c>
      <c r="X156" t="s">
        <v>1011</v>
      </c>
      <c r="Y156">
        <v>9917.397172000001</v>
      </c>
      <c r="Z156" s="2">
        <v>45098</v>
      </c>
      <c r="AA156" t="s">
        <v>1026</v>
      </c>
    </row>
    <row r="157" spans="1:27">
      <c r="A157" s="1" t="s">
        <v>182</v>
      </c>
      <c r="B157">
        <f>HYPERLINK("https://www.suredividend.com/sure-analysis-CWT/","California Water Service Group")</f>
        <v>0</v>
      </c>
      <c r="C157" t="s">
        <v>900</v>
      </c>
      <c r="D157">
        <v>52</v>
      </c>
      <c r="E157">
        <v>49.45</v>
      </c>
      <c r="F157">
        <v>38</v>
      </c>
      <c r="G157">
        <v>1.301315789473684</v>
      </c>
      <c r="H157">
        <v>0.02103134479271992</v>
      </c>
      <c r="I157">
        <v>-0.051311884371254</v>
      </c>
      <c r="J157">
        <v>0.05</v>
      </c>
      <c r="K157">
        <v>0.02041572266291825</v>
      </c>
      <c r="L157" t="s">
        <v>901</v>
      </c>
      <c r="M157" t="s">
        <v>902</v>
      </c>
      <c r="N157">
        <v>26.02631578947369</v>
      </c>
      <c r="O157">
        <v>1.9</v>
      </c>
      <c r="P157">
        <v>1.04</v>
      </c>
      <c r="Q157">
        <v>0.5473684210526316</v>
      </c>
      <c r="R157">
        <v>55</v>
      </c>
      <c r="S157">
        <v>0.05973259432914246</v>
      </c>
      <c r="T157" t="s">
        <v>910</v>
      </c>
      <c r="U157">
        <v>-0.172068501333369</v>
      </c>
      <c r="V157" t="s">
        <v>1004</v>
      </c>
      <c r="W157" t="s">
        <v>1008</v>
      </c>
      <c r="X157" t="s">
        <v>1018</v>
      </c>
      <c r="Y157">
        <v>2807.2023</v>
      </c>
      <c r="Z157" s="2">
        <v>45159</v>
      </c>
      <c r="AA157" t="s">
        <v>1028</v>
      </c>
    </row>
    <row r="158" spans="1:27">
      <c r="A158" s="1" t="s">
        <v>183</v>
      </c>
      <c r="B158">
        <f>HYPERLINK("https://www.suredividend.com/sure-analysis-MGRC/","McGrath Rentcorp")</f>
        <v>0</v>
      </c>
      <c r="C158" t="s">
        <v>900</v>
      </c>
      <c r="D158">
        <v>96</v>
      </c>
      <c r="E158">
        <v>97.06999999999999</v>
      </c>
      <c r="F158">
        <v>83</v>
      </c>
      <c r="G158">
        <v>1.169518072289156</v>
      </c>
      <c r="H158">
        <v>0.01916142989595138</v>
      </c>
      <c r="I158">
        <v>-0.03083301227557778</v>
      </c>
      <c r="J158">
        <v>0.03</v>
      </c>
      <c r="K158">
        <v>0.01852759137599591</v>
      </c>
      <c r="L158" t="s">
        <v>901</v>
      </c>
      <c r="M158" t="s">
        <v>902</v>
      </c>
      <c r="N158">
        <v>20.96544276457883</v>
      </c>
      <c r="O158">
        <v>4.63</v>
      </c>
      <c r="P158">
        <v>1.86</v>
      </c>
      <c r="Q158">
        <v>0.4017278617710583</v>
      </c>
      <c r="R158">
        <v>31</v>
      </c>
      <c r="S158">
        <v>0.03035803310185115</v>
      </c>
      <c r="T158" t="s">
        <v>939</v>
      </c>
      <c r="U158">
        <v>0.156048159008986</v>
      </c>
      <c r="V158" t="s">
        <v>1004</v>
      </c>
      <c r="W158" t="s">
        <v>1008</v>
      </c>
      <c r="X158" t="s">
        <v>1012</v>
      </c>
      <c r="Y158">
        <v>2391.938966</v>
      </c>
      <c r="Z158" s="2">
        <v>45137</v>
      </c>
      <c r="AA158" t="s">
        <v>1021</v>
      </c>
    </row>
    <row r="159" spans="1:27">
      <c r="A159" s="1" t="s">
        <v>184</v>
      </c>
      <c r="B159">
        <f>HYPERLINK("https://www.suredividend.com/sure-analysis-LIN/","Linde Plc.")</f>
        <v>0</v>
      </c>
      <c r="C159" t="s">
        <v>900</v>
      </c>
      <c r="D159">
        <v>375</v>
      </c>
      <c r="E159">
        <v>385.15</v>
      </c>
      <c r="F159">
        <v>292</v>
      </c>
      <c r="G159">
        <v>1.319006849315068</v>
      </c>
      <c r="H159">
        <v>0.01324159418408412</v>
      </c>
      <c r="I159">
        <v>-0.05387048692883345</v>
      </c>
      <c r="J159">
        <v>0.06</v>
      </c>
      <c r="K159">
        <v>0.01850781596914008</v>
      </c>
      <c r="L159" t="s">
        <v>901</v>
      </c>
      <c r="M159" t="s">
        <v>580</v>
      </c>
      <c r="N159">
        <v>27.70863309352518</v>
      </c>
      <c r="O159">
        <v>13.9</v>
      </c>
      <c r="P159">
        <v>5.1</v>
      </c>
      <c r="Q159">
        <v>0.3669064748201438</v>
      </c>
      <c r="R159">
        <v>30</v>
      </c>
      <c r="S159">
        <v>0.06990981876632385</v>
      </c>
      <c r="T159" t="s">
        <v>920</v>
      </c>
      <c r="U159">
        <v>0.114638334455863</v>
      </c>
      <c r="V159" t="s">
        <v>1004</v>
      </c>
      <c r="W159" t="s">
        <v>1009</v>
      </c>
      <c r="X159" t="s">
        <v>1010</v>
      </c>
      <c r="Y159">
        <v>189283.959563</v>
      </c>
      <c r="Z159" s="2">
        <v>45158</v>
      </c>
      <c r="AA159" t="s">
        <v>1028</v>
      </c>
    </row>
    <row r="160" spans="1:27">
      <c r="A160" s="1" t="s">
        <v>185</v>
      </c>
      <c r="B160">
        <f>HYPERLINK("https://www.suredividend.com/sure-analysis-ATR/","Aptargroup Inc.")</f>
        <v>0</v>
      </c>
      <c r="C160" t="s">
        <v>900</v>
      </c>
      <c r="D160">
        <v>121</v>
      </c>
      <c r="E160">
        <v>125.37</v>
      </c>
      <c r="F160">
        <v>91</v>
      </c>
      <c r="G160">
        <v>1.377692307692308</v>
      </c>
      <c r="H160">
        <v>0.01284198771635958</v>
      </c>
      <c r="I160">
        <v>-0.06207188720321788</v>
      </c>
      <c r="J160">
        <v>0.07000000000000001</v>
      </c>
      <c r="K160">
        <v>0.0174614312723429</v>
      </c>
      <c r="L160" t="s">
        <v>901</v>
      </c>
      <c r="M160" t="s">
        <v>580</v>
      </c>
      <c r="N160">
        <v>27.55384615384616</v>
      </c>
      <c r="O160">
        <v>4.55</v>
      </c>
      <c r="P160">
        <v>1.61</v>
      </c>
      <c r="Q160">
        <v>0.3538461538461539</v>
      </c>
      <c r="R160">
        <v>30</v>
      </c>
      <c r="S160">
        <v>0.04012620718096094</v>
      </c>
      <c r="T160" t="s">
        <v>958</v>
      </c>
      <c r="U160">
        <v>0.197659769214095</v>
      </c>
      <c r="V160" t="s">
        <v>1004</v>
      </c>
      <c r="W160" t="s">
        <v>1008</v>
      </c>
      <c r="X160" t="s">
        <v>1013</v>
      </c>
      <c r="Y160">
        <v>8305.063022</v>
      </c>
      <c r="Z160" s="2">
        <v>45145</v>
      </c>
      <c r="AA160" t="s">
        <v>1027</v>
      </c>
    </row>
    <row r="161" spans="1:27">
      <c r="A161" s="1" t="s">
        <v>186</v>
      </c>
      <c r="B161">
        <f>HYPERLINK("https://www.suredividend.com/sure-analysis-AFL/","Aflac Inc.")</f>
        <v>0</v>
      </c>
      <c r="C161" t="s">
        <v>900</v>
      </c>
      <c r="D161">
        <v>76</v>
      </c>
      <c r="E161">
        <v>76.39</v>
      </c>
      <c r="F161">
        <v>60</v>
      </c>
      <c r="G161">
        <v>1.273166666666667</v>
      </c>
      <c r="H161">
        <v>0.02199240738316533</v>
      </c>
      <c r="I161">
        <v>-0.04715348900489635</v>
      </c>
      <c r="J161">
        <v>0.04</v>
      </c>
      <c r="K161">
        <v>0.01538824163032881</v>
      </c>
      <c r="L161" t="s">
        <v>901</v>
      </c>
      <c r="M161" t="s">
        <v>902</v>
      </c>
      <c r="N161">
        <v>12.81711409395973</v>
      </c>
      <c r="O161">
        <v>5.96</v>
      </c>
      <c r="P161">
        <v>1.68</v>
      </c>
      <c r="Q161">
        <v>0.2818791946308725</v>
      </c>
      <c r="R161">
        <v>41</v>
      </c>
      <c r="S161">
        <v>0.03959498820755258</v>
      </c>
      <c r="T161" t="s">
        <v>913</v>
      </c>
      <c r="U161">
        <v>0.249715303482391</v>
      </c>
      <c r="V161" t="s">
        <v>1004</v>
      </c>
      <c r="W161" t="s">
        <v>1008</v>
      </c>
      <c r="X161" t="s">
        <v>1015</v>
      </c>
      <c r="Y161">
        <v>45309.145197</v>
      </c>
      <c r="Z161" s="2">
        <v>45141</v>
      </c>
      <c r="AA161" t="s">
        <v>1021</v>
      </c>
    </row>
    <row r="162" spans="1:27">
      <c r="A162" s="1" t="s">
        <v>187</v>
      </c>
      <c r="B162">
        <f>HYPERLINK("https://www.suredividend.com/sure-analysis-HEI/","Heico Corp.")</f>
        <v>0</v>
      </c>
      <c r="C162" t="s">
        <v>900</v>
      </c>
      <c r="D162">
        <v>166</v>
      </c>
      <c r="E162">
        <v>163.79</v>
      </c>
      <c r="F162">
        <v>99</v>
      </c>
      <c r="G162">
        <v>1.654444444444444</v>
      </c>
      <c r="H162">
        <v>0.001221075767751389</v>
      </c>
      <c r="I162">
        <v>-0.09578946578286496</v>
      </c>
      <c r="J162">
        <v>0.12</v>
      </c>
      <c r="K162">
        <v>0.01426378331879175</v>
      </c>
      <c r="L162" t="s">
        <v>901</v>
      </c>
      <c r="M162" t="s">
        <v>580</v>
      </c>
      <c r="N162">
        <v>54.59666666666666</v>
      </c>
      <c r="O162">
        <v>3</v>
      </c>
      <c r="P162">
        <v>0.2</v>
      </c>
      <c r="Q162">
        <v>0.06666666666666667</v>
      </c>
      <c r="R162">
        <v>9</v>
      </c>
      <c r="S162">
        <v>0.09856054330611763</v>
      </c>
      <c r="T162" t="s">
        <v>938</v>
      </c>
      <c r="U162">
        <v>0.04770375501457001</v>
      </c>
      <c r="V162" t="s">
        <v>1004</v>
      </c>
      <c r="W162" t="s">
        <v>1008</v>
      </c>
      <c r="X162" t="s">
        <v>1012</v>
      </c>
      <c r="Y162">
        <v>20085.632611</v>
      </c>
      <c r="Z162" s="2">
        <v>45168</v>
      </c>
      <c r="AA162" t="s">
        <v>1034</v>
      </c>
    </row>
    <row r="163" spans="1:27">
      <c r="A163" s="1" t="s">
        <v>188</v>
      </c>
      <c r="B163">
        <f>HYPERLINK("https://www.suredividend.com/sure-analysis-ODFL/","Old Dominion Freight Line, Inc.")</f>
        <v>0</v>
      </c>
      <c r="C163" t="s">
        <v>900</v>
      </c>
      <c r="D163">
        <v>418</v>
      </c>
      <c r="E163">
        <v>415.74</v>
      </c>
      <c r="F163">
        <v>242</v>
      </c>
      <c r="G163">
        <v>1.717933884297521</v>
      </c>
      <c r="H163">
        <v>0.003848559195651128</v>
      </c>
      <c r="I163">
        <v>-0.1025738693972753</v>
      </c>
      <c r="J163">
        <v>0.12</v>
      </c>
      <c r="K163">
        <v>0.01273459600928817</v>
      </c>
      <c r="L163" t="s">
        <v>901</v>
      </c>
      <c r="M163" t="s">
        <v>825</v>
      </c>
      <c r="N163">
        <v>37.79454545454546</v>
      </c>
      <c r="O163">
        <v>11</v>
      </c>
      <c r="P163">
        <v>1.6</v>
      </c>
      <c r="Q163">
        <v>0.1454545454545455</v>
      </c>
      <c r="R163">
        <v>6</v>
      </c>
      <c r="S163">
        <v>0.2498559668109293</v>
      </c>
      <c r="T163" t="s">
        <v>940</v>
      </c>
      <c r="U163">
        <v>0.5365898523511441</v>
      </c>
      <c r="V163" t="s">
        <v>1004</v>
      </c>
      <c r="W163" t="s">
        <v>1008</v>
      </c>
      <c r="X163" t="s">
        <v>1012</v>
      </c>
      <c r="Y163">
        <v>46094.73997</v>
      </c>
      <c r="Z163" s="2">
        <v>45133</v>
      </c>
      <c r="AA163" t="s">
        <v>1032</v>
      </c>
    </row>
    <row r="164" spans="1:27">
      <c r="A164" s="1" t="s">
        <v>189</v>
      </c>
      <c r="B164">
        <f>HYPERLINK("https://www.suredividend.com/sure-analysis-CAH/","Cardinal Health, Inc.")</f>
        <v>0</v>
      </c>
      <c r="C164" t="s">
        <v>900</v>
      </c>
      <c r="D164">
        <v>87</v>
      </c>
      <c r="E164">
        <v>87.95</v>
      </c>
      <c r="F164">
        <v>66</v>
      </c>
      <c r="G164">
        <v>1.332575757575758</v>
      </c>
      <c r="H164">
        <v>0.02274019329164298</v>
      </c>
      <c r="I164">
        <v>-0.05580516944447589</v>
      </c>
      <c r="J164">
        <v>0.03</v>
      </c>
      <c r="K164">
        <v>-0.0004128138633250344</v>
      </c>
      <c r="L164" t="s">
        <v>901</v>
      </c>
      <c r="M164" t="s">
        <v>902</v>
      </c>
      <c r="N164">
        <v>13.26546003016591</v>
      </c>
      <c r="O164">
        <v>6.63</v>
      </c>
      <c r="P164">
        <v>2</v>
      </c>
      <c r="Q164">
        <v>0.3016591251885369</v>
      </c>
      <c r="R164">
        <v>36</v>
      </c>
      <c r="S164">
        <v>0.03971726473271953</v>
      </c>
      <c r="T164" t="s">
        <v>938</v>
      </c>
      <c r="U164">
        <v>0.32179543012231</v>
      </c>
      <c r="V164" t="s">
        <v>1004</v>
      </c>
      <c r="W164" t="s">
        <v>1008</v>
      </c>
      <c r="X164" t="s">
        <v>1014</v>
      </c>
      <c r="Y164">
        <v>22293.116467</v>
      </c>
      <c r="Z164" s="2">
        <v>45163</v>
      </c>
      <c r="AA164" t="s">
        <v>1021</v>
      </c>
    </row>
    <row r="165" spans="1:27">
      <c r="A165" s="1" t="s">
        <v>190</v>
      </c>
      <c r="B165">
        <f>HYPERLINK("https://www.suredividend.com/sure-analysis-AAPL/","Apple Inc")</f>
        <v>0</v>
      </c>
      <c r="C165" t="s">
        <v>900</v>
      </c>
      <c r="D165">
        <v>185</v>
      </c>
      <c r="E165">
        <v>174.21</v>
      </c>
      <c r="F165">
        <v>117</v>
      </c>
      <c r="G165">
        <v>1.488974358974359</v>
      </c>
      <c r="H165">
        <v>0.005510590666437058</v>
      </c>
      <c r="I165">
        <v>-0.07653050021528374</v>
      </c>
      <c r="J165">
        <v>0.07000000000000001</v>
      </c>
      <c r="K165">
        <v>-0.003409828194657183</v>
      </c>
      <c r="L165" t="s">
        <v>901</v>
      </c>
      <c r="M165" t="s">
        <v>825</v>
      </c>
      <c r="N165">
        <v>28.32682926829268</v>
      </c>
      <c r="O165">
        <v>6.15</v>
      </c>
      <c r="P165">
        <v>0.96</v>
      </c>
      <c r="Q165">
        <v>0.1560975609756097</v>
      </c>
      <c r="R165">
        <v>11</v>
      </c>
      <c r="S165">
        <v>0.1364753777798011</v>
      </c>
      <c r="T165" t="s">
        <v>947</v>
      </c>
      <c r="U165">
        <v>0.08798550504620301</v>
      </c>
      <c r="V165" t="s">
        <v>1004</v>
      </c>
      <c r="W165" t="s">
        <v>1008</v>
      </c>
      <c r="X165" t="s">
        <v>1016</v>
      </c>
      <c r="Y165">
        <v>2756315.1016</v>
      </c>
      <c r="Z165" s="2">
        <v>45143</v>
      </c>
      <c r="AA165" t="s">
        <v>1035</v>
      </c>
    </row>
    <row r="166" spans="1:27">
      <c r="A166" s="1" t="s">
        <v>191</v>
      </c>
      <c r="B166">
        <f>HYPERLINK("https://www.suredividend.com/sure-analysis-AMAT/","Applied Materials Inc.")</f>
        <v>0</v>
      </c>
      <c r="C166" t="s">
        <v>900</v>
      </c>
      <c r="D166">
        <v>138</v>
      </c>
      <c r="E166">
        <v>144.58</v>
      </c>
      <c r="F166">
        <v>120</v>
      </c>
      <c r="G166">
        <v>1.204833333333333</v>
      </c>
      <c r="H166">
        <v>0.008853230045649467</v>
      </c>
      <c r="I166">
        <v>-0.03658233510135922</v>
      </c>
      <c r="J166">
        <v>0.02</v>
      </c>
      <c r="K166">
        <v>-0.004886629061654157</v>
      </c>
      <c r="L166" t="s">
        <v>901</v>
      </c>
      <c r="M166" t="s">
        <v>825</v>
      </c>
      <c r="N166">
        <v>19.27733333333333</v>
      </c>
      <c r="O166">
        <v>7.5</v>
      </c>
      <c r="P166">
        <v>1.28</v>
      </c>
      <c r="Q166">
        <v>0.1706666666666667</v>
      </c>
      <c r="R166">
        <v>6</v>
      </c>
      <c r="S166">
        <v>0.09984491222048941</v>
      </c>
      <c r="T166" t="s">
        <v>959</v>
      </c>
      <c r="U166">
        <v>0.5125743180703091</v>
      </c>
      <c r="V166" t="s">
        <v>1004</v>
      </c>
      <c r="W166" t="s">
        <v>1008</v>
      </c>
      <c r="X166" t="s">
        <v>1016</v>
      </c>
      <c r="Y166">
        <v>120867.688672</v>
      </c>
      <c r="Z166" s="2">
        <v>45157</v>
      </c>
      <c r="AA166" t="s">
        <v>1030</v>
      </c>
    </row>
    <row r="167" spans="1:27">
      <c r="A167" s="1" t="s">
        <v>192</v>
      </c>
      <c r="B167">
        <f>HYPERLINK("https://www.suredividend.com/sure-analysis-SCL/","Stepan Co.")</f>
        <v>0</v>
      </c>
      <c r="C167" t="s">
        <v>900</v>
      </c>
      <c r="D167">
        <v>94</v>
      </c>
      <c r="E167">
        <v>79.51000000000001</v>
      </c>
      <c r="F167">
        <v>48</v>
      </c>
      <c r="G167">
        <v>1.656458333333333</v>
      </c>
      <c r="H167">
        <v>0.01836247012954345</v>
      </c>
      <c r="I167">
        <v>-0.09600943699761277</v>
      </c>
      <c r="J167">
        <v>0.07000000000000001</v>
      </c>
      <c r="K167">
        <v>-0.007465852428565678</v>
      </c>
      <c r="L167" t="s">
        <v>901</v>
      </c>
      <c r="M167" t="s">
        <v>902</v>
      </c>
      <c r="N167">
        <v>28.39642857142858</v>
      </c>
      <c r="O167">
        <v>2.8</v>
      </c>
      <c r="P167">
        <v>1.46</v>
      </c>
      <c r="Q167">
        <v>0.5214285714285715</v>
      </c>
      <c r="R167">
        <v>55</v>
      </c>
      <c r="S167">
        <v>0.08048096642439129</v>
      </c>
      <c r="T167" t="s">
        <v>925</v>
      </c>
      <c r="U167">
        <v>-0.234137600075369</v>
      </c>
      <c r="V167" t="s">
        <v>1004</v>
      </c>
      <c r="W167" t="s">
        <v>1008</v>
      </c>
      <c r="X167" t="s">
        <v>1010</v>
      </c>
      <c r="Y167">
        <v>1744.285151</v>
      </c>
      <c r="Z167" s="2">
        <v>45143</v>
      </c>
      <c r="AA167" t="s">
        <v>1030</v>
      </c>
    </row>
    <row r="168" spans="1:27">
      <c r="A168" s="1" t="s">
        <v>193</v>
      </c>
      <c r="B168">
        <f>HYPERLINK("https://www.suredividend.com/sure-analysis-EXPD/","Expeditors International Of Washington, Inc.")</f>
        <v>0</v>
      </c>
      <c r="C168" t="s">
        <v>900</v>
      </c>
      <c r="D168">
        <v>117</v>
      </c>
      <c r="E168">
        <v>118.28</v>
      </c>
      <c r="F168">
        <v>96</v>
      </c>
      <c r="G168">
        <v>1.232083333333333</v>
      </c>
      <c r="H168">
        <v>0.01166723030098072</v>
      </c>
      <c r="I168">
        <v>-0.04088212840053951</v>
      </c>
      <c r="J168">
        <v>0.02</v>
      </c>
      <c r="K168">
        <v>-0.007748213424277561</v>
      </c>
      <c r="L168" t="s">
        <v>901</v>
      </c>
      <c r="M168" t="s">
        <v>580</v>
      </c>
      <c r="N168">
        <v>22.1498127340824</v>
      </c>
      <c r="O168">
        <v>5.34</v>
      </c>
      <c r="P168">
        <v>1.38</v>
      </c>
      <c r="Q168">
        <v>0.2584269662921348</v>
      </c>
      <c r="R168">
        <v>28</v>
      </c>
      <c r="S168">
        <v>0.04012620718096094</v>
      </c>
      <c r="T168" t="s">
        <v>960</v>
      </c>
      <c r="U168">
        <v>0.133573599534265</v>
      </c>
      <c r="V168" t="s">
        <v>1004</v>
      </c>
      <c r="W168" t="s">
        <v>1008</v>
      </c>
      <c r="X168" t="s">
        <v>1012</v>
      </c>
      <c r="Y168">
        <v>17221.147173</v>
      </c>
      <c r="Z168" s="2">
        <v>45155</v>
      </c>
      <c r="AA168" t="s">
        <v>1027</v>
      </c>
    </row>
    <row r="169" spans="1:27">
      <c r="A169" s="1" t="s">
        <v>194</v>
      </c>
      <c r="B169">
        <f>HYPERLINK("https://www.suredividend.com/sure-analysis-NVDA/","NVIDIA Corp")</f>
        <v>0</v>
      </c>
      <c r="C169" t="s">
        <v>900</v>
      </c>
      <c r="D169">
        <v>471</v>
      </c>
      <c r="E169">
        <v>454.85</v>
      </c>
      <c r="F169">
        <v>240</v>
      </c>
      <c r="G169">
        <v>1.895208333333333</v>
      </c>
      <c r="H169">
        <v>0.0003517643179070023</v>
      </c>
      <c r="I169">
        <v>-0.1200284962928957</v>
      </c>
      <c r="J169">
        <v>0.12</v>
      </c>
      <c r="K169">
        <v>-0.01405937239700983</v>
      </c>
      <c r="L169" t="s">
        <v>901</v>
      </c>
      <c r="M169" t="s">
        <v>825</v>
      </c>
      <c r="N169">
        <v>45.485</v>
      </c>
      <c r="O169">
        <v>10</v>
      </c>
      <c r="P169">
        <v>0.16</v>
      </c>
      <c r="Q169">
        <v>0.016</v>
      </c>
      <c r="R169">
        <v>0</v>
      </c>
      <c r="S169">
        <v>0</v>
      </c>
      <c r="T169" t="s">
        <v>956</v>
      </c>
      <c r="U169">
        <v>2.095308885888854</v>
      </c>
      <c r="V169" t="s">
        <v>1004</v>
      </c>
      <c r="W169" t="s">
        <v>1008</v>
      </c>
      <c r="X169" t="s">
        <v>1016</v>
      </c>
      <c r="Y169">
        <v>1108289</v>
      </c>
      <c r="Z169" s="2">
        <v>45163</v>
      </c>
      <c r="AA169" t="s">
        <v>1028</v>
      </c>
    </row>
    <row r="170" spans="1:27">
      <c r="A170" s="1" t="s">
        <v>195</v>
      </c>
      <c r="B170">
        <f>HYPERLINK("https://www.suredividend.com/sure-analysis-CVX/","Chevron Corp.")</f>
        <v>0</v>
      </c>
      <c r="C170" t="s">
        <v>900</v>
      </c>
      <c r="D170">
        <v>159</v>
      </c>
      <c r="E170">
        <v>166.2</v>
      </c>
      <c r="F170">
        <v>193</v>
      </c>
      <c r="G170">
        <v>0.861139896373057</v>
      </c>
      <c r="H170">
        <v>0.03634175691937425</v>
      </c>
      <c r="I170">
        <v>0.03035114466883826</v>
      </c>
      <c r="J170">
        <v>-0.09</v>
      </c>
      <c r="K170">
        <v>-0.0180789687176216</v>
      </c>
      <c r="L170" t="s">
        <v>901</v>
      </c>
      <c r="M170" t="s">
        <v>901</v>
      </c>
      <c r="N170">
        <v>12.04347826086956</v>
      </c>
      <c r="O170">
        <v>13.8</v>
      </c>
      <c r="P170">
        <v>6.04</v>
      </c>
      <c r="Q170">
        <v>0.4376811594202898</v>
      </c>
      <c r="R170">
        <v>36</v>
      </c>
      <c r="S170">
        <v>0.01164608941450673</v>
      </c>
      <c r="T170" t="s">
        <v>932</v>
      </c>
      <c r="U170">
        <v>0.063955995172939</v>
      </c>
      <c r="V170" t="s">
        <v>1004</v>
      </c>
      <c r="W170" t="s">
        <v>1008</v>
      </c>
      <c r="X170" t="s">
        <v>1020</v>
      </c>
      <c r="Y170">
        <v>311475.174815</v>
      </c>
      <c r="Z170" s="2">
        <v>45139</v>
      </c>
      <c r="AA170" t="s">
        <v>1022</v>
      </c>
    </row>
    <row r="171" spans="1:27">
      <c r="A171" s="1" t="s">
        <v>196</v>
      </c>
      <c r="B171">
        <f>HYPERLINK("https://www.suredividend.com/sure-analysis-XOM/","Exxon Mobil Corp.")</f>
        <v>0</v>
      </c>
      <c r="C171" t="s">
        <v>900</v>
      </c>
      <c r="D171">
        <v>104</v>
      </c>
      <c r="E171">
        <v>116.44</v>
      </c>
      <c r="F171">
        <v>124</v>
      </c>
      <c r="G171">
        <v>0.9390322580645161</v>
      </c>
      <c r="H171">
        <v>0.0312607351425627</v>
      </c>
      <c r="I171">
        <v>0.01266056419374606</v>
      </c>
      <c r="J171">
        <v>-0.07000000000000001</v>
      </c>
      <c r="K171">
        <v>-0.02035679171490157</v>
      </c>
      <c r="L171" t="s">
        <v>901</v>
      </c>
      <c r="M171" t="s">
        <v>901</v>
      </c>
      <c r="N171">
        <v>12.25684210526316</v>
      </c>
      <c r="O171">
        <v>9.5</v>
      </c>
      <c r="P171">
        <v>3.64</v>
      </c>
      <c r="Q171">
        <v>0.3831578947368421</v>
      </c>
      <c r="R171">
        <v>40</v>
      </c>
      <c r="S171">
        <v>0.01075516236974039</v>
      </c>
      <c r="T171" t="s">
        <v>923</v>
      </c>
      <c r="U171">
        <v>0.243413317190514</v>
      </c>
      <c r="V171" t="s">
        <v>1004</v>
      </c>
      <c r="W171" t="s">
        <v>1008</v>
      </c>
      <c r="X171" t="s">
        <v>1020</v>
      </c>
      <c r="Y171">
        <v>470335.120545</v>
      </c>
      <c r="Z171" s="2">
        <v>45138</v>
      </c>
      <c r="AA171" t="s">
        <v>1022</v>
      </c>
    </row>
    <row r="172" spans="1:27">
      <c r="A172" s="1" t="s">
        <v>197</v>
      </c>
      <c r="B172">
        <f>HYPERLINK("https://www.suredividend.com/sure-analysis-RLI/","RLI Corp.")</f>
        <v>0</v>
      </c>
      <c r="C172" t="s">
        <v>900</v>
      </c>
      <c r="D172">
        <v>134</v>
      </c>
      <c r="E172">
        <v>135.57</v>
      </c>
      <c r="F172">
        <v>95</v>
      </c>
      <c r="G172">
        <v>1.427052631578947</v>
      </c>
      <c r="H172">
        <v>0.007966364239876079</v>
      </c>
      <c r="I172">
        <v>-0.06865196663195094</v>
      </c>
      <c r="J172">
        <v>0.03</v>
      </c>
      <c r="K172">
        <v>-0.0300281953237338</v>
      </c>
      <c r="L172" t="s">
        <v>901</v>
      </c>
      <c r="M172" t="s">
        <v>580</v>
      </c>
      <c r="N172">
        <v>27.114</v>
      </c>
      <c r="O172">
        <v>5</v>
      </c>
      <c r="P172">
        <v>1.08</v>
      </c>
      <c r="Q172">
        <v>0.216</v>
      </c>
      <c r="R172">
        <v>48</v>
      </c>
      <c r="S172">
        <v>0.05024607263868264</v>
      </c>
      <c r="T172" t="s">
        <v>925</v>
      </c>
      <c r="U172">
        <v>0.205997969068991</v>
      </c>
      <c r="V172" t="s">
        <v>1004</v>
      </c>
      <c r="W172" t="s">
        <v>1008</v>
      </c>
      <c r="X172" t="s">
        <v>1015</v>
      </c>
      <c r="Y172">
        <v>6216.585363</v>
      </c>
      <c r="Z172" s="2">
        <v>45157</v>
      </c>
      <c r="AA172" t="s">
        <v>1028</v>
      </c>
    </row>
    <row r="173" spans="1:27">
      <c r="A173" s="1" t="s">
        <v>198</v>
      </c>
      <c r="B173">
        <f>HYPERLINK("https://www.suredividend.com/sure-analysis-BMI/","Badger Meter Inc.")</f>
        <v>0</v>
      </c>
      <c r="C173" t="s">
        <v>900</v>
      </c>
      <c r="D173">
        <v>153</v>
      </c>
      <c r="E173">
        <v>158.74</v>
      </c>
      <c r="F173">
        <v>81</v>
      </c>
      <c r="G173">
        <v>1.959753086419753</v>
      </c>
      <c r="H173">
        <v>0.006803578178152954</v>
      </c>
      <c r="I173">
        <v>-0.1259028009636182</v>
      </c>
      <c r="J173">
        <v>0.08</v>
      </c>
      <c r="K173">
        <v>-0.04614508270352502</v>
      </c>
      <c r="L173" t="s">
        <v>901</v>
      </c>
      <c r="M173" t="s">
        <v>825</v>
      </c>
      <c r="N173">
        <v>58.57564575645757</v>
      </c>
      <c r="O173">
        <v>2.71</v>
      </c>
      <c r="P173">
        <v>1.08</v>
      </c>
      <c r="Q173">
        <v>0.3985239852398524</v>
      </c>
      <c r="R173">
        <v>31</v>
      </c>
      <c r="S173">
        <v>0.05327276858309027</v>
      </c>
      <c r="T173" t="s">
        <v>922</v>
      </c>
      <c r="U173">
        <v>0.643404310236221</v>
      </c>
      <c r="V173" t="s">
        <v>1004</v>
      </c>
      <c r="W173" t="s">
        <v>1008</v>
      </c>
      <c r="X173" t="s">
        <v>1012</v>
      </c>
      <c r="Y173">
        <v>4704.057215</v>
      </c>
      <c r="Z173" s="2">
        <v>45128</v>
      </c>
      <c r="AA173" t="s">
        <v>1021</v>
      </c>
    </row>
    <row r="174" spans="1:27">
      <c r="A174" s="1" t="s">
        <v>199</v>
      </c>
      <c r="B174">
        <f>HYPERLINK("https://www.suredividend.com/sure-analysis-NUE/","Nucor Corp.")</f>
        <v>0</v>
      </c>
      <c r="C174" t="s">
        <v>900</v>
      </c>
      <c r="D174">
        <v>173</v>
      </c>
      <c r="E174">
        <v>161.13</v>
      </c>
      <c r="F174">
        <v>159</v>
      </c>
      <c r="G174">
        <v>1.013396226415094</v>
      </c>
      <c r="H174">
        <v>0.01266058462111339</v>
      </c>
      <c r="I174">
        <v>-0.002657919533432973</v>
      </c>
      <c r="J174">
        <v>-0.065</v>
      </c>
      <c r="K174">
        <v>-0.05058598209695486</v>
      </c>
      <c r="L174" t="s">
        <v>901</v>
      </c>
      <c r="M174" t="s">
        <v>902</v>
      </c>
      <c r="N174">
        <v>12.15158371040724</v>
      </c>
      <c r="O174">
        <v>13.26</v>
      </c>
      <c r="P174">
        <v>2.04</v>
      </c>
      <c r="Q174">
        <v>0.1538461538461539</v>
      </c>
      <c r="R174">
        <v>50</v>
      </c>
      <c r="S174">
        <v>0.01521611448235172</v>
      </c>
      <c r="T174" t="s">
        <v>911</v>
      </c>
      <c r="U174">
        <v>0.167765879488452</v>
      </c>
      <c r="V174" t="s">
        <v>1004</v>
      </c>
      <c r="W174" t="s">
        <v>1008</v>
      </c>
      <c r="X174" t="s">
        <v>1010</v>
      </c>
      <c r="Y174">
        <v>40546.740972</v>
      </c>
      <c r="Z174" s="2">
        <v>45146</v>
      </c>
      <c r="AA174" t="s">
        <v>1033</v>
      </c>
    </row>
    <row r="175" spans="1:27">
      <c r="A175" s="1" t="s">
        <v>200</v>
      </c>
      <c r="B175">
        <f>HYPERLINK("https://www.suredividend.com/sure-analysis-WST/","West Pharmaceutical Services, Inc.")</f>
        <v>0</v>
      </c>
      <c r="C175" t="s">
        <v>900</v>
      </c>
      <c r="D175">
        <v>393</v>
      </c>
      <c r="E175">
        <v>395.27</v>
      </c>
      <c r="F175">
        <v>193</v>
      </c>
      <c r="G175">
        <v>2.048031088082901</v>
      </c>
      <c r="H175">
        <v>0.001922736357426569</v>
      </c>
      <c r="I175">
        <v>-0.133571576469652</v>
      </c>
      <c r="J175">
        <v>0.09</v>
      </c>
      <c r="K175">
        <v>-0.05271686163789024</v>
      </c>
      <c r="L175" t="s">
        <v>901</v>
      </c>
      <c r="M175" t="s">
        <v>580</v>
      </c>
      <c r="N175">
        <v>51.13454075032341</v>
      </c>
      <c r="O175">
        <v>7.73</v>
      </c>
      <c r="P175">
        <v>0.76</v>
      </c>
      <c r="Q175">
        <v>0.0983182406209573</v>
      </c>
      <c r="R175">
        <v>30</v>
      </c>
      <c r="S175">
        <v>0.06061390336787298</v>
      </c>
      <c r="T175" t="s">
        <v>933</v>
      </c>
      <c r="U175">
        <v>0.261981890293903</v>
      </c>
      <c r="V175" t="s">
        <v>1004</v>
      </c>
      <c r="W175" t="s">
        <v>1008</v>
      </c>
      <c r="X175" t="s">
        <v>1014</v>
      </c>
      <c r="Y175">
        <v>29088.02251</v>
      </c>
      <c r="Z175" s="2">
        <v>45157</v>
      </c>
      <c r="AA175" t="s">
        <v>1028</v>
      </c>
    </row>
    <row r="176" spans="1:27">
      <c r="A176" s="1" t="s">
        <v>201</v>
      </c>
      <c r="B176">
        <f>HYPERLINK("https://www.suredividend.com/sure-analysis-BAX/","Baxter International Inc.")</f>
        <v>0</v>
      </c>
      <c r="C176" t="s">
        <v>898</v>
      </c>
      <c r="D176">
        <v>42</v>
      </c>
      <c r="E176">
        <v>39.11</v>
      </c>
      <c r="F176">
        <v>58</v>
      </c>
      <c r="G176">
        <v>0.6743103448275862</v>
      </c>
      <c r="H176">
        <v>0.02965993352083866</v>
      </c>
      <c r="I176">
        <v>0.08200193021561497</v>
      </c>
      <c r="J176">
        <v>0.1</v>
      </c>
      <c r="K176">
        <v>0.2094346300281422</v>
      </c>
      <c r="L176" t="s">
        <v>902</v>
      </c>
      <c r="M176" t="s">
        <v>902</v>
      </c>
      <c r="N176">
        <v>13.43986254295532</v>
      </c>
      <c r="O176">
        <v>2.91</v>
      </c>
      <c r="P176">
        <v>1.16</v>
      </c>
      <c r="Q176">
        <v>0.3986254295532646</v>
      </c>
      <c r="R176">
        <v>6</v>
      </c>
      <c r="S176">
        <v>0.1002128764755552</v>
      </c>
      <c r="T176" t="s">
        <v>916</v>
      </c>
      <c r="U176">
        <v>-0.341715455518135</v>
      </c>
      <c r="V176" t="s">
        <v>1004</v>
      </c>
      <c r="W176" t="s">
        <v>1008</v>
      </c>
      <c r="X176" t="s">
        <v>1014</v>
      </c>
      <c r="Y176">
        <v>19410.497019</v>
      </c>
      <c r="Z176" s="2">
        <v>45159</v>
      </c>
      <c r="AA176" t="s">
        <v>1021</v>
      </c>
    </row>
    <row r="177" spans="1:27">
      <c r="A177" s="1" t="s">
        <v>202</v>
      </c>
      <c r="B177">
        <f>HYPERLINK("https://www.suredividend.com/sure-analysis-NUS/","Nu Skin Enterprises, Inc.")</f>
        <v>0</v>
      </c>
      <c r="C177" t="s">
        <v>898</v>
      </c>
      <c r="D177">
        <v>25</v>
      </c>
      <c r="E177">
        <v>23.15</v>
      </c>
      <c r="F177">
        <v>35</v>
      </c>
      <c r="G177">
        <v>0.6614285714285714</v>
      </c>
      <c r="H177">
        <v>0.06738660907127431</v>
      </c>
      <c r="I177">
        <v>0.08618402165152839</v>
      </c>
      <c r="J177">
        <v>0.05</v>
      </c>
      <c r="K177">
        <v>0.1788689462013704</v>
      </c>
      <c r="L177" t="s">
        <v>902</v>
      </c>
      <c r="M177" t="s">
        <v>901</v>
      </c>
      <c r="N177">
        <v>10.06521739130435</v>
      </c>
      <c r="O177">
        <v>2.3</v>
      </c>
      <c r="P177">
        <v>1.56</v>
      </c>
      <c r="Q177">
        <v>0.6782608695652175</v>
      </c>
      <c r="R177">
        <v>23</v>
      </c>
      <c r="S177">
        <v>0.01005227214699711</v>
      </c>
      <c r="T177" t="s">
        <v>922</v>
      </c>
      <c r="U177">
        <v>-0.412615987060526</v>
      </c>
      <c r="V177" t="s">
        <v>1004</v>
      </c>
      <c r="W177" t="s">
        <v>1008</v>
      </c>
      <c r="X177" t="s">
        <v>1011</v>
      </c>
      <c r="Y177">
        <v>1137.566088</v>
      </c>
      <c r="Z177" s="2">
        <v>45148</v>
      </c>
      <c r="AA177" t="s">
        <v>1024</v>
      </c>
    </row>
    <row r="178" spans="1:27">
      <c r="A178" s="1" t="s">
        <v>203</v>
      </c>
      <c r="B178">
        <f>HYPERLINK("https://www.suredividend.com/sure-analysis-T/","AT&amp;T, Inc.")</f>
        <v>0</v>
      </c>
      <c r="C178" t="s">
        <v>898</v>
      </c>
      <c r="D178">
        <v>14</v>
      </c>
      <c r="E178">
        <v>14.62</v>
      </c>
      <c r="F178">
        <v>24</v>
      </c>
      <c r="G178">
        <v>0.6091666666666666</v>
      </c>
      <c r="H178">
        <v>0.0759233926128591</v>
      </c>
      <c r="I178">
        <v>0.1042127914995088</v>
      </c>
      <c r="J178">
        <v>0.02</v>
      </c>
      <c r="K178">
        <v>0.1725398291912699</v>
      </c>
      <c r="L178" t="s">
        <v>902</v>
      </c>
      <c r="M178" t="s">
        <v>901</v>
      </c>
      <c r="N178">
        <v>6.091666666666667</v>
      </c>
      <c r="O178">
        <v>2.4</v>
      </c>
      <c r="P178">
        <v>1.11</v>
      </c>
      <c r="Q178">
        <v>0.4625000000000001</v>
      </c>
      <c r="R178">
        <v>0</v>
      </c>
      <c r="S178">
        <v>0.02074303809479527</v>
      </c>
      <c r="T178" t="s">
        <v>921</v>
      </c>
      <c r="U178">
        <v>-0.113389293225337</v>
      </c>
      <c r="V178" t="s">
        <v>1004</v>
      </c>
      <c r="W178" t="s">
        <v>1008</v>
      </c>
      <c r="X178" t="s">
        <v>1017</v>
      </c>
      <c r="Y178">
        <v>103099.8</v>
      </c>
      <c r="Z178" s="2">
        <v>45149</v>
      </c>
      <c r="AA178" t="s">
        <v>1022</v>
      </c>
    </row>
    <row r="179" spans="1:27">
      <c r="A179" s="1" t="s">
        <v>204</v>
      </c>
      <c r="B179">
        <f>HYPERLINK("https://www.suredividend.com/sure-analysis-ES/","Eversource Energy")</f>
        <v>0</v>
      </c>
      <c r="C179" t="s">
        <v>898</v>
      </c>
      <c r="D179">
        <v>70</v>
      </c>
      <c r="E179">
        <v>63.35</v>
      </c>
      <c r="F179">
        <v>91</v>
      </c>
      <c r="G179">
        <v>0.6961538461538461</v>
      </c>
      <c r="H179">
        <v>0.04262036306235201</v>
      </c>
      <c r="I179">
        <v>0.07512498501322407</v>
      </c>
      <c r="J179">
        <v>0.06</v>
      </c>
      <c r="K179">
        <v>0.1683296305662938</v>
      </c>
      <c r="L179" t="s">
        <v>902</v>
      </c>
      <c r="M179" t="s">
        <v>902</v>
      </c>
      <c r="N179">
        <v>14.5632183908046</v>
      </c>
      <c r="O179">
        <v>4.35</v>
      </c>
      <c r="P179">
        <v>2.7</v>
      </c>
      <c r="Q179">
        <v>0.6206896551724139</v>
      </c>
      <c r="R179">
        <v>25</v>
      </c>
      <c r="S179">
        <v>0.05981164598402855</v>
      </c>
      <c r="T179" t="s">
        <v>961</v>
      </c>
      <c r="U179">
        <v>-0.303309808826156</v>
      </c>
      <c r="V179" t="s">
        <v>1004</v>
      </c>
      <c r="W179" t="s">
        <v>1008</v>
      </c>
      <c r="X179" t="s">
        <v>1018</v>
      </c>
      <c r="Y179">
        <v>21779.463998</v>
      </c>
      <c r="Z179" s="2">
        <v>45141</v>
      </c>
      <c r="AA179" t="s">
        <v>1023</v>
      </c>
    </row>
    <row r="180" spans="1:27">
      <c r="A180" s="1" t="s">
        <v>205</v>
      </c>
      <c r="B180">
        <f>HYPERLINK("https://www.suredividend.com/sure-analysis-VZ/","Verizon Communications Inc")</f>
        <v>0</v>
      </c>
      <c r="C180" t="s">
        <v>898</v>
      </c>
      <c r="D180">
        <v>34</v>
      </c>
      <c r="E180">
        <v>33.86</v>
      </c>
      <c r="F180">
        <v>52</v>
      </c>
      <c r="G180">
        <v>0.6511538461538462</v>
      </c>
      <c r="H180">
        <v>0.07855877141169522</v>
      </c>
      <c r="I180">
        <v>0.08959042459606237</v>
      </c>
      <c r="J180">
        <v>0.025</v>
      </c>
      <c r="K180">
        <v>0.1653931479709767</v>
      </c>
      <c r="L180" t="s">
        <v>902</v>
      </c>
      <c r="M180" t="s">
        <v>901</v>
      </c>
      <c r="N180">
        <v>7.204255319148936</v>
      </c>
      <c r="O180">
        <v>4.7</v>
      </c>
      <c r="P180">
        <v>2.66</v>
      </c>
      <c r="Q180">
        <v>0.5659574468085107</v>
      </c>
      <c r="R180">
        <v>19</v>
      </c>
      <c r="S180">
        <v>0.01601979706926571</v>
      </c>
      <c r="T180" t="s">
        <v>921</v>
      </c>
      <c r="U180">
        <v>-0.149261602057367</v>
      </c>
      <c r="V180" t="s">
        <v>1004</v>
      </c>
      <c r="W180" t="s">
        <v>1008</v>
      </c>
      <c r="X180" t="s">
        <v>1017</v>
      </c>
      <c r="Y180">
        <v>143105.521089</v>
      </c>
      <c r="Z180" s="2">
        <v>45135</v>
      </c>
      <c r="AA180" t="s">
        <v>1021</v>
      </c>
    </row>
    <row r="181" spans="1:27">
      <c r="A181" s="1" t="s">
        <v>206</v>
      </c>
      <c r="B181">
        <f>HYPERLINK("https://www.suredividend.com/sure-analysis-OGN/","Organon &amp; Co.")</f>
        <v>0</v>
      </c>
      <c r="C181" t="s">
        <v>898</v>
      </c>
      <c r="D181">
        <v>22</v>
      </c>
      <c r="E181">
        <v>19.27</v>
      </c>
      <c r="F181">
        <v>30</v>
      </c>
      <c r="G181">
        <v>0.6423333333333333</v>
      </c>
      <c r="H181">
        <v>0.05812143227815258</v>
      </c>
      <c r="I181">
        <v>0.09256657008467695</v>
      </c>
      <c r="J181">
        <v>0.03</v>
      </c>
      <c r="K181">
        <v>0.162476643921424</v>
      </c>
      <c r="L181" t="s">
        <v>902</v>
      </c>
      <c r="M181" t="s">
        <v>901</v>
      </c>
      <c r="N181">
        <v>4.429885057471265</v>
      </c>
      <c r="O181">
        <v>4.35</v>
      </c>
      <c r="P181">
        <v>1.12</v>
      </c>
      <c r="Q181">
        <v>0.2574712643678161</v>
      </c>
      <c r="R181">
        <v>1</v>
      </c>
      <c r="S181">
        <v>0.03025579475561258</v>
      </c>
      <c r="T181" t="s">
        <v>932</v>
      </c>
      <c r="U181">
        <v>-0.305617568161279</v>
      </c>
      <c r="V181" t="s">
        <v>1004</v>
      </c>
      <c r="W181" t="s">
        <v>1008</v>
      </c>
      <c r="X181" t="s">
        <v>1014</v>
      </c>
      <c r="Y181">
        <v>4968.24816</v>
      </c>
      <c r="Z181" s="2">
        <v>45158</v>
      </c>
      <c r="AA181" t="s">
        <v>1021</v>
      </c>
    </row>
    <row r="182" spans="1:27">
      <c r="A182" s="1" t="s">
        <v>207</v>
      </c>
      <c r="B182">
        <f>HYPERLINK("https://www.suredividend.com/sure-analysis-RMD/","Resmed Inc.")</f>
        <v>0</v>
      </c>
      <c r="C182" t="s">
        <v>898</v>
      </c>
      <c r="D182">
        <v>174</v>
      </c>
      <c r="E182">
        <v>146.34</v>
      </c>
      <c r="F182">
        <v>168</v>
      </c>
      <c r="G182">
        <v>0.8710714285714286</v>
      </c>
      <c r="H182">
        <v>0.01312013120131201</v>
      </c>
      <c r="I182">
        <v>0.02799084318886558</v>
      </c>
      <c r="J182">
        <v>0.12</v>
      </c>
      <c r="K182">
        <v>0.1612033612391059</v>
      </c>
      <c r="L182" t="s">
        <v>902</v>
      </c>
      <c r="M182" t="s">
        <v>825</v>
      </c>
      <c r="N182">
        <v>20.90571428571429</v>
      </c>
      <c r="O182">
        <v>7</v>
      </c>
      <c r="P182">
        <v>1.92</v>
      </c>
      <c r="Q182">
        <v>0.2742857142857143</v>
      </c>
      <c r="R182">
        <v>3</v>
      </c>
      <c r="S182">
        <v>0.09984491222048941</v>
      </c>
      <c r="T182" t="s">
        <v>936</v>
      </c>
      <c r="U182">
        <v>-0.368726248309201</v>
      </c>
      <c r="V182" t="s">
        <v>1004</v>
      </c>
      <c r="W182" t="s">
        <v>1008</v>
      </c>
      <c r="X182" t="s">
        <v>1014</v>
      </c>
      <c r="Y182">
        <v>21909.227054</v>
      </c>
      <c r="Z182" s="2">
        <v>45155</v>
      </c>
      <c r="AA182" t="s">
        <v>1028</v>
      </c>
    </row>
    <row r="183" spans="1:27">
      <c r="A183" s="1" t="s">
        <v>208</v>
      </c>
      <c r="B183">
        <f>HYPERLINK("https://www.suredividend.com/sure-analysis-BIP/","Brookfield Infrastructure Partners L.P")</f>
        <v>0</v>
      </c>
      <c r="C183" t="s">
        <v>898</v>
      </c>
      <c r="D183">
        <v>32</v>
      </c>
      <c r="E183">
        <v>32.04</v>
      </c>
      <c r="F183">
        <v>41</v>
      </c>
      <c r="G183">
        <v>0.7814634146341464</v>
      </c>
      <c r="H183">
        <v>0.04775280898876404</v>
      </c>
      <c r="I183">
        <v>0.0505537319257241</v>
      </c>
      <c r="J183">
        <v>0.07000000000000001</v>
      </c>
      <c r="K183">
        <v>0.157781363058733</v>
      </c>
      <c r="L183" t="s">
        <v>902</v>
      </c>
      <c r="M183" t="s">
        <v>901</v>
      </c>
      <c r="N183">
        <v>11.04827586206897</v>
      </c>
      <c r="O183">
        <v>2.9</v>
      </c>
      <c r="P183">
        <v>1.53</v>
      </c>
      <c r="Q183">
        <v>0.5275862068965518</v>
      </c>
      <c r="R183">
        <v>14</v>
      </c>
      <c r="S183">
        <v>0.06026026557747</v>
      </c>
      <c r="T183" t="s">
        <v>925</v>
      </c>
      <c r="U183">
        <v>-0.226450924539198</v>
      </c>
      <c r="V183" t="s">
        <v>1006</v>
      </c>
      <c r="W183" t="s">
        <v>1009</v>
      </c>
      <c r="X183" t="s">
        <v>1018</v>
      </c>
      <c r="Y183">
        <v>14501.137792</v>
      </c>
      <c r="Z183" s="2">
        <v>45141</v>
      </c>
      <c r="AA183" t="s">
        <v>1036</v>
      </c>
    </row>
    <row r="184" spans="1:27">
      <c r="A184" s="1" t="s">
        <v>209</v>
      </c>
      <c r="B184">
        <f>HYPERLINK("https://www.suredividend.com/sure-analysis-CVS/","CVS Health Corp")</f>
        <v>0</v>
      </c>
      <c r="C184" t="s">
        <v>898</v>
      </c>
      <c r="D184">
        <v>73</v>
      </c>
      <c r="E184">
        <v>70.23999999999999</v>
      </c>
      <c r="F184">
        <v>95</v>
      </c>
      <c r="G184">
        <v>0.7393684210526316</v>
      </c>
      <c r="H184">
        <v>0.03445330296127563</v>
      </c>
      <c r="I184">
        <v>0.06225264335075242</v>
      </c>
      <c r="J184">
        <v>0.06</v>
      </c>
      <c r="K184">
        <v>0.1505174489673491</v>
      </c>
      <c r="L184" t="s">
        <v>902</v>
      </c>
      <c r="M184" t="s">
        <v>902</v>
      </c>
      <c r="N184">
        <v>8.167441860465116</v>
      </c>
      <c r="O184">
        <v>8.6</v>
      </c>
      <c r="P184">
        <v>2.42</v>
      </c>
      <c r="Q184">
        <v>0.2813953488372093</v>
      </c>
      <c r="R184">
        <v>2</v>
      </c>
      <c r="S184">
        <v>0.06009778930179466</v>
      </c>
      <c r="T184" t="s">
        <v>935</v>
      </c>
      <c r="U184">
        <v>-0.295288365162942</v>
      </c>
      <c r="V184" t="s">
        <v>1004</v>
      </c>
      <c r="W184" t="s">
        <v>1008</v>
      </c>
      <c r="X184" t="s">
        <v>1014</v>
      </c>
      <c r="Y184">
        <v>90575.815223</v>
      </c>
      <c r="Z184" s="2">
        <v>45146</v>
      </c>
      <c r="AA184" t="s">
        <v>1021</v>
      </c>
    </row>
    <row r="185" spans="1:27">
      <c r="A185" s="1" t="s">
        <v>210</v>
      </c>
      <c r="B185">
        <f>HYPERLINK("https://www.suredividend.com/sure-analysis-UGI/","UGI Corp.")</f>
        <v>0</v>
      </c>
      <c r="C185" t="s">
        <v>898</v>
      </c>
      <c r="D185">
        <v>23</v>
      </c>
      <c r="E185">
        <v>23.285</v>
      </c>
      <c r="F185">
        <v>31</v>
      </c>
      <c r="G185">
        <v>0.7511290322580645</v>
      </c>
      <c r="H185">
        <v>0.06441915396177797</v>
      </c>
      <c r="I185">
        <v>0.05890522267275089</v>
      </c>
      <c r="J185">
        <v>0.046</v>
      </c>
      <c r="K185">
        <v>0.1503551937597041</v>
      </c>
      <c r="L185" t="s">
        <v>902</v>
      </c>
      <c r="M185" t="s">
        <v>901</v>
      </c>
      <c r="N185">
        <v>8.31607142857143</v>
      </c>
      <c r="O185">
        <v>2.8</v>
      </c>
      <c r="P185">
        <v>1.5</v>
      </c>
      <c r="Q185">
        <v>0.5357142857142857</v>
      </c>
      <c r="R185">
        <v>36</v>
      </c>
      <c r="S185">
        <v>0.02534857565773274</v>
      </c>
      <c r="T185" t="s">
        <v>912</v>
      </c>
      <c r="U185">
        <v>-0.377454667000919</v>
      </c>
      <c r="V185" t="s">
        <v>1004</v>
      </c>
      <c r="W185" t="s">
        <v>1008</v>
      </c>
      <c r="X185" t="s">
        <v>1018</v>
      </c>
      <c r="Y185">
        <v>4993.973972</v>
      </c>
      <c r="Z185" s="2">
        <v>45167</v>
      </c>
      <c r="AA185" t="s">
        <v>1033</v>
      </c>
    </row>
    <row r="186" spans="1:27">
      <c r="A186" s="1" t="s">
        <v>211</v>
      </c>
      <c r="B186">
        <f>HYPERLINK("https://www.suredividend.com/sure-analysis-ENB/","Enbridge Inc")</f>
        <v>0</v>
      </c>
      <c r="C186" t="s">
        <v>898</v>
      </c>
      <c r="D186">
        <v>35</v>
      </c>
      <c r="E186">
        <v>34.32</v>
      </c>
      <c r="F186">
        <v>44</v>
      </c>
      <c r="G186">
        <v>0.78</v>
      </c>
      <c r="H186">
        <v>0.07663170163170163</v>
      </c>
      <c r="I186">
        <v>0.0509476404473832</v>
      </c>
      <c r="J186">
        <v>0.04</v>
      </c>
      <c r="K186">
        <v>0.1484818974605089</v>
      </c>
      <c r="L186" t="s">
        <v>902</v>
      </c>
      <c r="M186" t="s">
        <v>901</v>
      </c>
      <c r="N186">
        <v>8.537313432835822</v>
      </c>
      <c r="O186">
        <v>4.02</v>
      </c>
      <c r="P186">
        <v>2.63</v>
      </c>
      <c r="Q186">
        <v>0.6542288557213931</v>
      </c>
      <c r="R186">
        <v>27</v>
      </c>
      <c r="S186">
        <v>0.04516201872514691</v>
      </c>
      <c r="T186" t="s">
        <v>917</v>
      </c>
      <c r="U186">
        <v>-0.14460315750176</v>
      </c>
      <c r="V186" t="s">
        <v>1004</v>
      </c>
      <c r="W186" t="s">
        <v>1009</v>
      </c>
      <c r="X186" t="s">
        <v>1020</v>
      </c>
      <c r="Y186">
        <v>72567.09970599999</v>
      </c>
      <c r="Z186" s="2">
        <v>45158</v>
      </c>
      <c r="AA186" t="s">
        <v>1028</v>
      </c>
    </row>
    <row r="187" spans="1:27">
      <c r="A187" s="1" t="s">
        <v>212</v>
      </c>
      <c r="B187">
        <f>HYPERLINK("https://www.suredividend.com/sure-analysis-UNH/","Unitedhealth Group Inc")</f>
        <v>0</v>
      </c>
      <c r="C187" t="s">
        <v>898</v>
      </c>
      <c r="D187">
        <v>480</v>
      </c>
      <c r="E187">
        <v>479.84</v>
      </c>
      <c r="F187">
        <v>497</v>
      </c>
      <c r="G187">
        <v>0.9654728370221327</v>
      </c>
      <c r="H187">
        <v>0.01567189063021007</v>
      </c>
      <c r="I187">
        <v>0.007052212775704891</v>
      </c>
      <c r="J187">
        <v>0.12</v>
      </c>
      <c r="K187">
        <v>0.1421297149248004</v>
      </c>
      <c r="L187" t="s">
        <v>902</v>
      </c>
      <c r="M187" t="s">
        <v>580</v>
      </c>
      <c r="N187">
        <v>19.30945674044266</v>
      </c>
      <c r="O187">
        <v>24.85</v>
      </c>
      <c r="P187">
        <v>7.52</v>
      </c>
      <c r="Q187">
        <v>0.3026156941649899</v>
      </c>
      <c r="R187">
        <v>14</v>
      </c>
      <c r="S187">
        <v>0.1400138937124107</v>
      </c>
      <c r="T187" t="s">
        <v>962</v>
      </c>
      <c r="U187">
        <v>-0.083359294314631</v>
      </c>
      <c r="V187" t="s">
        <v>1004</v>
      </c>
      <c r="W187" t="s">
        <v>1008</v>
      </c>
      <c r="X187" t="s">
        <v>1014</v>
      </c>
      <c r="Y187">
        <v>444533.836206</v>
      </c>
      <c r="Z187" s="2">
        <v>45124</v>
      </c>
      <c r="AA187" t="s">
        <v>1030</v>
      </c>
    </row>
    <row r="188" spans="1:27">
      <c r="A188" s="1" t="s">
        <v>213</v>
      </c>
      <c r="B188">
        <f>HYPERLINK("https://www.suredividend.com/sure-analysis-MTB/","M &amp; T Bank Corp")</f>
        <v>0</v>
      </c>
      <c r="C188" t="s">
        <v>898</v>
      </c>
      <c r="D188">
        <v>138</v>
      </c>
      <c r="E188">
        <v>126.17</v>
      </c>
      <c r="F188">
        <v>159</v>
      </c>
      <c r="G188">
        <v>0.7935220125786163</v>
      </c>
      <c r="H188">
        <v>0.04121423476262186</v>
      </c>
      <c r="I188">
        <v>0.04734123914919941</v>
      </c>
      <c r="J188">
        <v>0.06</v>
      </c>
      <c r="K188">
        <v>0.1408653178263386</v>
      </c>
      <c r="L188" t="s">
        <v>902</v>
      </c>
      <c r="M188" t="s">
        <v>901</v>
      </c>
      <c r="N188">
        <v>7.940213971050976</v>
      </c>
      <c r="O188">
        <v>15.89</v>
      </c>
      <c r="P188">
        <v>5.2</v>
      </c>
      <c r="Q188">
        <v>0.3272498426683449</v>
      </c>
      <c r="R188">
        <v>7</v>
      </c>
      <c r="S188">
        <v>0.06003737798448272</v>
      </c>
      <c r="T188" t="s">
        <v>916</v>
      </c>
      <c r="U188">
        <v>-0.294564593249351</v>
      </c>
      <c r="V188" t="s">
        <v>1004</v>
      </c>
      <c r="W188" t="s">
        <v>1008</v>
      </c>
      <c r="X188" t="s">
        <v>1015</v>
      </c>
      <c r="Y188">
        <v>21508.602712</v>
      </c>
      <c r="Z188" s="2">
        <v>45127</v>
      </c>
      <c r="AA188" t="s">
        <v>1021</v>
      </c>
    </row>
    <row r="189" spans="1:27">
      <c r="A189" s="1" t="s">
        <v>214</v>
      </c>
      <c r="B189">
        <f>HYPERLINK("https://www.suredividend.com/sure-analysis-CI/","Cigna Group (The)")</f>
        <v>0</v>
      </c>
      <c r="C189" t="s">
        <v>898</v>
      </c>
      <c r="D189">
        <v>287</v>
      </c>
      <c r="E189">
        <v>285.21</v>
      </c>
      <c r="F189">
        <v>321</v>
      </c>
      <c r="G189">
        <v>0.8885046728971961</v>
      </c>
      <c r="H189">
        <v>0.01725044703902388</v>
      </c>
      <c r="I189">
        <v>0.02392478771038631</v>
      </c>
      <c r="J189">
        <v>0.1</v>
      </c>
      <c r="K189">
        <v>0.1384903591467963</v>
      </c>
      <c r="L189" t="s">
        <v>902</v>
      </c>
      <c r="M189" t="s">
        <v>580</v>
      </c>
      <c r="N189">
        <v>11.54696356275304</v>
      </c>
      <c r="O189">
        <v>24.7</v>
      </c>
      <c r="P189">
        <v>4.92</v>
      </c>
      <c r="Q189">
        <v>0.1991902834008097</v>
      </c>
      <c r="R189">
        <v>3</v>
      </c>
      <c r="S189">
        <v>0.05002323237405015</v>
      </c>
      <c r="T189" t="s">
        <v>940</v>
      </c>
      <c r="U189">
        <v>-0.009352599321451001</v>
      </c>
      <c r="V189" t="s">
        <v>1004</v>
      </c>
      <c r="W189" t="s">
        <v>1008</v>
      </c>
      <c r="X189" t="s">
        <v>1014</v>
      </c>
      <c r="Y189">
        <v>84807.18808199999</v>
      </c>
      <c r="Z189" s="2">
        <v>45146</v>
      </c>
      <c r="AA189" t="s">
        <v>1021</v>
      </c>
    </row>
    <row r="190" spans="1:27">
      <c r="A190" s="1" t="s">
        <v>215</v>
      </c>
      <c r="B190">
        <f>HYPERLINK("https://www.suredividend.com/sure-analysis-CP/","Canadian Pacific Kansas City Limited")</f>
        <v>0</v>
      </c>
      <c r="C190" t="s">
        <v>898</v>
      </c>
      <c r="D190">
        <v>83</v>
      </c>
      <c r="E190">
        <v>78</v>
      </c>
      <c r="F190">
        <v>78</v>
      </c>
      <c r="G190">
        <v>1</v>
      </c>
      <c r="H190">
        <v>0.007435897435897436</v>
      </c>
      <c r="I190">
        <v>0</v>
      </c>
      <c r="J190">
        <v>0.13</v>
      </c>
      <c r="K190">
        <v>0.1380182770723328</v>
      </c>
      <c r="L190" t="s">
        <v>902</v>
      </c>
      <c r="M190" t="s">
        <v>825</v>
      </c>
      <c r="N190">
        <v>24.07407407407407</v>
      </c>
      <c r="O190">
        <v>3.24</v>
      </c>
      <c r="P190">
        <v>0.58</v>
      </c>
      <c r="Q190">
        <v>0.1790123456790123</v>
      </c>
      <c r="R190">
        <v>0</v>
      </c>
      <c r="S190">
        <v>0.1994631213496398</v>
      </c>
      <c r="T190" t="s">
        <v>911</v>
      </c>
      <c r="U190">
        <v>-0.019800930204372</v>
      </c>
      <c r="V190" t="s">
        <v>1004</v>
      </c>
      <c r="W190" t="s">
        <v>1009</v>
      </c>
      <c r="X190" t="s">
        <v>1012</v>
      </c>
      <c r="Y190">
        <v>72327.125778</v>
      </c>
      <c r="Z190" s="2">
        <v>45138</v>
      </c>
      <c r="AA190" t="s">
        <v>1036</v>
      </c>
    </row>
    <row r="191" spans="1:27">
      <c r="A191" s="1" t="s">
        <v>216</v>
      </c>
      <c r="B191">
        <f>HYPERLINK("https://www.suredividend.com/sure-analysis-CM/","Canadian Imperial Bank Of Commerce")</f>
        <v>0</v>
      </c>
      <c r="C191" t="s">
        <v>898</v>
      </c>
      <c r="D191">
        <v>40</v>
      </c>
      <c r="E191">
        <v>40.27</v>
      </c>
      <c r="F191">
        <v>50</v>
      </c>
      <c r="G191">
        <v>0.8054000000000001</v>
      </c>
      <c r="H191">
        <v>0.06381922026322323</v>
      </c>
      <c r="I191">
        <v>0.04423362808216402</v>
      </c>
      <c r="J191">
        <v>0.04</v>
      </c>
      <c r="K191">
        <v>0.13467811128327</v>
      </c>
      <c r="L191" t="s">
        <v>902</v>
      </c>
      <c r="M191" t="s">
        <v>901</v>
      </c>
      <c r="N191">
        <v>8.02191235059761</v>
      </c>
      <c r="O191">
        <v>5.02</v>
      </c>
      <c r="P191">
        <v>2.57</v>
      </c>
      <c r="Q191">
        <v>0.5119521912350598</v>
      </c>
      <c r="R191">
        <v>12</v>
      </c>
      <c r="S191">
        <v>0.04999720755848358</v>
      </c>
      <c r="T191" t="s">
        <v>963</v>
      </c>
      <c r="U191">
        <v>-0.147540983606557</v>
      </c>
      <c r="V191" t="s">
        <v>1004</v>
      </c>
      <c r="W191" t="s">
        <v>1009</v>
      </c>
      <c r="X191" t="s">
        <v>1015</v>
      </c>
      <c r="Y191">
        <v>36879.730162</v>
      </c>
      <c r="Z191" s="2">
        <v>45175</v>
      </c>
      <c r="AA191" t="s">
        <v>1036</v>
      </c>
    </row>
    <row r="192" spans="1:27">
      <c r="A192" s="1" t="s">
        <v>217</v>
      </c>
      <c r="B192">
        <f>HYPERLINK("https://www.suredividend.com/sure-analysis-MORN/","Morningstar Inc")</f>
        <v>0</v>
      </c>
      <c r="C192" t="s">
        <v>899</v>
      </c>
      <c r="D192">
        <v>225</v>
      </c>
      <c r="E192">
        <v>248.97</v>
      </c>
      <c r="F192">
        <v>225</v>
      </c>
      <c r="G192">
        <v>1.106533333333333</v>
      </c>
      <c r="H192">
        <v>0.006024822267743102</v>
      </c>
      <c r="I192">
        <v>-0.0200428188878794</v>
      </c>
      <c r="J192">
        <v>0.15</v>
      </c>
      <c r="K192">
        <v>0.1316394800145864</v>
      </c>
      <c r="L192" t="s">
        <v>902</v>
      </c>
      <c r="M192" t="s">
        <v>825</v>
      </c>
      <c r="N192">
        <v>61.47407407407407</v>
      </c>
      <c r="O192">
        <v>4.05</v>
      </c>
      <c r="P192">
        <v>1.5</v>
      </c>
      <c r="Q192">
        <v>0.3703703703703704</v>
      </c>
      <c r="R192">
        <v>12</v>
      </c>
      <c r="S192">
        <v>0.0796084730466029</v>
      </c>
      <c r="T192" t="s">
        <v>907</v>
      </c>
      <c r="U192">
        <v>0.028719269592048</v>
      </c>
      <c r="V192" t="s">
        <v>1004</v>
      </c>
      <c r="W192" t="s">
        <v>1008</v>
      </c>
      <c r="X192" t="s">
        <v>1015</v>
      </c>
      <c r="Y192">
        <v>10671.102666</v>
      </c>
      <c r="Z192" s="2">
        <v>45143</v>
      </c>
      <c r="AA192" t="s">
        <v>1030</v>
      </c>
    </row>
    <row r="193" spans="1:27">
      <c r="A193" s="1" t="s">
        <v>218</v>
      </c>
      <c r="B193">
        <f>HYPERLINK("https://www.suredividend.com/sure-analysis-OTTR/","Otter Tail Corporation")</f>
        <v>0</v>
      </c>
      <c r="C193" t="s">
        <v>898</v>
      </c>
      <c r="D193">
        <v>81.59999999999999</v>
      </c>
      <c r="E193">
        <v>75.94</v>
      </c>
      <c r="F193">
        <v>117</v>
      </c>
      <c r="G193">
        <v>0.6490598290598291</v>
      </c>
      <c r="H193">
        <v>0.02304450882275481</v>
      </c>
      <c r="I193">
        <v>0.09029257319457207</v>
      </c>
      <c r="J193">
        <v>0.021</v>
      </c>
      <c r="K193">
        <v>0.1312741972559539</v>
      </c>
      <c r="L193" t="s">
        <v>902</v>
      </c>
      <c r="M193" t="s">
        <v>902</v>
      </c>
      <c r="N193">
        <v>12.98119658119658</v>
      </c>
      <c r="O193">
        <v>5.85</v>
      </c>
      <c r="P193">
        <v>1.75</v>
      </c>
      <c r="Q193">
        <v>0.2991452991452991</v>
      </c>
      <c r="R193">
        <v>10</v>
      </c>
      <c r="S193">
        <v>0.07394092378577932</v>
      </c>
      <c r="T193" t="s">
        <v>917</v>
      </c>
      <c r="U193">
        <v>0.036607901458833</v>
      </c>
      <c r="V193" t="s">
        <v>1004</v>
      </c>
      <c r="W193" t="s">
        <v>1008</v>
      </c>
      <c r="X193" t="s">
        <v>1018</v>
      </c>
      <c r="Y193">
        <v>3170.416701</v>
      </c>
      <c r="Z193" s="2">
        <v>45167</v>
      </c>
      <c r="AA193" t="s">
        <v>1033</v>
      </c>
    </row>
    <row r="194" spans="1:27">
      <c r="A194" s="1" t="s">
        <v>219</v>
      </c>
      <c r="B194">
        <f>HYPERLINK("https://www.suredividend.com/sure-analysis-FMC/","FMC Corp.")</f>
        <v>0</v>
      </c>
      <c r="C194" t="s">
        <v>899</v>
      </c>
      <c r="D194">
        <v>93</v>
      </c>
      <c r="E194">
        <v>75.31</v>
      </c>
      <c r="F194">
        <v>92</v>
      </c>
      <c r="G194">
        <v>0.8185869565217392</v>
      </c>
      <c r="H194">
        <v>0.03080600185898287</v>
      </c>
      <c r="I194">
        <v>0.04084733829559606</v>
      </c>
      <c r="J194">
        <v>0.06</v>
      </c>
      <c r="K194">
        <v>0.1299231036505168</v>
      </c>
      <c r="L194" t="s">
        <v>902</v>
      </c>
      <c r="M194" t="s">
        <v>902</v>
      </c>
      <c r="N194">
        <v>12.34590163934426</v>
      </c>
      <c r="O194">
        <v>6.1</v>
      </c>
      <c r="P194">
        <v>2.32</v>
      </c>
      <c r="Q194">
        <v>0.380327868852459</v>
      </c>
      <c r="R194">
        <v>5</v>
      </c>
      <c r="S194">
        <v>0.1002128764755552</v>
      </c>
      <c r="T194" t="s">
        <v>911</v>
      </c>
      <c r="U194">
        <v>-0.322805614983636</v>
      </c>
      <c r="V194" t="s">
        <v>1004</v>
      </c>
      <c r="W194" t="s">
        <v>1008</v>
      </c>
      <c r="X194" t="s">
        <v>1010</v>
      </c>
      <c r="Y194">
        <v>9361.251802000001</v>
      </c>
      <c r="Z194" s="2">
        <v>45141</v>
      </c>
      <c r="AA194" t="s">
        <v>1023</v>
      </c>
    </row>
    <row r="195" spans="1:27">
      <c r="A195" s="1" t="s">
        <v>220</v>
      </c>
      <c r="B195">
        <f>HYPERLINK("https://www.suredividend.com/sure-analysis-TD/","Toronto Dominion Bank")</f>
        <v>0</v>
      </c>
      <c r="C195" t="s">
        <v>898</v>
      </c>
      <c r="D195">
        <v>60</v>
      </c>
      <c r="E195">
        <v>61.07</v>
      </c>
      <c r="F195">
        <v>71</v>
      </c>
      <c r="G195">
        <v>0.8601408450704225</v>
      </c>
      <c r="H195">
        <v>0.04650401178974947</v>
      </c>
      <c r="I195">
        <v>0.03059038356704047</v>
      </c>
      <c r="J195">
        <v>0.06</v>
      </c>
      <c r="K195">
        <v>0.1293704402693046</v>
      </c>
      <c r="L195" t="s">
        <v>902</v>
      </c>
      <c r="M195" t="s">
        <v>901</v>
      </c>
      <c r="N195">
        <v>10.11092715231788</v>
      </c>
      <c r="O195">
        <v>6.04</v>
      </c>
      <c r="P195">
        <v>2.84</v>
      </c>
      <c r="Q195">
        <v>0.4701986754966887</v>
      </c>
      <c r="R195">
        <v>12</v>
      </c>
      <c r="S195">
        <v>0.06439463561954772</v>
      </c>
      <c r="T195" t="s">
        <v>921</v>
      </c>
      <c r="U195">
        <v>-0.075874967011878</v>
      </c>
      <c r="V195" t="s">
        <v>1004</v>
      </c>
      <c r="W195" t="s">
        <v>1009</v>
      </c>
      <c r="X195" t="s">
        <v>1015</v>
      </c>
      <c r="Y195">
        <v>110707.336761</v>
      </c>
      <c r="Z195" s="2">
        <v>45167</v>
      </c>
      <c r="AA195" t="s">
        <v>1036</v>
      </c>
    </row>
    <row r="196" spans="1:27">
      <c r="A196" s="1" t="s">
        <v>221</v>
      </c>
      <c r="B196">
        <f>HYPERLINK("https://www.suredividend.com/sure-analysis-PDCO/","Patterson Companies Inc.")</f>
        <v>0</v>
      </c>
      <c r="C196" t="s">
        <v>899</v>
      </c>
      <c r="D196">
        <v>32</v>
      </c>
      <c r="E196">
        <v>28.06</v>
      </c>
      <c r="F196">
        <v>38</v>
      </c>
      <c r="G196">
        <v>0.7384210526315789</v>
      </c>
      <c r="H196">
        <v>0.03706343549536707</v>
      </c>
      <c r="I196">
        <v>0.06252507018936981</v>
      </c>
      <c r="J196">
        <v>0.04</v>
      </c>
      <c r="K196">
        <v>0.1288351330629487</v>
      </c>
      <c r="L196" t="s">
        <v>902</v>
      </c>
      <c r="M196" t="s">
        <v>902</v>
      </c>
      <c r="N196">
        <v>11.224</v>
      </c>
      <c r="O196">
        <v>2.5</v>
      </c>
      <c r="P196">
        <v>1.04</v>
      </c>
      <c r="Q196">
        <v>0.416</v>
      </c>
      <c r="R196">
        <v>0</v>
      </c>
      <c r="S196">
        <v>0</v>
      </c>
      <c r="T196" t="s">
        <v>935</v>
      </c>
      <c r="U196">
        <v>0.112246230422392</v>
      </c>
      <c r="V196" t="s">
        <v>1004</v>
      </c>
      <c r="W196" t="s">
        <v>1008</v>
      </c>
      <c r="X196" t="s">
        <v>1014</v>
      </c>
      <c r="Y196">
        <v>2775.816</v>
      </c>
      <c r="Z196" s="2">
        <v>45103</v>
      </c>
      <c r="AA196" t="s">
        <v>1029</v>
      </c>
    </row>
    <row r="197" spans="1:27">
      <c r="A197" s="1" t="s">
        <v>222</v>
      </c>
      <c r="B197">
        <f>HYPERLINK("https://www.suredividend.com/sure-analysis-QCOM/","Qualcomm, Inc.")</f>
        <v>0</v>
      </c>
      <c r="C197" t="s">
        <v>898</v>
      </c>
      <c r="D197">
        <v>119</v>
      </c>
      <c r="E197">
        <v>112.64</v>
      </c>
      <c r="F197">
        <v>133</v>
      </c>
      <c r="G197">
        <v>0.8469172932330827</v>
      </c>
      <c r="H197">
        <v>0.02840909090909091</v>
      </c>
      <c r="I197">
        <v>0.03378874547619626</v>
      </c>
      <c r="J197">
        <v>0.07000000000000001</v>
      </c>
      <c r="K197">
        <v>0.128584100304898</v>
      </c>
      <c r="L197" t="s">
        <v>902</v>
      </c>
      <c r="M197" t="s">
        <v>902</v>
      </c>
      <c r="N197">
        <v>13.5710843373494</v>
      </c>
      <c r="O197">
        <v>8.300000000000001</v>
      </c>
      <c r="P197">
        <v>3.2</v>
      </c>
      <c r="Q197">
        <v>0.3855421686746988</v>
      </c>
      <c r="R197">
        <v>21</v>
      </c>
      <c r="S197">
        <v>0.07008745458377241</v>
      </c>
      <c r="T197" t="s">
        <v>925</v>
      </c>
      <c r="U197">
        <v>-0.129207369678598</v>
      </c>
      <c r="V197" t="s">
        <v>1004</v>
      </c>
      <c r="W197" t="s">
        <v>1008</v>
      </c>
      <c r="X197" t="s">
        <v>1016</v>
      </c>
      <c r="Y197">
        <v>124132.68</v>
      </c>
      <c r="Z197" s="2">
        <v>45143</v>
      </c>
      <c r="AA197" t="s">
        <v>1021</v>
      </c>
    </row>
    <row r="198" spans="1:27">
      <c r="A198" s="1" t="s">
        <v>223</v>
      </c>
      <c r="B198">
        <f>HYPERLINK("https://www.suredividend.com/sure-analysis-SBAC/","SBA Communications Corp")</f>
        <v>0</v>
      </c>
      <c r="C198" t="s">
        <v>898</v>
      </c>
      <c r="D198">
        <v>228</v>
      </c>
      <c r="E198">
        <v>212.325</v>
      </c>
      <c r="F198">
        <v>234</v>
      </c>
      <c r="G198">
        <v>0.9073717948717949</v>
      </c>
      <c r="H198">
        <v>0.01601318733074297</v>
      </c>
      <c r="I198">
        <v>0.01963079811376067</v>
      </c>
      <c r="J198">
        <v>0.09</v>
      </c>
      <c r="K198">
        <v>0.128580820841472</v>
      </c>
      <c r="L198" t="s">
        <v>902</v>
      </c>
      <c r="M198" t="s">
        <v>580</v>
      </c>
      <c r="N198">
        <v>16.35785824345146</v>
      </c>
      <c r="O198">
        <v>12.98</v>
      </c>
      <c r="P198">
        <v>3.4</v>
      </c>
      <c r="Q198">
        <v>0.2619414483821264</v>
      </c>
      <c r="R198">
        <v>4</v>
      </c>
      <c r="S198">
        <v>0.1800492575746233</v>
      </c>
      <c r="T198" t="s">
        <v>959</v>
      </c>
      <c r="U198">
        <v>-0.343225999377418</v>
      </c>
      <c r="V198" t="s">
        <v>1004</v>
      </c>
      <c r="W198" t="s">
        <v>1008</v>
      </c>
      <c r="X198" t="s">
        <v>1016</v>
      </c>
      <c r="Y198">
        <v>23232.920717</v>
      </c>
      <c r="Z198" s="2">
        <v>45139</v>
      </c>
      <c r="AA198" t="s">
        <v>1032</v>
      </c>
    </row>
    <row r="199" spans="1:27">
      <c r="A199" s="1" t="s">
        <v>224</v>
      </c>
      <c r="B199">
        <f>HYPERLINK("https://www.suredividend.com/sure-analysis-MO/","Altria Group Inc.")</f>
        <v>0</v>
      </c>
      <c r="C199" t="s">
        <v>898</v>
      </c>
      <c r="D199">
        <v>43.1</v>
      </c>
      <c r="E199">
        <v>43.77</v>
      </c>
      <c r="F199">
        <v>54.6</v>
      </c>
      <c r="G199">
        <v>0.8016483516483517</v>
      </c>
      <c r="H199">
        <v>0.08955905871601552</v>
      </c>
      <c r="I199">
        <v>0.04520918906805127</v>
      </c>
      <c r="J199">
        <v>0.017</v>
      </c>
      <c r="K199">
        <v>0.1281370787368721</v>
      </c>
      <c r="L199" t="s">
        <v>902</v>
      </c>
      <c r="M199" t="s">
        <v>901</v>
      </c>
      <c r="N199">
        <v>8.82459677419355</v>
      </c>
      <c r="O199">
        <v>4.96</v>
      </c>
      <c r="P199">
        <v>3.92</v>
      </c>
      <c r="Q199">
        <v>0.7903225806451613</v>
      </c>
      <c r="R199">
        <v>54</v>
      </c>
      <c r="S199">
        <v>0.01629683389018166</v>
      </c>
      <c r="T199" t="s">
        <v>912</v>
      </c>
      <c r="U199">
        <v>0.081275167300041</v>
      </c>
      <c r="V199" t="s">
        <v>1004</v>
      </c>
      <c r="W199" t="s">
        <v>1008</v>
      </c>
      <c r="X199" t="s">
        <v>1011</v>
      </c>
      <c r="Y199">
        <v>79626.750027</v>
      </c>
      <c r="Z199" s="2">
        <v>45164</v>
      </c>
      <c r="AA199" t="s">
        <v>1033</v>
      </c>
    </row>
    <row r="200" spans="1:27">
      <c r="A200" s="1" t="s">
        <v>225</v>
      </c>
      <c r="B200">
        <f>HYPERLINK("https://www.suredividend.com/sure-analysis-DG/","Dollar General Corp.")</f>
        <v>0</v>
      </c>
      <c r="C200" t="s">
        <v>898</v>
      </c>
      <c r="D200">
        <v>127</v>
      </c>
      <c r="E200">
        <v>120</v>
      </c>
      <c r="F200">
        <v>139</v>
      </c>
      <c r="G200">
        <v>0.8633093525179856</v>
      </c>
      <c r="H200">
        <v>0.01966666666666667</v>
      </c>
      <c r="I200">
        <v>0.02983277847878951</v>
      </c>
      <c r="J200">
        <v>0.08</v>
      </c>
      <c r="K200">
        <v>0.1271760082447899</v>
      </c>
      <c r="L200" t="s">
        <v>902</v>
      </c>
      <c r="M200" t="s">
        <v>580</v>
      </c>
      <c r="N200">
        <v>15.58441558441558</v>
      </c>
      <c r="O200">
        <v>7.7</v>
      </c>
      <c r="P200">
        <v>2.36</v>
      </c>
      <c r="Q200">
        <v>0.3064935064935065</v>
      </c>
      <c r="R200">
        <v>9</v>
      </c>
      <c r="S200">
        <v>0.0601199707922162</v>
      </c>
      <c r="T200" t="s">
        <v>964</v>
      </c>
      <c r="U200">
        <v>-0.4932478725123061</v>
      </c>
      <c r="V200" t="s">
        <v>1004</v>
      </c>
      <c r="W200" t="s">
        <v>1008</v>
      </c>
      <c r="X200" t="s">
        <v>1011</v>
      </c>
      <c r="Y200">
        <v>27190.943213</v>
      </c>
      <c r="Z200" s="2">
        <v>45180</v>
      </c>
      <c r="AA200" t="s">
        <v>1029</v>
      </c>
    </row>
    <row r="201" spans="1:27">
      <c r="A201" s="1" t="s">
        <v>226</v>
      </c>
      <c r="B201">
        <f>HYPERLINK("https://www.suredividend.com/sure-analysis-PB/","Prosperity Bancshares Inc.")</f>
        <v>0</v>
      </c>
      <c r="C201" t="s">
        <v>898</v>
      </c>
      <c r="D201">
        <v>57</v>
      </c>
      <c r="E201">
        <v>55.39</v>
      </c>
      <c r="F201">
        <v>65</v>
      </c>
      <c r="G201">
        <v>0.8521538461538462</v>
      </c>
      <c r="H201">
        <v>0.0397183607149305</v>
      </c>
      <c r="I201">
        <v>0.03251506812282878</v>
      </c>
      <c r="J201">
        <v>0.06</v>
      </c>
      <c r="K201">
        <v>0.125810369930466</v>
      </c>
      <c r="L201" t="s">
        <v>902</v>
      </c>
      <c r="M201" t="s">
        <v>902</v>
      </c>
      <c r="N201">
        <v>11.078</v>
      </c>
      <c r="O201">
        <v>5</v>
      </c>
      <c r="P201">
        <v>2.2</v>
      </c>
      <c r="Q201">
        <v>0.4400000000000001</v>
      </c>
      <c r="R201">
        <v>19</v>
      </c>
      <c r="S201">
        <v>0.06114273740264831</v>
      </c>
      <c r="T201" t="s">
        <v>912</v>
      </c>
      <c r="U201">
        <v>-0.19785828448129</v>
      </c>
      <c r="V201" t="s">
        <v>1004</v>
      </c>
      <c r="W201" t="s">
        <v>1008</v>
      </c>
      <c r="X201" t="s">
        <v>1015</v>
      </c>
      <c r="Y201">
        <v>5254.080771</v>
      </c>
      <c r="Z201" s="2">
        <v>45155</v>
      </c>
      <c r="AA201" t="s">
        <v>1022</v>
      </c>
    </row>
    <row r="202" spans="1:27">
      <c r="A202" s="1" t="s">
        <v>227</v>
      </c>
      <c r="B202">
        <f>HYPERLINK("https://www.suredividend.com/sure-analysis-CASS/","Cass Information Systems Inc")</f>
        <v>0</v>
      </c>
      <c r="C202" t="s">
        <v>898</v>
      </c>
      <c r="D202">
        <v>39</v>
      </c>
      <c r="E202">
        <v>38.05</v>
      </c>
      <c r="F202">
        <v>51</v>
      </c>
      <c r="G202">
        <v>0.7460784313725489</v>
      </c>
      <c r="H202">
        <v>0.0304862023653088</v>
      </c>
      <c r="I202">
        <v>0.06033501458268886</v>
      </c>
      <c r="J202">
        <v>0.04</v>
      </c>
      <c r="K202">
        <v>0.1256909154568515</v>
      </c>
      <c r="L202" t="s">
        <v>902</v>
      </c>
      <c r="M202" t="s">
        <v>902</v>
      </c>
      <c r="N202">
        <v>17.13963963963964</v>
      </c>
      <c r="O202">
        <v>2.22</v>
      </c>
      <c r="P202">
        <v>1.16</v>
      </c>
      <c r="Q202">
        <v>0.5225225225225224</v>
      </c>
      <c r="R202">
        <v>22</v>
      </c>
      <c r="S202">
        <v>0.0499309672496191</v>
      </c>
      <c r="T202" t="s">
        <v>920</v>
      </c>
      <c r="U202">
        <v>0.07203884215240701</v>
      </c>
      <c r="V202" t="s">
        <v>1004</v>
      </c>
      <c r="W202" t="s">
        <v>1008</v>
      </c>
      <c r="X202" t="s">
        <v>1015</v>
      </c>
      <c r="Y202">
        <v>513.604169</v>
      </c>
      <c r="Z202" s="2">
        <v>45131</v>
      </c>
      <c r="AA202" t="s">
        <v>1024</v>
      </c>
    </row>
    <row r="203" spans="1:27">
      <c r="A203" s="1" t="s">
        <v>228</v>
      </c>
      <c r="B203">
        <f>HYPERLINK("https://www.suredividend.com/sure-analysis-NNN/","NNN REIT Inc")</f>
        <v>0</v>
      </c>
      <c r="C203" t="s">
        <v>898</v>
      </c>
      <c r="D203">
        <v>39.6</v>
      </c>
      <c r="E203">
        <v>37.98</v>
      </c>
      <c r="F203">
        <v>44.7</v>
      </c>
      <c r="G203">
        <v>0.8496644295302013</v>
      </c>
      <c r="H203">
        <v>0.05950500263296472</v>
      </c>
      <c r="I203">
        <v>0.03311938978894413</v>
      </c>
      <c r="J203">
        <v>0.046</v>
      </c>
      <c r="K203">
        <v>0.1253905687548629</v>
      </c>
      <c r="L203" t="s">
        <v>902</v>
      </c>
      <c r="M203" t="s">
        <v>901</v>
      </c>
      <c r="N203">
        <v>11.90595611285266</v>
      </c>
      <c r="O203">
        <v>3.19</v>
      </c>
      <c r="P203">
        <v>2.26</v>
      </c>
      <c r="Q203">
        <v>0.7084639498432601</v>
      </c>
      <c r="R203">
        <v>34</v>
      </c>
      <c r="S203">
        <v>0.036217839939227</v>
      </c>
      <c r="T203" t="s">
        <v>918</v>
      </c>
      <c r="U203">
        <v>-0.123199941194441</v>
      </c>
      <c r="V203" t="s">
        <v>1005</v>
      </c>
      <c r="W203" t="s">
        <v>1008</v>
      </c>
      <c r="X203" t="s">
        <v>1019</v>
      </c>
      <c r="Y203">
        <v>6962.64268</v>
      </c>
      <c r="Z203" s="2">
        <v>45167</v>
      </c>
      <c r="AA203" t="s">
        <v>1033</v>
      </c>
    </row>
    <row r="204" spans="1:27">
      <c r="A204" s="1" t="s">
        <v>229</v>
      </c>
      <c r="B204">
        <f>HYPERLINK("https://www.suredividend.com/sure-analysis-RCI/","Rogers Communications Inc.")</f>
        <v>0</v>
      </c>
      <c r="C204" t="s">
        <v>898</v>
      </c>
      <c r="D204">
        <v>40</v>
      </c>
      <c r="E204">
        <v>41.05</v>
      </c>
      <c r="F204">
        <v>48</v>
      </c>
      <c r="G204">
        <v>0.8552083333333332</v>
      </c>
      <c r="H204">
        <v>0.03605359317904994</v>
      </c>
      <c r="I204">
        <v>0.03177645993052725</v>
      </c>
      <c r="J204">
        <v>0.06</v>
      </c>
      <c r="K204">
        <v>0.1215709243371013</v>
      </c>
      <c r="L204" t="s">
        <v>902</v>
      </c>
      <c r="M204" t="s">
        <v>902</v>
      </c>
      <c r="N204">
        <v>12.828125</v>
      </c>
      <c r="O204">
        <v>3.2</v>
      </c>
      <c r="P204">
        <v>1.48</v>
      </c>
      <c r="Q204">
        <v>0.4625</v>
      </c>
      <c r="R204">
        <v>0</v>
      </c>
      <c r="S204">
        <v>0.05123152693949451</v>
      </c>
      <c r="T204" t="s">
        <v>924</v>
      </c>
      <c r="U204">
        <v>-0.019478713907304</v>
      </c>
      <c r="V204" t="s">
        <v>1004</v>
      </c>
      <c r="W204" t="s">
        <v>1009</v>
      </c>
      <c r="X204" t="s">
        <v>1017</v>
      </c>
      <c r="Y204">
        <v>16780.072829</v>
      </c>
      <c r="Z204" s="2">
        <v>45156</v>
      </c>
      <c r="AA204" t="s">
        <v>1022</v>
      </c>
    </row>
    <row r="205" spans="1:27">
      <c r="A205" s="1" t="s">
        <v>230</v>
      </c>
      <c r="B205">
        <f>HYPERLINK("https://www.suredividend.com/sure-analysis-TYCB/","Calvin b. Taylor Bankshares, Inc.")</f>
        <v>0</v>
      </c>
      <c r="C205" t="s">
        <v>898</v>
      </c>
      <c r="D205">
        <v>42</v>
      </c>
      <c r="E205">
        <v>42.2</v>
      </c>
      <c r="F205">
        <v>55</v>
      </c>
      <c r="G205">
        <v>0.7672727272727273</v>
      </c>
      <c r="H205">
        <v>0.03222748815165877</v>
      </c>
      <c r="I205">
        <v>0.05441129065156214</v>
      </c>
      <c r="J205">
        <v>0.04</v>
      </c>
      <c r="K205">
        <v>0.1213451389210207</v>
      </c>
      <c r="L205" t="s">
        <v>902</v>
      </c>
      <c r="M205" t="s">
        <v>902</v>
      </c>
      <c r="N205">
        <v>9.173913043478262</v>
      </c>
      <c r="O205">
        <v>4.6</v>
      </c>
      <c r="P205">
        <v>1.36</v>
      </c>
      <c r="Q205">
        <v>0.2956521739130435</v>
      </c>
      <c r="R205">
        <v>33</v>
      </c>
      <c r="S205">
        <v>0.0505145404837426</v>
      </c>
      <c r="T205" t="s">
        <v>911</v>
      </c>
      <c r="U205">
        <v>0.127296332012811</v>
      </c>
      <c r="V205" t="s">
        <v>1004</v>
      </c>
      <c r="W205" t="s">
        <v>1008</v>
      </c>
      <c r="X205" t="s">
        <v>1015</v>
      </c>
      <c r="Y205">
        <v>116.222429</v>
      </c>
      <c r="Z205" s="2">
        <v>45100</v>
      </c>
      <c r="AA205" t="s">
        <v>1028</v>
      </c>
    </row>
    <row r="206" spans="1:27">
      <c r="A206" s="1" t="s">
        <v>231</v>
      </c>
      <c r="B206">
        <f>HYPERLINK("https://www.suredividend.com/sure-analysis-NTIOF/","National Bank Of Canada")</f>
        <v>0</v>
      </c>
      <c r="C206" t="s">
        <v>898</v>
      </c>
      <c r="D206">
        <v>70</v>
      </c>
      <c r="E206">
        <v>69.23</v>
      </c>
      <c r="F206">
        <v>78</v>
      </c>
      <c r="G206">
        <v>0.8875641025641026</v>
      </c>
      <c r="H206">
        <v>0.04333381482016466</v>
      </c>
      <c r="I206">
        <v>0.02414171070212023</v>
      </c>
      <c r="J206">
        <v>0.06</v>
      </c>
      <c r="K206">
        <v>0.1205275597956159</v>
      </c>
      <c r="L206" t="s">
        <v>902</v>
      </c>
      <c r="M206" t="s">
        <v>901</v>
      </c>
      <c r="N206">
        <v>9.819858156028369</v>
      </c>
      <c r="O206">
        <v>7.05</v>
      </c>
      <c r="P206">
        <v>3</v>
      </c>
      <c r="Q206">
        <v>0.425531914893617</v>
      </c>
      <c r="R206">
        <v>12</v>
      </c>
      <c r="S206">
        <v>0.05975292415044642</v>
      </c>
      <c r="T206" t="s">
        <v>909</v>
      </c>
      <c r="U206">
        <v>-0.022894866212514</v>
      </c>
      <c r="V206" t="s">
        <v>1004</v>
      </c>
      <c r="W206" t="s">
        <v>1009</v>
      </c>
      <c r="X206" t="s">
        <v>1015</v>
      </c>
      <c r="Y206">
        <v>23527.645572</v>
      </c>
      <c r="Z206" s="2">
        <v>45171</v>
      </c>
      <c r="AA206" t="s">
        <v>1036</v>
      </c>
    </row>
    <row r="207" spans="1:27">
      <c r="A207" s="1" t="s">
        <v>232</v>
      </c>
      <c r="B207">
        <f>HYPERLINK("https://www.suredividend.com/sure-analysis-SPTN/","SpartanNash Co")</f>
        <v>0</v>
      </c>
      <c r="C207" t="s">
        <v>898</v>
      </c>
      <c r="D207">
        <v>22</v>
      </c>
      <c r="E207">
        <v>20.6616</v>
      </c>
      <c r="F207">
        <v>26</v>
      </c>
      <c r="G207">
        <v>0.7946769230769231</v>
      </c>
      <c r="H207">
        <v>0.04162310760057304</v>
      </c>
      <c r="I207">
        <v>0.04703664010242203</v>
      </c>
      <c r="J207">
        <v>0.04</v>
      </c>
      <c r="K207">
        <v>0.1204610974028102</v>
      </c>
      <c r="L207" t="s">
        <v>902</v>
      </c>
      <c r="M207" t="s">
        <v>901</v>
      </c>
      <c r="N207">
        <v>9.062105263157896</v>
      </c>
      <c r="O207">
        <v>2.28</v>
      </c>
      <c r="P207">
        <v>0.86</v>
      </c>
      <c r="Q207">
        <v>0.3771929824561404</v>
      </c>
      <c r="R207">
        <v>13</v>
      </c>
      <c r="S207">
        <v>0.04073022977591667</v>
      </c>
      <c r="T207" t="s">
        <v>912</v>
      </c>
      <c r="U207">
        <v>-0.293815393626367</v>
      </c>
      <c r="V207" t="s">
        <v>1004</v>
      </c>
      <c r="W207" t="s">
        <v>1008</v>
      </c>
      <c r="X207" t="s">
        <v>1011</v>
      </c>
      <c r="Y207">
        <v>734.559923</v>
      </c>
      <c r="Z207" s="2">
        <v>45180</v>
      </c>
      <c r="AA207" t="s">
        <v>1026</v>
      </c>
    </row>
    <row r="208" spans="1:27">
      <c r="A208" s="1" t="s">
        <v>233</v>
      </c>
      <c r="B208">
        <f>HYPERLINK("https://www.suredividend.com/sure-analysis-SCHW/","Charles Schwab Corp.")</f>
        <v>0</v>
      </c>
      <c r="C208" t="s">
        <v>899</v>
      </c>
      <c r="D208">
        <v>66</v>
      </c>
      <c r="E208">
        <v>58.73</v>
      </c>
      <c r="F208">
        <v>66</v>
      </c>
      <c r="G208">
        <v>0.8898484848484848</v>
      </c>
      <c r="H208">
        <v>0.01702707304614337</v>
      </c>
      <c r="I208">
        <v>0.02361534305489221</v>
      </c>
      <c r="J208">
        <v>0.08</v>
      </c>
      <c r="K208">
        <v>0.1191755153078344</v>
      </c>
      <c r="L208" t="s">
        <v>902</v>
      </c>
      <c r="M208" t="s">
        <v>580</v>
      </c>
      <c r="N208">
        <v>17.7969696969697</v>
      </c>
      <c r="O208">
        <v>3.3</v>
      </c>
      <c r="P208">
        <v>1</v>
      </c>
      <c r="Q208">
        <v>0.303030303030303</v>
      </c>
      <c r="R208">
        <v>2</v>
      </c>
      <c r="S208">
        <v>0.06961037572506878</v>
      </c>
      <c r="T208" t="s">
        <v>915</v>
      </c>
      <c r="U208">
        <v>-0.177701749761544</v>
      </c>
      <c r="V208" t="s">
        <v>1004</v>
      </c>
      <c r="W208" t="s">
        <v>1008</v>
      </c>
      <c r="X208" t="s">
        <v>1015</v>
      </c>
      <c r="Y208">
        <v>107133.689526</v>
      </c>
      <c r="Z208" s="2">
        <v>45127</v>
      </c>
      <c r="AA208" t="s">
        <v>1023</v>
      </c>
    </row>
    <row r="209" spans="1:27">
      <c r="A209" s="1" t="s">
        <v>234</v>
      </c>
      <c r="B209">
        <f>HYPERLINK("https://www.suredividend.com/sure-analysis-SLF/","Sun Life Financial, Inc.")</f>
        <v>0</v>
      </c>
      <c r="C209" t="s">
        <v>898</v>
      </c>
      <c r="D209">
        <v>48</v>
      </c>
      <c r="E209">
        <v>49.37</v>
      </c>
      <c r="F209">
        <v>52</v>
      </c>
      <c r="G209">
        <v>0.9494230769230769</v>
      </c>
      <c r="H209">
        <v>0.0435487137938019</v>
      </c>
      <c r="I209">
        <v>0.01043421394380939</v>
      </c>
      <c r="J209">
        <v>0.07000000000000001</v>
      </c>
      <c r="K209">
        <v>0.1188408690281328</v>
      </c>
      <c r="L209" t="s">
        <v>902</v>
      </c>
      <c r="M209" t="s">
        <v>902</v>
      </c>
      <c r="N209">
        <v>10.50425531914894</v>
      </c>
      <c r="O209">
        <v>4.7</v>
      </c>
      <c r="P209">
        <v>2.15</v>
      </c>
      <c r="Q209">
        <v>0.4574468085106382</v>
      </c>
      <c r="R209">
        <v>9</v>
      </c>
      <c r="S209">
        <v>0.0800645815630181</v>
      </c>
      <c r="T209" t="s">
        <v>929</v>
      </c>
      <c r="U209">
        <v>0.124328963225358</v>
      </c>
      <c r="V209" t="s">
        <v>1004</v>
      </c>
      <c r="W209" t="s">
        <v>1009</v>
      </c>
      <c r="X209" t="s">
        <v>1015</v>
      </c>
      <c r="Y209">
        <v>28912.545289</v>
      </c>
      <c r="Z209" s="2">
        <v>45168</v>
      </c>
      <c r="AA209" t="s">
        <v>1028</v>
      </c>
    </row>
    <row r="210" spans="1:27">
      <c r="A210" s="1" t="s">
        <v>235</v>
      </c>
      <c r="B210">
        <f>HYPERLINK("https://www.suredividend.com/sure-analysis-SIEGY/","Siemens AG")</f>
        <v>0</v>
      </c>
      <c r="C210" t="s">
        <v>898</v>
      </c>
      <c r="D210">
        <v>76</v>
      </c>
      <c r="E210">
        <v>71.83</v>
      </c>
      <c r="F210">
        <v>84</v>
      </c>
      <c r="G210">
        <v>0.8551190476190476</v>
      </c>
      <c r="H210">
        <v>0.03188082973687874</v>
      </c>
      <c r="I210">
        <v>0.03179800524662491</v>
      </c>
      <c r="J210">
        <v>0.06</v>
      </c>
      <c r="K210">
        <v>0.1184042558622214</v>
      </c>
      <c r="L210" t="s">
        <v>902</v>
      </c>
      <c r="M210" t="s">
        <v>902</v>
      </c>
      <c r="N210">
        <v>13.68190476190476</v>
      </c>
      <c r="O210">
        <v>5.25</v>
      </c>
      <c r="P210">
        <v>2.29</v>
      </c>
      <c r="Q210">
        <v>0.4361904761904762</v>
      </c>
      <c r="R210">
        <v>2</v>
      </c>
      <c r="S210">
        <v>0.04980702308759377</v>
      </c>
      <c r="T210" t="s">
        <v>965</v>
      </c>
      <c r="U210">
        <v>0.336518144235186</v>
      </c>
      <c r="V210" t="s">
        <v>1004</v>
      </c>
      <c r="W210" t="s">
        <v>1009</v>
      </c>
      <c r="X210" t="s">
        <v>1012</v>
      </c>
      <c r="Y210">
        <v>116384</v>
      </c>
      <c r="Z210" s="2">
        <v>45170</v>
      </c>
      <c r="AA210" t="s">
        <v>1028</v>
      </c>
    </row>
    <row r="211" spans="1:27">
      <c r="A211" s="1" t="s">
        <v>236</v>
      </c>
      <c r="B211">
        <f>HYPERLINK("https://www.suredividend.com/sure-analysis-CDUAF/","Canadian Utilities Ltd.")</f>
        <v>0</v>
      </c>
      <c r="C211" t="s">
        <v>898</v>
      </c>
      <c r="D211">
        <v>25</v>
      </c>
      <c r="E211">
        <v>23</v>
      </c>
      <c r="F211">
        <v>27</v>
      </c>
      <c r="G211">
        <v>0.8518518518518519</v>
      </c>
      <c r="H211">
        <v>0.05869565217391304</v>
      </c>
      <c r="I211">
        <v>0.03258826616987576</v>
      </c>
      <c r="J211">
        <v>0.04</v>
      </c>
      <c r="K211">
        <v>0.1177626784980303</v>
      </c>
      <c r="L211" t="s">
        <v>902</v>
      </c>
      <c r="M211" t="s">
        <v>901</v>
      </c>
      <c r="N211">
        <v>13.85542168674699</v>
      </c>
      <c r="O211">
        <v>1.66</v>
      </c>
      <c r="P211">
        <v>1.35</v>
      </c>
      <c r="Q211">
        <v>0.8132530120481929</v>
      </c>
      <c r="R211">
        <v>51</v>
      </c>
      <c r="S211">
        <v>0.02534857565773274</v>
      </c>
      <c r="T211" t="s">
        <v>952</v>
      </c>
      <c r="U211">
        <v>-0.268462757527733</v>
      </c>
      <c r="V211" t="s">
        <v>1004</v>
      </c>
      <c r="W211" t="s">
        <v>1009</v>
      </c>
      <c r="X211" t="s">
        <v>1018</v>
      </c>
      <c r="Y211">
        <v>4656.243396</v>
      </c>
      <c r="Z211" s="2">
        <v>45137</v>
      </c>
      <c r="AA211" t="s">
        <v>1032</v>
      </c>
    </row>
    <row r="212" spans="1:27">
      <c r="A212" s="1" t="s">
        <v>237</v>
      </c>
      <c r="B212">
        <f>HYPERLINK("https://www.suredividend.com/sure-analysis-AEP/","American Electric Power Company Inc.")</f>
        <v>0</v>
      </c>
      <c r="C212" t="s">
        <v>898</v>
      </c>
      <c r="D212">
        <v>84.40000000000001</v>
      </c>
      <c r="E212">
        <v>79.33</v>
      </c>
      <c r="F212">
        <v>89.90000000000001</v>
      </c>
      <c r="G212">
        <v>0.882424916573971</v>
      </c>
      <c r="H212">
        <v>0.04185049792008067</v>
      </c>
      <c r="I212">
        <v>0.02533184850557513</v>
      </c>
      <c r="J212">
        <v>0.058</v>
      </c>
      <c r="K212">
        <v>0.1174007115063873</v>
      </c>
      <c r="L212" t="s">
        <v>902</v>
      </c>
      <c r="M212" t="s">
        <v>902</v>
      </c>
      <c r="N212">
        <v>14.99621928166352</v>
      </c>
      <c r="O212">
        <v>5.29</v>
      </c>
      <c r="P212">
        <v>3.32</v>
      </c>
      <c r="Q212">
        <v>0.6275992438563327</v>
      </c>
      <c r="R212">
        <v>18</v>
      </c>
      <c r="S212">
        <v>0.04563955259127317</v>
      </c>
      <c r="T212" t="s">
        <v>906</v>
      </c>
      <c r="U212">
        <v>-0.22453583756507</v>
      </c>
      <c r="V212" t="s">
        <v>1004</v>
      </c>
      <c r="W212" t="s">
        <v>1008</v>
      </c>
      <c r="X212" t="s">
        <v>1018</v>
      </c>
      <c r="Y212">
        <v>40090.999744</v>
      </c>
      <c r="Z212" s="2">
        <v>45139</v>
      </c>
      <c r="AA212" t="s">
        <v>1033</v>
      </c>
    </row>
    <row r="213" spans="1:27">
      <c r="A213" s="1" t="s">
        <v>238</v>
      </c>
      <c r="B213">
        <f>HYPERLINK("https://www.suredividend.com/sure-analysis-ESS/","Essex Property Trust, Inc.")</f>
        <v>0</v>
      </c>
      <c r="C213" t="s">
        <v>898</v>
      </c>
      <c r="D213">
        <v>242</v>
      </c>
      <c r="E213">
        <v>223</v>
      </c>
      <c r="F213">
        <v>271</v>
      </c>
      <c r="G213">
        <v>0.8228782287822878</v>
      </c>
      <c r="H213">
        <v>0.04143497757847533</v>
      </c>
      <c r="I213">
        <v>0.03975947241834099</v>
      </c>
      <c r="J213">
        <v>0.044</v>
      </c>
      <c r="K213">
        <v>0.1173493922902002</v>
      </c>
      <c r="L213" t="s">
        <v>902</v>
      </c>
      <c r="M213" t="s">
        <v>902</v>
      </c>
      <c r="N213">
        <v>14.78779840848806</v>
      </c>
      <c r="O213">
        <v>15.08</v>
      </c>
      <c r="P213">
        <v>9.24</v>
      </c>
      <c r="Q213">
        <v>0.6127320954907162</v>
      </c>
      <c r="R213">
        <v>29</v>
      </c>
      <c r="S213">
        <v>0.04144152735864126</v>
      </c>
      <c r="T213" t="s">
        <v>911</v>
      </c>
      <c r="U213">
        <v>-0.15562018099947</v>
      </c>
      <c r="V213" t="s">
        <v>1005</v>
      </c>
      <c r="W213" t="s">
        <v>1008</v>
      </c>
      <c r="X213" t="s">
        <v>1019</v>
      </c>
      <c r="Y213">
        <v>14483.604381</v>
      </c>
      <c r="Z213" s="2">
        <v>45148</v>
      </c>
      <c r="AA213" t="s">
        <v>1033</v>
      </c>
    </row>
    <row r="214" spans="1:27">
      <c r="A214" s="1" t="s">
        <v>239</v>
      </c>
      <c r="B214">
        <f>HYPERLINK("https://www.suredividend.com/sure-analysis-BHB/","Bar Harbor Bankshares Inc")</f>
        <v>0</v>
      </c>
      <c r="C214" t="s">
        <v>898</v>
      </c>
      <c r="D214">
        <v>26</v>
      </c>
      <c r="E214">
        <v>24.39</v>
      </c>
      <c r="F214">
        <v>28</v>
      </c>
      <c r="G214">
        <v>0.8710714285714286</v>
      </c>
      <c r="H214">
        <v>0.04592045920459205</v>
      </c>
      <c r="I214">
        <v>0.02799084318886558</v>
      </c>
      <c r="J214">
        <v>0.05</v>
      </c>
      <c r="K214">
        <v>0.1171086332236355</v>
      </c>
      <c r="L214" t="s">
        <v>902</v>
      </c>
      <c r="M214" t="s">
        <v>901</v>
      </c>
      <c r="N214">
        <v>8.710714285714287</v>
      </c>
      <c r="O214">
        <v>2.8</v>
      </c>
      <c r="P214">
        <v>1.12</v>
      </c>
      <c r="Q214">
        <v>0.4000000000000001</v>
      </c>
      <c r="R214">
        <v>20</v>
      </c>
      <c r="S214">
        <v>0.06016789231717423</v>
      </c>
      <c r="T214" t="s">
        <v>923</v>
      </c>
      <c r="U214">
        <v>-0.083036361439961</v>
      </c>
      <c r="V214" t="s">
        <v>1004</v>
      </c>
      <c r="W214" t="s">
        <v>1008</v>
      </c>
      <c r="X214" t="s">
        <v>1015</v>
      </c>
      <c r="Y214">
        <v>368.140965</v>
      </c>
      <c r="Z214" s="2">
        <v>45131</v>
      </c>
      <c r="AA214" t="s">
        <v>1023</v>
      </c>
    </row>
    <row r="215" spans="1:27">
      <c r="A215" s="1" t="s">
        <v>240</v>
      </c>
      <c r="B215">
        <f>HYPERLINK("https://www.suredividend.com/sure-analysis-BMO/","Bank of Montreal")</f>
        <v>0</v>
      </c>
      <c r="C215" t="s">
        <v>898</v>
      </c>
      <c r="D215">
        <v>86</v>
      </c>
      <c r="E215">
        <v>86.75</v>
      </c>
      <c r="F215">
        <v>96</v>
      </c>
      <c r="G215">
        <v>0.9036458333333334</v>
      </c>
      <c r="H215">
        <v>0.04979827089337176</v>
      </c>
      <c r="I215">
        <v>0.02047025414477877</v>
      </c>
      <c r="J215">
        <v>0.055</v>
      </c>
      <c r="K215">
        <v>0.117102185105509</v>
      </c>
      <c r="L215" t="s">
        <v>902</v>
      </c>
      <c r="M215" t="s">
        <v>901</v>
      </c>
      <c r="N215">
        <v>9.780157835400226</v>
      </c>
      <c r="O215">
        <v>8.869999999999999</v>
      </c>
      <c r="P215">
        <v>4.32</v>
      </c>
      <c r="Q215">
        <v>0.4870349492671929</v>
      </c>
      <c r="R215">
        <v>10</v>
      </c>
      <c r="S215">
        <v>0.05514693127402892</v>
      </c>
      <c r="T215" t="s">
        <v>937</v>
      </c>
      <c r="U215">
        <v>-0.09465272665630901</v>
      </c>
      <c r="V215" t="s">
        <v>1004</v>
      </c>
      <c r="W215" t="s">
        <v>1009</v>
      </c>
      <c r="X215" t="s">
        <v>1015</v>
      </c>
      <c r="Y215">
        <v>61793.024146</v>
      </c>
      <c r="Z215" s="2">
        <v>45171</v>
      </c>
      <c r="AA215" t="s">
        <v>1036</v>
      </c>
    </row>
    <row r="216" spans="1:27">
      <c r="A216" s="1" t="s">
        <v>241</v>
      </c>
      <c r="B216">
        <f>HYPERLINK("https://www.suredividend.com/sure-analysis-DEO/","Diageo plc")</f>
        <v>0</v>
      </c>
      <c r="C216" t="s">
        <v>898</v>
      </c>
      <c r="D216">
        <v>168</v>
      </c>
      <c r="E216">
        <v>158.92</v>
      </c>
      <c r="F216">
        <v>172</v>
      </c>
      <c r="G216">
        <v>0.9239534883720929</v>
      </c>
      <c r="H216">
        <v>0.02548452051346589</v>
      </c>
      <c r="I216">
        <v>0.01594448729401532</v>
      </c>
      <c r="J216">
        <v>0.08</v>
      </c>
      <c r="K216">
        <v>0.1169068013701449</v>
      </c>
      <c r="L216" t="s">
        <v>902</v>
      </c>
      <c r="M216" t="s">
        <v>580</v>
      </c>
      <c r="N216">
        <v>18.52214452214452</v>
      </c>
      <c r="O216">
        <v>8.58</v>
      </c>
      <c r="P216">
        <v>4.05</v>
      </c>
      <c r="Q216">
        <v>0.472027972027972</v>
      </c>
      <c r="R216">
        <v>10</v>
      </c>
      <c r="S216">
        <v>0.05004304805891469</v>
      </c>
      <c r="T216" t="s">
        <v>922</v>
      </c>
      <c r="U216">
        <v>-0.098050460985747</v>
      </c>
      <c r="V216" t="s">
        <v>1004</v>
      </c>
      <c r="W216" t="s">
        <v>1009</v>
      </c>
      <c r="X216" t="s">
        <v>1011</v>
      </c>
      <c r="Y216">
        <v>89587.862242</v>
      </c>
      <c r="Z216" s="2">
        <v>45158</v>
      </c>
      <c r="AA216" t="s">
        <v>1021</v>
      </c>
    </row>
    <row r="217" spans="1:27">
      <c r="A217" s="1" t="s">
        <v>242</v>
      </c>
      <c r="B217">
        <f>HYPERLINK("https://www.suredividend.com/sure-analysis-RY/","Royal Bank Of Canada")</f>
        <v>0</v>
      </c>
      <c r="C217" t="s">
        <v>898</v>
      </c>
      <c r="D217">
        <v>89</v>
      </c>
      <c r="E217">
        <v>89.98</v>
      </c>
      <c r="F217">
        <v>99</v>
      </c>
      <c r="G217">
        <v>0.908888888888889</v>
      </c>
      <c r="H217">
        <v>0.04434318737497222</v>
      </c>
      <c r="I217">
        <v>0.01929018230469914</v>
      </c>
      <c r="J217">
        <v>0.06</v>
      </c>
      <c r="K217">
        <v>0.1168059160369923</v>
      </c>
      <c r="L217" t="s">
        <v>902</v>
      </c>
      <c r="M217" t="s">
        <v>902</v>
      </c>
      <c r="N217">
        <v>10.88029020556227</v>
      </c>
      <c r="O217">
        <v>8.27</v>
      </c>
      <c r="P217">
        <v>3.99</v>
      </c>
      <c r="Q217">
        <v>0.4824667472793229</v>
      </c>
      <c r="R217">
        <v>11</v>
      </c>
      <c r="S217">
        <v>0.06001905503876492</v>
      </c>
      <c r="T217" t="s">
        <v>933</v>
      </c>
      <c r="U217">
        <v>-0.062747979734978</v>
      </c>
      <c r="V217" t="s">
        <v>1004</v>
      </c>
      <c r="W217" t="s">
        <v>1009</v>
      </c>
      <c r="X217" t="s">
        <v>1015</v>
      </c>
      <c r="Y217">
        <v>124836.727509</v>
      </c>
      <c r="Z217" s="2">
        <v>45166</v>
      </c>
      <c r="AA217" t="s">
        <v>1036</v>
      </c>
    </row>
    <row r="218" spans="1:27">
      <c r="A218" s="1" t="s">
        <v>243</v>
      </c>
      <c r="B218">
        <f>HYPERLINK("https://www.suredividend.com/sure-analysis-SBSI/","Southside Bancshares Inc")</f>
        <v>0</v>
      </c>
      <c r="C218" t="s">
        <v>899</v>
      </c>
      <c r="D218">
        <v>33</v>
      </c>
      <c r="E218">
        <v>29.15</v>
      </c>
      <c r="F218">
        <v>37</v>
      </c>
      <c r="G218">
        <v>0.7878378378378378</v>
      </c>
      <c r="H218">
        <v>0.04802744425385935</v>
      </c>
      <c r="I218">
        <v>0.04884818979856642</v>
      </c>
      <c r="J218">
        <v>0.03</v>
      </c>
      <c r="K218">
        <v>0.1163486562045584</v>
      </c>
      <c r="L218" t="s">
        <v>902</v>
      </c>
      <c r="M218" t="s">
        <v>901</v>
      </c>
      <c r="N218">
        <v>9.37299035369775</v>
      </c>
      <c r="O218">
        <v>3.11</v>
      </c>
      <c r="P218">
        <v>1.4</v>
      </c>
      <c r="Q218">
        <v>0.4501607717041801</v>
      </c>
      <c r="R218">
        <v>29</v>
      </c>
      <c r="S218">
        <v>0.02962100943384161</v>
      </c>
      <c r="T218" t="s">
        <v>936</v>
      </c>
      <c r="U218">
        <v>-0.203949196593491</v>
      </c>
      <c r="V218" t="s">
        <v>1004</v>
      </c>
      <c r="W218" t="s">
        <v>1008</v>
      </c>
      <c r="X218" t="s">
        <v>1015</v>
      </c>
      <c r="Y218">
        <v>892.1393420000001</v>
      </c>
      <c r="Z218" s="2">
        <v>45135</v>
      </c>
      <c r="AA218" t="s">
        <v>1021</v>
      </c>
    </row>
    <row r="219" spans="1:27">
      <c r="A219" s="1" t="s">
        <v>244</v>
      </c>
      <c r="B219">
        <f>HYPERLINK("https://www.suredividend.com/sure-analysis-BLK/","Blackrock Inc.")</f>
        <v>0</v>
      </c>
      <c r="C219" t="s">
        <v>898</v>
      </c>
      <c r="D219">
        <v>728</v>
      </c>
      <c r="E219">
        <v>697.23</v>
      </c>
      <c r="F219">
        <v>684</v>
      </c>
      <c r="G219">
        <v>1.019342105263158</v>
      </c>
      <c r="H219">
        <v>0.02868493897279234</v>
      </c>
      <c r="I219">
        <v>-0.003824154098905796</v>
      </c>
      <c r="J219">
        <v>0.095</v>
      </c>
      <c r="K219">
        <v>0.1146784841317765</v>
      </c>
      <c r="L219" t="s">
        <v>902</v>
      </c>
      <c r="M219" t="s">
        <v>580</v>
      </c>
      <c r="N219">
        <v>19.3675</v>
      </c>
      <c r="O219">
        <v>36</v>
      </c>
      <c r="P219">
        <v>20</v>
      </c>
      <c r="Q219">
        <v>0.5555555555555556</v>
      </c>
      <c r="R219">
        <v>13</v>
      </c>
      <c r="S219">
        <v>0.06999210686288015</v>
      </c>
      <c r="T219" t="s">
        <v>924</v>
      </c>
      <c r="U219">
        <v>0.029840474706631</v>
      </c>
      <c r="V219" t="s">
        <v>1004</v>
      </c>
      <c r="W219" t="s">
        <v>1008</v>
      </c>
      <c r="X219" t="s">
        <v>1015</v>
      </c>
      <c r="Y219">
        <v>104114.698096</v>
      </c>
      <c r="Z219" s="2">
        <v>45127</v>
      </c>
      <c r="AA219" t="s">
        <v>1036</v>
      </c>
    </row>
    <row r="220" spans="1:27">
      <c r="A220" s="1" t="s">
        <v>245</v>
      </c>
      <c r="B220">
        <f>HYPERLINK("https://www.suredividend.com/sure-analysis-LNT/","Alliant Energy Corp.")</f>
        <v>0</v>
      </c>
      <c r="C220" t="s">
        <v>898</v>
      </c>
      <c r="D220">
        <v>52</v>
      </c>
      <c r="E220">
        <v>51.54</v>
      </c>
      <c r="F220">
        <v>58</v>
      </c>
      <c r="G220">
        <v>0.8886206896551724</v>
      </c>
      <c r="H220">
        <v>0.03511835467597983</v>
      </c>
      <c r="I220">
        <v>0.02389804994929579</v>
      </c>
      <c r="J220">
        <v>0.06</v>
      </c>
      <c r="K220">
        <v>0.114005735591403</v>
      </c>
      <c r="L220" t="s">
        <v>902</v>
      </c>
      <c r="M220" t="s">
        <v>902</v>
      </c>
      <c r="N220">
        <v>17.77241379310345</v>
      </c>
      <c r="O220">
        <v>2.9</v>
      </c>
      <c r="P220">
        <v>1.81</v>
      </c>
      <c r="Q220">
        <v>0.6241379310344828</v>
      </c>
      <c r="R220">
        <v>20</v>
      </c>
      <c r="S220">
        <v>0.05980840202347104</v>
      </c>
      <c r="T220" t="s">
        <v>918</v>
      </c>
      <c r="U220">
        <v>-0.159990924192162</v>
      </c>
      <c r="V220" t="s">
        <v>1004</v>
      </c>
      <c r="W220" t="s">
        <v>1008</v>
      </c>
      <c r="X220" t="s">
        <v>1018</v>
      </c>
      <c r="Y220">
        <v>12817.912346</v>
      </c>
      <c r="Z220" s="2">
        <v>45155</v>
      </c>
      <c r="AA220" t="s">
        <v>1027</v>
      </c>
    </row>
    <row r="221" spans="1:27">
      <c r="A221" s="1" t="s">
        <v>246</v>
      </c>
      <c r="B221">
        <f>HYPERLINK("https://www.suredividend.com/sure-analysis-OMC/","Omnicom Group, Inc.")</f>
        <v>0</v>
      </c>
      <c r="C221" t="s">
        <v>898</v>
      </c>
      <c r="D221">
        <v>80</v>
      </c>
      <c r="E221">
        <v>77.77</v>
      </c>
      <c r="F221">
        <v>96</v>
      </c>
      <c r="G221">
        <v>0.8101041666666666</v>
      </c>
      <c r="H221">
        <v>0.036003600360036</v>
      </c>
      <c r="I221">
        <v>0.04301805629439714</v>
      </c>
      <c r="J221">
        <v>0.04</v>
      </c>
      <c r="K221">
        <v>0.1133457685603609</v>
      </c>
      <c r="L221" t="s">
        <v>902</v>
      </c>
      <c r="M221" t="s">
        <v>902</v>
      </c>
      <c r="N221">
        <v>10.50945945945946</v>
      </c>
      <c r="O221">
        <v>7.4</v>
      </c>
      <c r="P221">
        <v>2.8</v>
      </c>
      <c r="Q221">
        <v>0.3783783783783783</v>
      </c>
      <c r="R221">
        <v>0</v>
      </c>
      <c r="S221">
        <v>0.04978904632428516</v>
      </c>
      <c r="T221" t="s">
        <v>926</v>
      </c>
      <c r="U221">
        <v>0.14439295214883</v>
      </c>
      <c r="V221" t="s">
        <v>1004</v>
      </c>
      <c r="W221" t="s">
        <v>1008</v>
      </c>
      <c r="X221" t="s">
        <v>1017</v>
      </c>
      <c r="Y221">
        <v>15621.962454</v>
      </c>
      <c r="Z221" s="2">
        <v>45158</v>
      </c>
      <c r="AA221" t="s">
        <v>1028</v>
      </c>
    </row>
    <row r="222" spans="1:27">
      <c r="A222" s="1" t="s">
        <v>247</v>
      </c>
      <c r="B222">
        <f>HYPERLINK("https://www.suredividend.com/sure-analysis-SRE/","Sempra Energy")</f>
        <v>0</v>
      </c>
      <c r="C222" t="s">
        <v>898</v>
      </c>
      <c r="D222">
        <v>72</v>
      </c>
      <c r="E222">
        <v>71.92</v>
      </c>
      <c r="F222">
        <v>85</v>
      </c>
      <c r="G222">
        <v>0.8461176470588235</v>
      </c>
      <c r="H222">
        <v>0.03309232480533927</v>
      </c>
      <c r="I222">
        <v>0.03398407360590006</v>
      </c>
      <c r="J222">
        <v>0.05</v>
      </c>
      <c r="K222">
        <v>0.1120259401992605</v>
      </c>
      <c r="L222" t="s">
        <v>902</v>
      </c>
      <c r="M222" t="s">
        <v>902</v>
      </c>
      <c r="N222">
        <v>15.98222222222222</v>
      </c>
      <c r="O222">
        <v>4.5</v>
      </c>
      <c r="P222">
        <v>2.38</v>
      </c>
      <c r="Q222">
        <v>0.5288888888888889</v>
      </c>
      <c r="R222">
        <v>13</v>
      </c>
      <c r="S222">
        <v>0.05016931709648742</v>
      </c>
      <c r="T222" t="s">
        <v>944</v>
      </c>
      <c r="U222">
        <v>-0.163083150488896</v>
      </c>
      <c r="V222" t="s">
        <v>1004</v>
      </c>
      <c r="W222" t="s">
        <v>1008</v>
      </c>
      <c r="X222" t="s">
        <v>1018</v>
      </c>
      <c r="Y222">
        <v>22431.652649</v>
      </c>
      <c r="Z222" s="2">
        <v>45162</v>
      </c>
      <c r="AA222" t="s">
        <v>1022</v>
      </c>
    </row>
    <row r="223" spans="1:27">
      <c r="A223" s="1" t="s">
        <v>248</v>
      </c>
      <c r="B223">
        <f>HYPERLINK("https://www.suredividend.com/sure-analysis-TSN/","Tyson Foods, Inc.")</f>
        <v>0</v>
      </c>
      <c r="C223" t="s">
        <v>898</v>
      </c>
      <c r="D223">
        <v>52</v>
      </c>
      <c r="E223">
        <v>52.84</v>
      </c>
      <c r="F223">
        <v>61</v>
      </c>
      <c r="G223">
        <v>0.8662295081967214</v>
      </c>
      <c r="H223">
        <v>0.03633610900832702</v>
      </c>
      <c r="I223">
        <v>0.02913750421988648</v>
      </c>
      <c r="J223">
        <v>0.05</v>
      </c>
      <c r="K223">
        <v>0.1107196384426195</v>
      </c>
      <c r="L223" t="s">
        <v>902</v>
      </c>
      <c r="M223" t="s">
        <v>902</v>
      </c>
      <c r="N223">
        <v>9.607272727272727</v>
      </c>
      <c r="O223">
        <v>5.5</v>
      </c>
      <c r="P223">
        <v>1.92</v>
      </c>
      <c r="Q223">
        <v>0.3490909090909091</v>
      </c>
      <c r="R223">
        <v>12</v>
      </c>
      <c r="S223">
        <v>0.06005006969898052</v>
      </c>
      <c r="T223" t="s">
        <v>916</v>
      </c>
      <c r="U223">
        <v>-0.276324071084159</v>
      </c>
      <c r="V223" t="s">
        <v>1004</v>
      </c>
      <c r="W223" t="s">
        <v>1008</v>
      </c>
      <c r="X223" t="s">
        <v>1011</v>
      </c>
      <c r="Y223">
        <v>19020.8307</v>
      </c>
      <c r="Z223" s="2">
        <v>45145</v>
      </c>
      <c r="AA223" t="s">
        <v>1032</v>
      </c>
    </row>
    <row r="224" spans="1:27">
      <c r="A224" s="1" t="s">
        <v>249</v>
      </c>
      <c r="B224">
        <f>HYPERLINK("https://www.suredividend.com/sure-analysis-RTX/","RTX Corp")</f>
        <v>0</v>
      </c>
      <c r="C224" t="s">
        <v>899</v>
      </c>
      <c r="D224">
        <v>85</v>
      </c>
      <c r="E224">
        <v>75.56</v>
      </c>
      <c r="F224">
        <v>80</v>
      </c>
      <c r="G224">
        <v>0.9445</v>
      </c>
      <c r="H224">
        <v>0.03123345685547909</v>
      </c>
      <c r="I224">
        <v>0.01148537460718568</v>
      </c>
      <c r="J224">
        <v>0.07000000000000001</v>
      </c>
      <c r="K224">
        <v>0.1089568516005497</v>
      </c>
      <c r="L224" t="s">
        <v>902</v>
      </c>
      <c r="M224" t="s">
        <v>902</v>
      </c>
      <c r="N224">
        <v>15.112</v>
      </c>
      <c r="O224">
        <v>5</v>
      </c>
      <c r="P224">
        <v>2.36</v>
      </c>
      <c r="Q224">
        <v>0.472</v>
      </c>
      <c r="R224">
        <v>29</v>
      </c>
      <c r="S224">
        <v>0.06999857218918182</v>
      </c>
      <c r="T224" t="s">
        <v>932</v>
      </c>
      <c r="U224">
        <v>-0.118137585008805</v>
      </c>
      <c r="V224" t="s">
        <v>1004</v>
      </c>
      <c r="W224" t="s">
        <v>1008</v>
      </c>
      <c r="X224" t="s">
        <v>1012</v>
      </c>
      <c r="Y224">
        <v>109978.709169</v>
      </c>
      <c r="Z224" s="2">
        <v>45133</v>
      </c>
      <c r="AA224" t="s">
        <v>1021</v>
      </c>
    </row>
    <row r="225" spans="1:27">
      <c r="A225" s="1" t="s">
        <v>250</v>
      </c>
      <c r="B225">
        <f>HYPERLINK("https://www.suredividend.com/sure-analysis-YUM/","Yum Brands Inc.")</f>
        <v>0</v>
      </c>
      <c r="C225" t="s">
        <v>898</v>
      </c>
      <c r="D225">
        <v>129</v>
      </c>
      <c r="E225">
        <v>129.07</v>
      </c>
      <c r="F225">
        <v>125</v>
      </c>
      <c r="G225">
        <v>1.03256</v>
      </c>
      <c r="H225">
        <v>0.01874951576663826</v>
      </c>
      <c r="I225">
        <v>-0.006387742185267387</v>
      </c>
      <c r="J225">
        <v>0.1</v>
      </c>
      <c r="K225">
        <v>0.1082466893064278</v>
      </c>
      <c r="L225" t="s">
        <v>902</v>
      </c>
      <c r="M225" t="s">
        <v>825</v>
      </c>
      <c r="N225">
        <v>25.06213592233009</v>
      </c>
      <c r="O225">
        <v>5.15</v>
      </c>
      <c r="P225">
        <v>2.42</v>
      </c>
      <c r="Q225">
        <v>0.4699029126213592</v>
      </c>
      <c r="R225">
        <v>6</v>
      </c>
      <c r="S225">
        <v>0.06009778930179466</v>
      </c>
      <c r="T225" t="s">
        <v>966</v>
      </c>
      <c r="U225">
        <v>0.112488521978294</v>
      </c>
      <c r="V225" t="s">
        <v>1004</v>
      </c>
      <c r="W225" t="s">
        <v>1008</v>
      </c>
      <c r="X225" t="s">
        <v>1013</v>
      </c>
      <c r="Y225">
        <v>35883.856645</v>
      </c>
      <c r="Z225" s="2">
        <v>45160</v>
      </c>
      <c r="AA225" t="s">
        <v>1022</v>
      </c>
    </row>
    <row r="226" spans="1:27">
      <c r="A226" s="1" t="s">
        <v>251</v>
      </c>
      <c r="B226">
        <f>HYPERLINK("https://www.suredividend.com/sure-analysis-NSC/","Norfolk Southern Corp.")</f>
        <v>0</v>
      </c>
      <c r="C226" t="s">
        <v>899</v>
      </c>
      <c r="D226">
        <v>230</v>
      </c>
      <c r="E226">
        <v>200.73</v>
      </c>
      <c r="F226">
        <v>225</v>
      </c>
      <c r="G226">
        <v>0.8921333333333333</v>
      </c>
      <c r="H226">
        <v>0.0269018083993424</v>
      </c>
      <c r="I226">
        <v>0.02309048751165466</v>
      </c>
      <c r="J226">
        <v>0.06</v>
      </c>
      <c r="K226">
        <v>0.1080643953540394</v>
      </c>
      <c r="L226" t="s">
        <v>902</v>
      </c>
      <c r="M226" t="s">
        <v>580</v>
      </c>
      <c r="N226">
        <v>16.0584</v>
      </c>
      <c r="O226">
        <v>12.5</v>
      </c>
      <c r="P226">
        <v>5.4</v>
      </c>
      <c r="Q226">
        <v>0.4320000000000001</v>
      </c>
      <c r="R226">
        <v>7</v>
      </c>
      <c r="S226">
        <v>0.07988096386199439</v>
      </c>
      <c r="T226" t="s">
        <v>955</v>
      </c>
      <c r="U226">
        <v>-0.18878757756159</v>
      </c>
      <c r="V226" t="s">
        <v>1004</v>
      </c>
      <c r="W226" t="s">
        <v>1008</v>
      </c>
      <c r="X226" t="s">
        <v>1012</v>
      </c>
      <c r="Y226">
        <v>45073.883248</v>
      </c>
      <c r="Z226" s="2">
        <v>45143</v>
      </c>
      <c r="AA226" t="s">
        <v>1028</v>
      </c>
    </row>
    <row r="227" spans="1:27">
      <c r="A227" s="1" t="s">
        <v>252</v>
      </c>
      <c r="B227">
        <f>HYPERLINK("https://www.suredividend.com/sure-analysis-NEE/","NextEra Energy Inc")</f>
        <v>0</v>
      </c>
      <c r="C227" t="s">
        <v>899</v>
      </c>
      <c r="D227">
        <v>73</v>
      </c>
      <c r="E227">
        <v>68.43000000000001</v>
      </c>
      <c r="F227">
        <v>73</v>
      </c>
      <c r="G227">
        <v>0.9373972602739727</v>
      </c>
      <c r="H227">
        <v>0.02732719567441181</v>
      </c>
      <c r="I227">
        <v>0.01301357223478394</v>
      </c>
      <c r="J227">
        <v>0.07000000000000001</v>
      </c>
      <c r="K227">
        <v>0.1075662203041863</v>
      </c>
      <c r="L227" t="s">
        <v>902</v>
      </c>
      <c r="M227" t="s">
        <v>902</v>
      </c>
      <c r="N227">
        <v>22.4360655737705</v>
      </c>
      <c r="O227">
        <v>3.05</v>
      </c>
      <c r="P227">
        <v>1.87</v>
      </c>
      <c r="Q227">
        <v>0.6131147540983607</v>
      </c>
      <c r="R227">
        <v>27</v>
      </c>
      <c r="S227">
        <v>0.07462920095244585</v>
      </c>
      <c r="T227" t="s">
        <v>929</v>
      </c>
      <c r="U227">
        <v>-0.235440866041292</v>
      </c>
      <c r="V227" t="s">
        <v>1004</v>
      </c>
      <c r="W227" t="s">
        <v>1008</v>
      </c>
      <c r="X227" t="s">
        <v>1018</v>
      </c>
      <c r="Y227">
        <v>137066.149017</v>
      </c>
      <c r="Z227" s="2">
        <v>45138</v>
      </c>
      <c r="AA227" t="s">
        <v>1036</v>
      </c>
    </row>
    <row r="228" spans="1:27">
      <c r="A228" s="1" t="s">
        <v>253</v>
      </c>
      <c r="B228">
        <f>HYPERLINK("https://www.suredividend.com/sure-analysis-MMS/","Maximus Inc.")</f>
        <v>0</v>
      </c>
      <c r="C228" t="s">
        <v>898</v>
      </c>
      <c r="D228">
        <v>80</v>
      </c>
      <c r="E228">
        <v>80.06</v>
      </c>
      <c r="F228">
        <v>78</v>
      </c>
      <c r="G228">
        <v>1.026410256410256</v>
      </c>
      <c r="H228">
        <v>0.01398950786909818</v>
      </c>
      <c r="I228">
        <v>-0.005199938642802993</v>
      </c>
      <c r="J228">
        <v>0.1</v>
      </c>
      <c r="K228">
        <v>0.1070643625135408</v>
      </c>
      <c r="L228" t="s">
        <v>902</v>
      </c>
      <c r="M228" t="s">
        <v>825</v>
      </c>
      <c r="N228">
        <v>20.52820512820513</v>
      </c>
      <c r="O228">
        <v>3.9</v>
      </c>
      <c r="P228">
        <v>1.12</v>
      </c>
      <c r="Q228">
        <v>0.2871794871794872</v>
      </c>
      <c r="R228">
        <v>0</v>
      </c>
      <c r="S228">
        <v>0.09953965407958165</v>
      </c>
      <c r="T228" t="s">
        <v>917</v>
      </c>
      <c r="U228">
        <v>0.29226185202322</v>
      </c>
      <c r="V228" t="s">
        <v>1004</v>
      </c>
      <c r="W228" t="s">
        <v>1008</v>
      </c>
      <c r="X228" t="s">
        <v>1016</v>
      </c>
      <c r="Y228">
        <v>4787.31799</v>
      </c>
      <c r="Z228" s="2">
        <v>45144</v>
      </c>
      <c r="AA228" t="s">
        <v>1023</v>
      </c>
    </row>
    <row r="229" spans="1:27">
      <c r="A229" s="1" t="s">
        <v>254</v>
      </c>
      <c r="B229">
        <f>HYPERLINK("https://www.suredividend.com/sure-analysis-KDP/","Keurig Dr Pepper Inc")</f>
        <v>0</v>
      </c>
      <c r="C229" t="s">
        <v>898</v>
      </c>
      <c r="D229">
        <v>34</v>
      </c>
      <c r="E229">
        <v>33.13</v>
      </c>
      <c r="F229">
        <v>36</v>
      </c>
      <c r="G229">
        <v>0.9202777777777779</v>
      </c>
      <c r="H229">
        <v>0.02414729852097797</v>
      </c>
      <c r="I229">
        <v>0.01675475700173878</v>
      </c>
      <c r="J229">
        <v>0.07000000000000001</v>
      </c>
      <c r="K229">
        <v>0.1066505674655529</v>
      </c>
      <c r="L229" t="s">
        <v>902</v>
      </c>
      <c r="M229" t="s">
        <v>580</v>
      </c>
      <c r="N229">
        <v>18.6123595505618</v>
      </c>
      <c r="O229">
        <v>1.78</v>
      </c>
      <c r="P229">
        <v>0.8</v>
      </c>
      <c r="Q229">
        <v>0.4494382022471911</v>
      </c>
      <c r="R229">
        <v>3</v>
      </c>
      <c r="S229">
        <v>0.03928904495613805</v>
      </c>
      <c r="T229" t="s">
        <v>911</v>
      </c>
      <c r="U229">
        <v>-0.121648744005239</v>
      </c>
      <c r="V229" t="s">
        <v>1004</v>
      </c>
      <c r="W229" t="s">
        <v>1008</v>
      </c>
      <c r="X229" t="s">
        <v>1011</v>
      </c>
      <c r="Y229">
        <v>46472.847112</v>
      </c>
      <c r="Z229" s="2">
        <v>45147</v>
      </c>
      <c r="AA229" t="s">
        <v>1029</v>
      </c>
    </row>
    <row r="230" spans="1:27">
      <c r="A230" s="1" t="s">
        <v>255</v>
      </c>
      <c r="B230">
        <f>HYPERLINK("https://www.suredividend.com/sure-analysis-PRGO/","Perrigo Company plc")</f>
        <v>0</v>
      </c>
      <c r="C230" t="s">
        <v>899</v>
      </c>
      <c r="D230">
        <v>38</v>
      </c>
      <c r="E230">
        <v>33.83</v>
      </c>
      <c r="F230">
        <v>39</v>
      </c>
      <c r="G230">
        <v>0.8674358974358974</v>
      </c>
      <c r="H230">
        <v>0.03221992314513746</v>
      </c>
      <c r="I230">
        <v>0.02885108958987148</v>
      </c>
      <c r="J230">
        <v>0.05</v>
      </c>
      <c r="K230">
        <v>0.1064345400250679</v>
      </c>
      <c r="L230" t="s">
        <v>902</v>
      </c>
      <c r="M230" t="s">
        <v>902</v>
      </c>
      <c r="N230">
        <v>13.01153846153846</v>
      </c>
      <c r="O230">
        <v>2.6</v>
      </c>
      <c r="P230">
        <v>1.09</v>
      </c>
      <c r="Q230">
        <v>0.4192307692307692</v>
      </c>
      <c r="R230">
        <v>21</v>
      </c>
      <c r="S230">
        <v>0.0498268125957908</v>
      </c>
      <c r="T230" t="s">
        <v>916</v>
      </c>
      <c r="U230">
        <v>-0.139783309614589</v>
      </c>
      <c r="V230" t="s">
        <v>1004</v>
      </c>
      <c r="W230" t="s">
        <v>1009</v>
      </c>
      <c r="X230" t="s">
        <v>1014</v>
      </c>
      <c r="Y230">
        <v>4591.303894</v>
      </c>
      <c r="Z230" s="2">
        <v>45157</v>
      </c>
      <c r="AA230" t="s">
        <v>1021</v>
      </c>
    </row>
    <row r="231" spans="1:27">
      <c r="A231" s="1" t="s">
        <v>256</v>
      </c>
      <c r="B231">
        <f>HYPERLINK("https://www.suredividend.com/sure-analysis-ALRS/","Alerus Financial Corp")</f>
        <v>0</v>
      </c>
      <c r="C231" t="s">
        <v>898</v>
      </c>
      <c r="D231">
        <v>18</v>
      </c>
      <c r="E231">
        <v>18.125</v>
      </c>
      <c r="F231">
        <v>20</v>
      </c>
      <c r="G231">
        <v>0.90625</v>
      </c>
      <c r="H231">
        <v>0.04193103448275862</v>
      </c>
      <c r="I231">
        <v>0.01988310171094443</v>
      </c>
      <c r="J231">
        <v>0.05</v>
      </c>
      <c r="K231">
        <v>0.1061768516629902</v>
      </c>
      <c r="L231" t="s">
        <v>902</v>
      </c>
      <c r="M231" t="s">
        <v>901</v>
      </c>
      <c r="N231">
        <v>10.66176470588235</v>
      </c>
      <c r="O231">
        <v>1.7</v>
      </c>
      <c r="P231">
        <v>0.76</v>
      </c>
      <c r="Q231">
        <v>0.4470588235294118</v>
      </c>
      <c r="R231">
        <v>18</v>
      </c>
      <c r="S231">
        <v>0.05642162229904302</v>
      </c>
      <c r="T231" t="s">
        <v>912</v>
      </c>
      <c r="U231">
        <v>-0.184850656696054</v>
      </c>
      <c r="V231" t="s">
        <v>1004</v>
      </c>
      <c r="W231" t="s">
        <v>1008</v>
      </c>
      <c r="X231" t="s">
        <v>1015</v>
      </c>
      <c r="Y231">
        <v>375.99301</v>
      </c>
      <c r="Z231" s="2">
        <v>45156</v>
      </c>
      <c r="AA231" t="s">
        <v>1022</v>
      </c>
    </row>
    <row r="232" spans="1:27">
      <c r="A232" s="1" t="s">
        <v>257</v>
      </c>
      <c r="B232">
        <f>HYPERLINK("https://www.suredividend.com/sure-analysis-SCI/","Service Corp. International")</f>
        <v>0</v>
      </c>
      <c r="C232" t="s">
        <v>899</v>
      </c>
      <c r="D232">
        <v>64</v>
      </c>
      <c r="E232">
        <v>60.61</v>
      </c>
      <c r="F232">
        <v>70</v>
      </c>
      <c r="G232">
        <v>0.8658571428571429</v>
      </c>
      <c r="H232">
        <v>0.01814882032667877</v>
      </c>
      <c r="I232">
        <v>0.02922600593985591</v>
      </c>
      <c r="J232">
        <v>0.06</v>
      </c>
      <c r="K232">
        <v>0.1058644630144947</v>
      </c>
      <c r="L232" t="s">
        <v>902</v>
      </c>
      <c r="M232" t="s">
        <v>580</v>
      </c>
      <c r="N232">
        <v>17.36676217765043</v>
      </c>
      <c r="O232">
        <v>3.49</v>
      </c>
      <c r="P232">
        <v>1.1</v>
      </c>
      <c r="Q232">
        <v>0.3151862464183381</v>
      </c>
      <c r="R232">
        <v>13</v>
      </c>
      <c r="S232">
        <v>0.05970486933121499</v>
      </c>
      <c r="T232" t="s">
        <v>912</v>
      </c>
      <c r="U232">
        <v>-0.027192047825338</v>
      </c>
      <c r="V232" t="s">
        <v>1004</v>
      </c>
      <c r="W232" t="s">
        <v>1008</v>
      </c>
      <c r="X232" t="s">
        <v>1012</v>
      </c>
      <c r="Y232">
        <v>9200.792216</v>
      </c>
      <c r="Z232" s="2">
        <v>45155</v>
      </c>
      <c r="AA232" t="s">
        <v>1027</v>
      </c>
    </row>
    <row r="233" spans="1:27">
      <c r="A233" s="1" t="s">
        <v>258</v>
      </c>
      <c r="B233">
        <f>HYPERLINK("https://www.suredividend.com/sure-analysis-NJR/","New Jersey Resources Corporation")</f>
        <v>0</v>
      </c>
      <c r="C233" t="s">
        <v>899</v>
      </c>
      <c r="D233">
        <v>45</v>
      </c>
      <c r="E233">
        <v>42.93</v>
      </c>
      <c r="F233">
        <v>47</v>
      </c>
      <c r="G233">
        <v>0.9134042553191489</v>
      </c>
      <c r="H233">
        <v>0.03913347309573725</v>
      </c>
      <c r="I233">
        <v>0.01828042204613767</v>
      </c>
      <c r="J233">
        <v>0.055</v>
      </c>
      <c r="K233">
        <v>0.1054817040811791</v>
      </c>
      <c r="L233" t="s">
        <v>902</v>
      </c>
      <c r="M233" t="s">
        <v>902</v>
      </c>
      <c r="N233">
        <v>16.07865168539326</v>
      </c>
      <c r="O233">
        <v>2.67</v>
      </c>
      <c r="P233">
        <v>1.68</v>
      </c>
      <c r="Q233">
        <v>0.6292134831460674</v>
      </c>
      <c r="R233">
        <v>27</v>
      </c>
      <c r="S233">
        <v>0.03959498820755258</v>
      </c>
      <c r="T233" t="s">
        <v>967</v>
      </c>
      <c r="U233">
        <v>-0.029357835686095</v>
      </c>
      <c r="V233" t="s">
        <v>1004</v>
      </c>
      <c r="W233" t="s">
        <v>1008</v>
      </c>
      <c r="X233" t="s">
        <v>1018</v>
      </c>
      <c r="Y233">
        <v>4167.845479</v>
      </c>
      <c r="Z233" s="2">
        <v>45145</v>
      </c>
      <c r="AA233" t="s">
        <v>1026</v>
      </c>
    </row>
    <row r="234" spans="1:27">
      <c r="A234" s="1" t="s">
        <v>259</v>
      </c>
      <c r="B234">
        <f>HYPERLINK("https://www.suredividend.com/sure-analysis-EBAY/","EBay Inc.")</f>
        <v>0</v>
      </c>
      <c r="C234" t="s">
        <v>898</v>
      </c>
      <c r="D234">
        <v>44.7</v>
      </c>
      <c r="E234">
        <v>43.71</v>
      </c>
      <c r="F234">
        <v>49.9</v>
      </c>
      <c r="G234">
        <v>0.8759519038076152</v>
      </c>
      <c r="H234">
        <v>0.02287805994051705</v>
      </c>
      <c r="I234">
        <v>0.02684276583897849</v>
      </c>
      <c r="J234">
        <v>0.056</v>
      </c>
      <c r="K234">
        <v>0.1052177621831893</v>
      </c>
      <c r="L234" t="s">
        <v>902</v>
      </c>
      <c r="M234" t="s">
        <v>902</v>
      </c>
      <c r="N234">
        <v>10.50721153846154</v>
      </c>
      <c r="O234">
        <v>4.16</v>
      </c>
      <c r="P234">
        <v>1</v>
      </c>
      <c r="Q234">
        <v>0.2403846153846154</v>
      </c>
      <c r="R234">
        <v>4</v>
      </c>
      <c r="S234">
        <v>0.09160706958928855</v>
      </c>
      <c r="T234" t="s">
        <v>916</v>
      </c>
      <c r="U234">
        <v>-0.017209561821381</v>
      </c>
      <c r="V234" t="s">
        <v>1004</v>
      </c>
      <c r="W234" t="s">
        <v>1008</v>
      </c>
      <c r="X234" t="s">
        <v>1013</v>
      </c>
      <c r="Y234">
        <v>23154.168039</v>
      </c>
      <c r="Z234" s="2">
        <v>45140</v>
      </c>
      <c r="AA234" t="s">
        <v>1033</v>
      </c>
    </row>
    <row r="235" spans="1:27">
      <c r="A235" s="1" t="s">
        <v>260</v>
      </c>
      <c r="B235">
        <f>HYPERLINK("https://www.suredividend.com/sure-analysis-NTRS/","Northern Trust Corp.")</f>
        <v>0</v>
      </c>
      <c r="C235" t="s">
        <v>899</v>
      </c>
      <c r="D235">
        <v>80</v>
      </c>
      <c r="E235">
        <v>71.91</v>
      </c>
      <c r="F235">
        <v>83</v>
      </c>
      <c r="G235">
        <v>0.8663855421686747</v>
      </c>
      <c r="H235">
        <v>0.04171881518564873</v>
      </c>
      <c r="I235">
        <v>0.02910043250666794</v>
      </c>
      <c r="J235">
        <v>0.04</v>
      </c>
      <c r="K235">
        <v>0.1048568539005168</v>
      </c>
      <c r="L235" t="s">
        <v>902</v>
      </c>
      <c r="M235" t="s">
        <v>902</v>
      </c>
      <c r="N235">
        <v>11.3244094488189</v>
      </c>
      <c r="O235">
        <v>6.35</v>
      </c>
      <c r="P235">
        <v>3</v>
      </c>
      <c r="Q235">
        <v>0.4724409448818898</v>
      </c>
      <c r="R235">
        <v>2</v>
      </c>
      <c r="S235">
        <v>0.05006335758366887</v>
      </c>
      <c r="T235" t="s">
        <v>924</v>
      </c>
      <c r="U235">
        <v>-0.228202770521105</v>
      </c>
      <c r="V235" t="s">
        <v>1004</v>
      </c>
      <c r="W235" t="s">
        <v>1008</v>
      </c>
      <c r="X235" t="s">
        <v>1015</v>
      </c>
      <c r="Y235">
        <v>14873.250405</v>
      </c>
      <c r="Z235" s="2">
        <v>45132</v>
      </c>
      <c r="AA235" t="s">
        <v>1023</v>
      </c>
    </row>
    <row r="236" spans="1:27">
      <c r="A236" s="1" t="s">
        <v>261</v>
      </c>
      <c r="B236">
        <f>HYPERLINK("https://www.suredividend.com/sure-analysis-CATC/","Cambridge Bancorp")</f>
        <v>0</v>
      </c>
      <c r="C236" t="s">
        <v>899</v>
      </c>
      <c r="D236">
        <v>54</v>
      </c>
      <c r="E236">
        <v>51.46</v>
      </c>
      <c r="F236">
        <v>59</v>
      </c>
      <c r="G236">
        <v>0.8722033898305085</v>
      </c>
      <c r="H236">
        <v>0.05207928488146133</v>
      </c>
      <c r="I236">
        <v>0.02772387555866307</v>
      </c>
      <c r="J236">
        <v>0.03</v>
      </c>
      <c r="K236">
        <v>0.1040685966619961</v>
      </c>
      <c r="L236" t="s">
        <v>902</v>
      </c>
      <c r="M236" t="s">
        <v>901</v>
      </c>
      <c r="N236">
        <v>10.50204081632653</v>
      </c>
      <c r="O236">
        <v>4.9</v>
      </c>
      <c r="P236">
        <v>2.68</v>
      </c>
      <c r="Q236">
        <v>0.5469387755102041</v>
      </c>
      <c r="R236">
        <v>24</v>
      </c>
      <c r="S236">
        <v>0.06021008469571831</v>
      </c>
      <c r="T236" t="s">
        <v>952</v>
      </c>
      <c r="U236">
        <v>-0.3309040001647</v>
      </c>
      <c r="V236" t="s">
        <v>1004</v>
      </c>
      <c r="W236" t="s">
        <v>1008</v>
      </c>
      <c r="X236" t="s">
        <v>1015</v>
      </c>
      <c r="Y236">
        <v>407.985136</v>
      </c>
      <c r="Z236" s="2">
        <v>45132</v>
      </c>
      <c r="AA236" t="s">
        <v>1023</v>
      </c>
    </row>
    <row r="237" spans="1:27">
      <c r="A237" s="1" t="s">
        <v>262</v>
      </c>
      <c r="B237">
        <f>HYPERLINK("https://www.suredividend.com/sure-analysis-IPG/","Interpublic Group Of Cos., Inc.")</f>
        <v>0</v>
      </c>
      <c r="C237" t="s">
        <v>899</v>
      </c>
      <c r="D237">
        <v>34</v>
      </c>
      <c r="E237">
        <v>30.64</v>
      </c>
      <c r="F237">
        <v>30</v>
      </c>
      <c r="G237">
        <v>1.021333333333333</v>
      </c>
      <c r="H237">
        <v>0.04046997389033943</v>
      </c>
      <c r="I237">
        <v>-0.004212893403475526</v>
      </c>
      <c r="J237">
        <v>0.07000000000000001</v>
      </c>
      <c r="K237">
        <v>0.1011237392162574</v>
      </c>
      <c r="L237" t="s">
        <v>902</v>
      </c>
      <c r="M237" t="s">
        <v>902</v>
      </c>
      <c r="N237">
        <v>12.256</v>
      </c>
      <c r="O237">
        <v>2.5</v>
      </c>
      <c r="P237">
        <v>1.24</v>
      </c>
      <c r="Q237">
        <v>0.496</v>
      </c>
      <c r="R237">
        <v>12</v>
      </c>
      <c r="S237">
        <v>0.06513694131438896</v>
      </c>
      <c r="T237" t="s">
        <v>916</v>
      </c>
      <c r="U237">
        <v>0.123397785583061</v>
      </c>
      <c r="V237" t="s">
        <v>1004</v>
      </c>
      <c r="W237" t="s">
        <v>1008</v>
      </c>
      <c r="X237" t="s">
        <v>1017</v>
      </c>
      <c r="Y237">
        <v>12287.11556</v>
      </c>
      <c r="Z237" s="2">
        <v>45128</v>
      </c>
      <c r="AA237" t="s">
        <v>1032</v>
      </c>
    </row>
    <row r="238" spans="1:27">
      <c r="A238" s="1" t="s">
        <v>263</v>
      </c>
      <c r="B238">
        <f>HYPERLINK("https://www.suredividend.com/sure-analysis-UVV/","Universal Corp.")</f>
        <v>0</v>
      </c>
      <c r="C238" t="s">
        <v>898</v>
      </c>
      <c r="D238">
        <v>46</v>
      </c>
      <c r="E238">
        <v>46.8</v>
      </c>
      <c r="F238">
        <v>55</v>
      </c>
      <c r="G238">
        <v>0.8509090909090908</v>
      </c>
      <c r="H238">
        <v>0.06837606837606838</v>
      </c>
      <c r="I238">
        <v>0.03281697514887538</v>
      </c>
      <c r="J238">
        <v>0.015</v>
      </c>
      <c r="K238">
        <v>0.1010360802546904</v>
      </c>
      <c r="L238" t="s">
        <v>902</v>
      </c>
      <c r="M238" t="s">
        <v>901</v>
      </c>
      <c r="N238">
        <v>10.17391304347826</v>
      </c>
      <c r="O238">
        <v>4.6</v>
      </c>
      <c r="P238">
        <v>3.2</v>
      </c>
      <c r="Q238">
        <v>0.6956521739130436</v>
      </c>
      <c r="R238">
        <v>53</v>
      </c>
      <c r="S238">
        <v>0.009805797673485328</v>
      </c>
      <c r="T238" t="s">
        <v>921</v>
      </c>
      <c r="U238">
        <v>-0.01942560688052</v>
      </c>
      <c r="V238" t="s">
        <v>1004</v>
      </c>
      <c r="W238" t="s">
        <v>1008</v>
      </c>
      <c r="X238" t="s">
        <v>1011</v>
      </c>
      <c r="Y238">
        <v>1156.68837</v>
      </c>
      <c r="Z238" s="2">
        <v>45180</v>
      </c>
      <c r="AA238" t="s">
        <v>1028</v>
      </c>
    </row>
    <row r="239" spans="1:27">
      <c r="A239" s="1" t="s">
        <v>264</v>
      </c>
      <c r="B239">
        <f>HYPERLINK("https://www.suredividend.com/sure-analysis-FTS/","Fortis Inc.")</f>
        <v>0</v>
      </c>
      <c r="C239" t="s">
        <v>898</v>
      </c>
      <c r="D239">
        <v>40</v>
      </c>
      <c r="E239">
        <v>40.73</v>
      </c>
      <c r="F239">
        <v>42</v>
      </c>
      <c r="G239">
        <v>0.9697619047619047</v>
      </c>
      <c r="H239">
        <v>0.04100171863491284</v>
      </c>
      <c r="I239">
        <v>0.00615983354879801</v>
      </c>
      <c r="J239">
        <v>0.06</v>
      </c>
      <c r="K239">
        <v>0.1009865472100009</v>
      </c>
      <c r="L239" t="s">
        <v>902</v>
      </c>
      <c r="M239" t="s">
        <v>902</v>
      </c>
      <c r="N239">
        <v>18.51363636363636</v>
      </c>
      <c r="O239">
        <v>2.2</v>
      </c>
      <c r="P239">
        <v>1.67</v>
      </c>
      <c r="Q239">
        <v>0.759090909090909</v>
      </c>
      <c r="R239">
        <v>49</v>
      </c>
      <c r="S239">
        <v>0.04986299075316025</v>
      </c>
      <c r="T239" t="s">
        <v>905</v>
      </c>
      <c r="U239">
        <v>-0.08056072230818501</v>
      </c>
      <c r="V239" t="s">
        <v>1004</v>
      </c>
      <c r="W239" t="s">
        <v>1009</v>
      </c>
      <c r="X239" t="s">
        <v>1018</v>
      </c>
      <c r="Y239">
        <v>19453.261868</v>
      </c>
      <c r="Z239" s="2">
        <v>45141</v>
      </c>
      <c r="AA239" t="s">
        <v>1036</v>
      </c>
    </row>
    <row r="240" spans="1:27">
      <c r="A240" s="1" t="s">
        <v>265</v>
      </c>
      <c r="B240">
        <f>HYPERLINK("https://www.suredividend.com/sure-analysis-UHT/","Universal Health Realty Income Trust")</f>
        <v>0</v>
      </c>
      <c r="C240" t="s">
        <v>899</v>
      </c>
      <c r="D240">
        <v>47.3</v>
      </c>
      <c r="E240">
        <v>45.08</v>
      </c>
      <c r="F240">
        <v>51.4</v>
      </c>
      <c r="G240">
        <v>0.8770428015564202</v>
      </c>
      <c r="H240">
        <v>0.06388642413487133</v>
      </c>
      <c r="I240">
        <v>0.02658719377238694</v>
      </c>
      <c r="J240">
        <v>0.025</v>
      </c>
      <c r="K240">
        <v>0.1009396788810824</v>
      </c>
      <c r="L240" t="s">
        <v>902</v>
      </c>
      <c r="M240" t="s">
        <v>901</v>
      </c>
      <c r="N240">
        <v>12.28337874659401</v>
      </c>
      <c r="O240">
        <v>3.67</v>
      </c>
      <c r="P240">
        <v>2.88</v>
      </c>
      <c r="Q240">
        <v>0.784741144414169</v>
      </c>
      <c r="R240">
        <v>38</v>
      </c>
      <c r="S240">
        <v>0.008197818497166498</v>
      </c>
      <c r="T240" t="s">
        <v>951</v>
      </c>
      <c r="U240">
        <v>-0.057524641846902</v>
      </c>
      <c r="V240" t="s">
        <v>1005</v>
      </c>
      <c r="W240" t="s">
        <v>1008</v>
      </c>
      <c r="X240" t="s">
        <v>1019</v>
      </c>
      <c r="Y240">
        <v>627.246989</v>
      </c>
      <c r="Z240" s="2">
        <v>45145</v>
      </c>
      <c r="AA240" t="s">
        <v>1033</v>
      </c>
    </row>
    <row r="241" spans="1:27">
      <c r="A241" s="1" t="s">
        <v>266</v>
      </c>
      <c r="B241">
        <f>HYPERLINK("https://www.suredividend.com/sure-analysis-SWKS/","Skyworks Solutions, Inc.")</f>
        <v>0</v>
      </c>
      <c r="C241" t="s">
        <v>899</v>
      </c>
      <c r="D241">
        <v>107</v>
      </c>
      <c r="E241">
        <v>96.64</v>
      </c>
      <c r="F241">
        <v>110</v>
      </c>
      <c r="G241">
        <v>0.8785454545454545</v>
      </c>
      <c r="H241">
        <v>0.02628311258278146</v>
      </c>
      <c r="I241">
        <v>0.02623578092927548</v>
      </c>
      <c r="J241">
        <v>0.05</v>
      </c>
      <c r="K241">
        <v>0.1005278920329005</v>
      </c>
      <c r="L241" t="s">
        <v>902</v>
      </c>
      <c r="M241" t="s">
        <v>902</v>
      </c>
      <c r="N241">
        <v>11.4638196915777</v>
      </c>
      <c r="O241">
        <v>8.43</v>
      </c>
      <c r="P241">
        <v>2.54</v>
      </c>
      <c r="Q241">
        <v>0.3013048635824437</v>
      </c>
      <c r="R241">
        <v>10</v>
      </c>
      <c r="S241">
        <v>0.06985089978261017</v>
      </c>
      <c r="T241" t="s">
        <v>966</v>
      </c>
      <c r="U241">
        <v>-0.028995860883191</v>
      </c>
      <c r="V241" t="s">
        <v>1004</v>
      </c>
      <c r="W241" t="s">
        <v>1008</v>
      </c>
      <c r="X241" t="s">
        <v>1016</v>
      </c>
      <c r="Y241">
        <v>15446.734346</v>
      </c>
      <c r="Z241" s="2">
        <v>45155</v>
      </c>
      <c r="AA241" t="s">
        <v>1027</v>
      </c>
    </row>
    <row r="242" spans="1:27">
      <c r="A242" s="1" t="s">
        <v>267</v>
      </c>
      <c r="B242">
        <f>HYPERLINK("https://www.suredividend.com/sure-analysis-SXT/","Sensient Technologies Corp.")</f>
        <v>0</v>
      </c>
      <c r="C242" t="s">
        <v>898</v>
      </c>
      <c r="D242">
        <v>62</v>
      </c>
      <c r="E242">
        <v>62.01</v>
      </c>
      <c r="F242">
        <v>64</v>
      </c>
      <c r="G242">
        <v>0.96890625</v>
      </c>
      <c r="H242">
        <v>0.02644734720206418</v>
      </c>
      <c r="I242">
        <v>0.00633748159177383</v>
      </c>
      <c r="J242">
        <v>0.07000000000000001</v>
      </c>
      <c r="K242">
        <v>0.0986794595671614</v>
      </c>
      <c r="L242" t="s">
        <v>902</v>
      </c>
      <c r="M242" t="s">
        <v>580</v>
      </c>
      <c r="N242">
        <v>20.26470588235294</v>
      </c>
      <c r="O242">
        <v>3.06</v>
      </c>
      <c r="P242">
        <v>1.64</v>
      </c>
      <c r="Q242">
        <v>0.5359477124183006</v>
      </c>
      <c r="R242">
        <v>16</v>
      </c>
      <c r="S242">
        <v>0.04968861687192305</v>
      </c>
      <c r="T242" t="s">
        <v>910</v>
      </c>
      <c r="U242">
        <v>-0.211350070335965</v>
      </c>
      <c r="V242" t="s">
        <v>1004</v>
      </c>
      <c r="W242" t="s">
        <v>1008</v>
      </c>
      <c r="X242" t="s">
        <v>1011</v>
      </c>
      <c r="Y242">
        <v>2629.211526</v>
      </c>
      <c r="Z242" s="2">
        <v>45143</v>
      </c>
      <c r="AA242" t="s">
        <v>1034</v>
      </c>
    </row>
    <row r="243" spans="1:27">
      <c r="A243" s="1" t="s">
        <v>268</v>
      </c>
      <c r="B243">
        <f>HYPERLINK("https://www.suredividend.com/sure-analysis-EPD/","Enterprise Products Partners L P")</f>
        <v>0</v>
      </c>
      <c r="C243" t="s">
        <v>898</v>
      </c>
      <c r="D243">
        <v>26.5</v>
      </c>
      <c r="E243">
        <v>26.96</v>
      </c>
      <c r="F243">
        <v>28.2</v>
      </c>
      <c r="G243">
        <v>0.9560283687943263</v>
      </c>
      <c r="H243">
        <v>0.07418397626112759</v>
      </c>
      <c r="I243">
        <v>0.009034101757862567</v>
      </c>
      <c r="J243">
        <v>0.028</v>
      </c>
      <c r="K243">
        <v>0.09859445494874741</v>
      </c>
      <c r="L243" t="s">
        <v>902</v>
      </c>
      <c r="M243" t="s">
        <v>901</v>
      </c>
      <c r="N243">
        <v>7.659090909090909</v>
      </c>
      <c r="O243">
        <v>3.52</v>
      </c>
      <c r="P243">
        <v>2</v>
      </c>
      <c r="Q243">
        <v>0.5681818181818182</v>
      </c>
      <c r="R243">
        <v>25</v>
      </c>
      <c r="S243">
        <v>0.02474471859817751</v>
      </c>
      <c r="T243" t="s">
        <v>918</v>
      </c>
      <c r="U243">
        <v>0.07550570799118701</v>
      </c>
      <c r="V243" t="s">
        <v>1006</v>
      </c>
      <c r="W243" t="s">
        <v>1008</v>
      </c>
      <c r="X243" t="s">
        <v>1020</v>
      </c>
      <c r="Y243">
        <v>58311.550114</v>
      </c>
      <c r="Z243" s="2">
        <v>45164</v>
      </c>
      <c r="AA243" t="s">
        <v>1033</v>
      </c>
    </row>
    <row r="244" spans="1:27">
      <c r="A244" s="1" t="s">
        <v>269</v>
      </c>
      <c r="B244">
        <f>HYPERLINK("https://www.suredividend.com/sure-analysis-CMCSA/","Comcast Corp")</f>
        <v>0</v>
      </c>
      <c r="C244" t="s">
        <v>899</v>
      </c>
      <c r="D244">
        <v>45</v>
      </c>
      <c r="E244">
        <v>45.19</v>
      </c>
      <c r="F244">
        <v>44</v>
      </c>
      <c r="G244">
        <v>1.027045454545455</v>
      </c>
      <c r="H244">
        <v>0.02566939588404514</v>
      </c>
      <c r="I244">
        <v>-0.005323020152527724</v>
      </c>
      <c r="J244">
        <v>0.08</v>
      </c>
      <c r="K244">
        <v>0.09759888696239605</v>
      </c>
      <c r="L244" t="s">
        <v>902</v>
      </c>
      <c r="M244" t="s">
        <v>902</v>
      </c>
      <c r="N244">
        <v>12.27989130434782</v>
      </c>
      <c r="O244">
        <v>3.68</v>
      </c>
      <c r="P244">
        <v>1.16</v>
      </c>
      <c r="Q244">
        <v>0.3152173913043478</v>
      </c>
      <c r="R244">
        <v>15</v>
      </c>
      <c r="S244">
        <v>0.07943920234636304</v>
      </c>
      <c r="T244" t="s">
        <v>944</v>
      </c>
      <c r="U244">
        <v>0.315456247034474</v>
      </c>
      <c r="V244" t="s">
        <v>1004</v>
      </c>
      <c r="W244" t="s">
        <v>1008</v>
      </c>
      <c r="X244" t="s">
        <v>1017</v>
      </c>
      <c r="Y244">
        <v>185987.965529</v>
      </c>
      <c r="Z244" s="2">
        <v>45138</v>
      </c>
      <c r="AA244" t="s">
        <v>1036</v>
      </c>
    </row>
    <row r="245" spans="1:27">
      <c r="A245" s="1" t="s">
        <v>270</v>
      </c>
      <c r="B245">
        <f>HYPERLINK("https://www.suredividend.com/sure-analysis-ICE/","Intercontinental Exchange Inc")</f>
        <v>0</v>
      </c>
      <c r="C245" t="s">
        <v>898</v>
      </c>
      <c r="D245">
        <v>114</v>
      </c>
      <c r="E245">
        <v>116.35</v>
      </c>
      <c r="F245">
        <v>118</v>
      </c>
      <c r="G245">
        <v>0.9860169491525423</v>
      </c>
      <c r="H245">
        <v>0.01443919209282338</v>
      </c>
      <c r="I245">
        <v>0.002820316574270176</v>
      </c>
      <c r="J245">
        <v>0.08</v>
      </c>
      <c r="K245">
        <v>0.09717850476501289</v>
      </c>
      <c r="L245" t="s">
        <v>902</v>
      </c>
      <c r="M245" t="s">
        <v>580</v>
      </c>
      <c r="N245">
        <v>20.62943262411348</v>
      </c>
      <c r="O245">
        <v>5.64</v>
      </c>
      <c r="P245">
        <v>1.68</v>
      </c>
      <c r="Q245">
        <v>0.2978723404255319</v>
      </c>
      <c r="R245">
        <v>11</v>
      </c>
      <c r="S245">
        <v>0.1099295930724042</v>
      </c>
      <c r="T245" t="s">
        <v>912</v>
      </c>
      <c r="U245">
        <v>0.131807408318135</v>
      </c>
      <c r="V245" t="s">
        <v>1004</v>
      </c>
      <c r="W245" t="s">
        <v>1008</v>
      </c>
      <c r="X245" t="s">
        <v>1015</v>
      </c>
      <c r="Y245">
        <v>64989.356254</v>
      </c>
      <c r="Z245" s="2">
        <v>45161</v>
      </c>
      <c r="AA245" t="s">
        <v>1029</v>
      </c>
    </row>
    <row r="246" spans="1:27">
      <c r="A246" s="1" t="s">
        <v>271</v>
      </c>
      <c r="B246">
        <f>HYPERLINK("https://www.suredividend.com/sure-analysis-INGR/","Ingredion Inc")</f>
        <v>0</v>
      </c>
      <c r="C246" t="s">
        <v>899</v>
      </c>
      <c r="D246">
        <v>101</v>
      </c>
      <c r="E246">
        <v>99.01000000000001</v>
      </c>
      <c r="F246">
        <v>121</v>
      </c>
      <c r="G246">
        <v>0.8182644628099174</v>
      </c>
      <c r="H246">
        <v>0.03151196848803151</v>
      </c>
      <c r="I246">
        <v>0.04092936894271682</v>
      </c>
      <c r="J246">
        <v>0.03</v>
      </c>
      <c r="K246">
        <v>0.09706754528571282</v>
      </c>
      <c r="L246" t="s">
        <v>902</v>
      </c>
      <c r="M246" t="s">
        <v>902</v>
      </c>
      <c r="N246">
        <v>12.29937888198758</v>
      </c>
      <c r="O246">
        <v>8.050000000000001</v>
      </c>
      <c r="P246">
        <v>3.12</v>
      </c>
      <c r="Q246">
        <v>0.3875776397515528</v>
      </c>
      <c r="R246">
        <v>13</v>
      </c>
      <c r="S246">
        <v>0.03017449941847161</v>
      </c>
      <c r="T246" t="s">
        <v>938</v>
      </c>
      <c r="U246">
        <v>0.203475219828914</v>
      </c>
      <c r="V246" t="s">
        <v>1004</v>
      </c>
      <c r="W246" t="s">
        <v>1008</v>
      </c>
      <c r="X246" t="s">
        <v>1011</v>
      </c>
      <c r="Y246">
        <v>6664.31013</v>
      </c>
      <c r="Z246" s="2">
        <v>45146</v>
      </c>
      <c r="AA246" t="s">
        <v>1031</v>
      </c>
    </row>
    <row r="247" spans="1:27">
      <c r="A247" s="1" t="s">
        <v>272</v>
      </c>
      <c r="B247">
        <f>HYPERLINK("https://www.suredividend.com/sure-analysis-AUBN/","Auburn National Bancorp Inc.")</f>
        <v>0</v>
      </c>
      <c r="C247" t="s">
        <v>899</v>
      </c>
      <c r="D247">
        <v>22</v>
      </c>
      <c r="E247">
        <v>21.09</v>
      </c>
      <c r="F247">
        <v>25</v>
      </c>
      <c r="G247">
        <v>0.8436</v>
      </c>
      <c r="H247">
        <v>0.05120910384068279</v>
      </c>
      <c r="I247">
        <v>0.03460050435544137</v>
      </c>
      <c r="J247">
        <v>0.02</v>
      </c>
      <c r="K247">
        <v>0.09679151554601573</v>
      </c>
      <c r="L247" t="s">
        <v>902</v>
      </c>
      <c r="M247" t="s">
        <v>901</v>
      </c>
      <c r="N247">
        <v>9.169565217391305</v>
      </c>
      <c r="O247">
        <v>2.3</v>
      </c>
      <c r="P247">
        <v>1.08</v>
      </c>
      <c r="Q247">
        <v>0.4695652173913044</v>
      </c>
      <c r="R247">
        <v>22</v>
      </c>
      <c r="S247">
        <v>0.0280153179958833</v>
      </c>
      <c r="T247" t="s">
        <v>924</v>
      </c>
      <c r="U247">
        <v>-0.158520569060295</v>
      </c>
      <c r="V247" t="s">
        <v>1004</v>
      </c>
      <c r="W247" t="s">
        <v>1008</v>
      </c>
      <c r="X247" t="s">
        <v>1015</v>
      </c>
      <c r="Y247">
        <v>74.84500199999999</v>
      </c>
      <c r="Z247" s="2">
        <v>45138</v>
      </c>
      <c r="AA247" t="s">
        <v>1023</v>
      </c>
    </row>
    <row r="248" spans="1:27">
      <c r="A248" s="1" t="s">
        <v>273</v>
      </c>
      <c r="B248">
        <f>HYPERLINK("https://www.suredividend.com/sure-analysis-K/","Kellogg Co")</f>
        <v>0</v>
      </c>
      <c r="C248" t="s">
        <v>899</v>
      </c>
      <c r="D248">
        <v>64</v>
      </c>
      <c r="E248">
        <v>58.92</v>
      </c>
      <c r="F248">
        <v>66</v>
      </c>
      <c r="G248">
        <v>0.8927272727272727</v>
      </c>
      <c r="H248">
        <v>0.04073319755600814</v>
      </c>
      <c r="I248">
        <v>0.02295431702863593</v>
      </c>
      <c r="J248">
        <v>0.04</v>
      </c>
      <c r="K248">
        <v>0.09656002881688686</v>
      </c>
      <c r="L248" t="s">
        <v>902</v>
      </c>
      <c r="M248" t="s">
        <v>902</v>
      </c>
      <c r="N248">
        <v>14.19759036144578</v>
      </c>
      <c r="O248">
        <v>4.15</v>
      </c>
      <c r="P248">
        <v>2.4</v>
      </c>
      <c r="Q248">
        <v>0.5783132530120482</v>
      </c>
      <c r="R248">
        <v>19</v>
      </c>
      <c r="S248">
        <v>0.02983277847878951</v>
      </c>
      <c r="T248" t="s">
        <v>916</v>
      </c>
      <c r="U248">
        <v>-0.149733863846141</v>
      </c>
      <c r="V248" t="s">
        <v>1004</v>
      </c>
      <c r="W248" t="s">
        <v>1008</v>
      </c>
      <c r="X248" t="s">
        <v>1011</v>
      </c>
      <c r="Y248">
        <v>20270.556</v>
      </c>
      <c r="Z248" s="2">
        <v>45152</v>
      </c>
      <c r="AA248" t="s">
        <v>1030</v>
      </c>
    </row>
    <row r="249" spans="1:27">
      <c r="A249" s="1" t="s">
        <v>274</v>
      </c>
      <c r="B249">
        <f>HYPERLINK("https://www.suredividend.com/sure-analysis-DTE/","DTE Energy Co.")</f>
        <v>0</v>
      </c>
      <c r="C249" t="s">
        <v>899</v>
      </c>
      <c r="D249">
        <v>108</v>
      </c>
      <c r="E249">
        <v>106.05</v>
      </c>
      <c r="F249">
        <v>114</v>
      </c>
      <c r="G249">
        <v>0.9302631578947368</v>
      </c>
      <c r="H249">
        <v>0.03592644978783593</v>
      </c>
      <c r="I249">
        <v>0.01456256938373435</v>
      </c>
      <c r="J249">
        <v>0.05</v>
      </c>
      <c r="K249">
        <v>0.09584604291309007</v>
      </c>
      <c r="L249" t="s">
        <v>902</v>
      </c>
      <c r="M249" t="s">
        <v>902</v>
      </c>
      <c r="N249">
        <v>16.968</v>
      </c>
      <c r="O249">
        <v>6.25</v>
      </c>
      <c r="P249">
        <v>3.81</v>
      </c>
      <c r="Q249">
        <v>0.6096</v>
      </c>
      <c r="R249">
        <v>14</v>
      </c>
      <c r="S249">
        <v>0.04988627602367712</v>
      </c>
      <c r="T249" t="s">
        <v>904</v>
      </c>
      <c r="U249">
        <v>-0.210816492051968</v>
      </c>
      <c r="V249" t="s">
        <v>1004</v>
      </c>
      <c r="W249" t="s">
        <v>1008</v>
      </c>
      <c r="X249" t="s">
        <v>1018</v>
      </c>
      <c r="Y249">
        <v>21425.767001</v>
      </c>
      <c r="Z249" s="2">
        <v>45153</v>
      </c>
      <c r="AA249" t="s">
        <v>1022</v>
      </c>
    </row>
    <row r="250" spans="1:27">
      <c r="A250" s="1" t="s">
        <v>275</v>
      </c>
      <c r="B250">
        <f>HYPERLINK("https://www.suredividend.com/sure-analysis-NRG/","NRG Energy Inc.")</f>
        <v>0</v>
      </c>
      <c r="C250" t="s">
        <v>898</v>
      </c>
      <c r="D250">
        <v>38</v>
      </c>
      <c r="E250">
        <v>38.76</v>
      </c>
      <c r="F250">
        <v>48</v>
      </c>
      <c r="G250">
        <v>0.8075</v>
      </c>
      <c r="H250">
        <v>0.03895768833849329</v>
      </c>
      <c r="I250">
        <v>0.04368993140494304</v>
      </c>
      <c r="J250">
        <v>0.02</v>
      </c>
      <c r="K250">
        <v>0.09583939404779551</v>
      </c>
      <c r="L250" t="s">
        <v>902</v>
      </c>
      <c r="M250" t="s">
        <v>901</v>
      </c>
      <c r="N250">
        <v>6.056249999999999</v>
      </c>
      <c r="O250">
        <v>6.4</v>
      </c>
      <c r="P250">
        <v>1.51</v>
      </c>
      <c r="Q250">
        <v>0.2359375</v>
      </c>
      <c r="R250">
        <v>4</v>
      </c>
      <c r="S250">
        <v>0.02994069964269874</v>
      </c>
      <c r="T250" t="s">
        <v>957</v>
      </c>
      <c r="U250">
        <v>-0.09187357115026201</v>
      </c>
      <c r="V250" t="s">
        <v>1004</v>
      </c>
      <c r="W250" t="s">
        <v>1008</v>
      </c>
      <c r="X250" t="s">
        <v>1018</v>
      </c>
      <c r="Y250">
        <v>8864.553367</v>
      </c>
      <c r="Z250" s="2">
        <v>45173</v>
      </c>
      <c r="AA250" t="s">
        <v>1034</v>
      </c>
    </row>
    <row r="251" spans="1:27">
      <c r="A251" s="1" t="s">
        <v>276</v>
      </c>
      <c r="B251">
        <f>HYPERLINK("https://www.suredividend.com/sure-analysis-AXP/","American Express Co.")</f>
        <v>0</v>
      </c>
      <c r="C251" t="s">
        <v>899</v>
      </c>
      <c r="D251">
        <v>167</v>
      </c>
      <c r="E251">
        <v>159.14</v>
      </c>
      <c r="F251">
        <v>168</v>
      </c>
      <c r="G251">
        <v>0.9472619047619046</v>
      </c>
      <c r="H251">
        <v>0.01508106070126932</v>
      </c>
      <c r="I251">
        <v>0.01089485363532949</v>
      </c>
      <c r="J251">
        <v>0.07000000000000001</v>
      </c>
      <c r="K251">
        <v>0.0952799320577844</v>
      </c>
      <c r="L251" t="s">
        <v>902</v>
      </c>
      <c r="M251" t="s">
        <v>580</v>
      </c>
      <c r="N251">
        <v>14.20892857142857</v>
      </c>
      <c r="O251">
        <v>11.2</v>
      </c>
      <c r="P251">
        <v>2.4</v>
      </c>
      <c r="Q251">
        <v>0.2142857142857143</v>
      </c>
      <c r="R251">
        <v>2</v>
      </c>
      <c r="S251">
        <v>0.08022119107630199</v>
      </c>
      <c r="T251" t="s">
        <v>907</v>
      </c>
      <c r="U251">
        <v>-0.010172429836213</v>
      </c>
      <c r="V251" t="s">
        <v>1004</v>
      </c>
      <c r="W251" t="s">
        <v>1008</v>
      </c>
      <c r="X251" t="s">
        <v>1015</v>
      </c>
      <c r="Y251">
        <v>116728.731212</v>
      </c>
      <c r="Z251" s="2">
        <v>45141</v>
      </c>
      <c r="AA251" t="s">
        <v>1028</v>
      </c>
    </row>
    <row r="252" spans="1:27">
      <c r="A252" s="1" t="s">
        <v>277</v>
      </c>
      <c r="B252">
        <f>HYPERLINK("https://www.suredividend.com/sure-analysis-CBU/","Community Bank System, Inc.")</f>
        <v>0</v>
      </c>
      <c r="C252" t="s">
        <v>899</v>
      </c>
      <c r="D252">
        <v>54</v>
      </c>
      <c r="E252">
        <v>43.08</v>
      </c>
      <c r="F252">
        <v>48</v>
      </c>
      <c r="G252">
        <v>0.8975</v>
      </c>
      <c r="H252">
        <v>0.04178272980501393</v>
      </c>
      <c r="I252">
        <v>0.02186402166800439</v>
      </c>
      <c r="J252">
        <v>0.04</v>
      </c>
      <c r="K252">
        <v>0.09451317547354021</v>
      </c>
      <c r="L252" t="s">
        <v>902</v>
      </c>
      <c r="M252" t="s">
        <v>901</v>
      </c>
      <c r="N252">
        <v>12.67058823529412</v>
      </c>
      <c r="O252">
        <v>3.4</v>
      </c>
      <c r="P252">
        <v>1.8</v>
      </c>
      <c r="Q252">
        <v>0.5294117647058824</v>
      </c>
      <c r="R252">
        <v>31</v>
      </c>
      <c r="S252">
        <v>0.009805797673485328</v>
      </c>
      <c r="T252" t="s">
        <v>912</v>
      </c>
      <c r="U252">
        <v>-0.304845602632544</v>
      </c>
      <c r="V252" t="s">
        <v>1004</v>
      </c>
      <c r="W252" t="s">
        <v>1008</v>
      </c>
      <c r="X252" t="s">
        <v>1015</v>
      </c>
      <c r="Y252">
        <v>2362.138214</v>
      </c>
      <c r="Z252" s="2">
        <v>45140</v>
      </c>
      <c r="AA252" t="s">
        <v>1030</v>
      </c>
    </row>
    <row r="253" spans="1:27">
      <c r="A253" s="1" t="s">
        <v>278</v>
      </c>
      <c r="B253">
        <f>HYPERLINK("https://www.suredividend.com/sure-analysis-ETR/","Entergy Corp.")</f>
        <v>0</v>
      </c>
      <c r="C253" t="s">
        <v>899</v>
      </c>
      <c r="D253">
        <v>95</v>
      </c>
      <c r="E253">
        <v>97.09</v>
      </c>
      <c r="F253">
        <v>101</v>
      </c>
      <c r="G253">
        <v>0.9612871287128714</v>
      </c>
      <c r="H253">
        <v>0.04408280976413637</v>
      </c>
      <c r="I253">
        <v>0.007927685693057684</v>
      </c>
      <c r="J253">
        <v>0.05</v>
      </c>
      <c r="K253">
        <v>0.09422733284318352</v>
      </c>
      <c r="L253" t="s">
        <v>902</v>
      </c>
      <c r="M253" t="s">
        <v>902</v>
      </c>
      <c r="N253">
        <v>14.4910447761194</v>
      </c>
      <c r="O253">
        <v>6.7</v>
      </c>
      <c r="P253">
        <v>4.28</v>
      </c>
      <c r="Q253">
        <v>0.6388059701492538</v>
      </c>
      <c r="R253">
        <v>29</v>
      </c>
      <c r="S253">
        <v>0.02992969870596451</v>
      </c>
      <c r="T253" t="s">
        <v>915</v>
      </c>
      <c r="U253">
        <v>-0.174361216536577</v>
      </c>
      <c r="V253" t="s">
        <v>1004</v>
      </c>
      <c r="W253" t="s">
        <v>1008</v>
      </c>
      <c r="X253" t="s">
        <v>1018</v>
      </c>
      <c r="Y253">
        <v>20244.757995</v>
      </c>
      <c r="Z253" s="2">
        <v>45159</v>
      </c>
      <c r="AA253" t="s">
        <v>1028</v>
      </c>
    </row>
    <row r="254" spans="1:27">
      <c r="A254" s="1" t="s">
        <v>279</v>
      </c>
      <c r="B254">
        <f>HYPERLINK("https://www.suredividend.com/sure-analysis-AMX/","America Movil S.A.B.DE C.V.")</f>
        <v>0</v>
      </c>
      <c r="C254" t="s">
        <v>899</v>
      </c>
      <c r="D254">
        <v>19</v>
      </c>
      <c r="E254">
        <v>18.21</v>
      </c>
      <c r="F254">
        <v>22</v>
      </c>
      <c r="G254">
        <v>0.8277272727272728</v>
      </c>
      <c r="H254">
        <v>0.02965403624382208</v>
      </c>
      <c r="I254">
        <v>0.03853837078078404</v>
      </c>
      <c r="J254">
        <v>0.03</v>
      </c>
      <c r="K254">
        <v>0.09370088090257922</v>
      </c>
      <c r="L254" t="s">
        <v>902</v>
      </c>
      <c r="M254" t="s">
        <v>902</v>
      </c>
      <c r="N254">
        <v>11.38125</v>
      </c>
      <c r="O254">
        <v>1.6</v>
      </c>
      <c r="P254">
        <v>0.54</v>
      </c>
      <c r="Q254">
        <v>0.3375</v>
      </c>
      <c r="R254">
        <v>3</v>
      </c>
      <c r="S254">
        <v>0.03456371594357321</v>
      </c>
      <c r="T254" t="s">
        <v>908</v>
      </c>
      <c r="U254">
        <v>-0.100051383689348</v>
      </c>
      <c r="V254" t="s">
        <v>1004</v>
      </c>
      <c r="W254" t="s">
        <v>1009</v>
      </c>
      <c r="X254" t="s">
        <v>1017</v>
      </c>
      <c r="Y254">
        <v>57914.7075</v>
      </c>
      <c r="Z254" s="2">
        <v>45156</v>
      </c>
      <c r="AA254" t="s">
        <v>1022</v>
      </c>
    </row>
    <row r="255" spans="1:27">
      <c r="A255" s="1" t="s">
        <v>280</v>
      </c>
      <c r="B255">
        <f>HYPERLINK("https://www.suredividend.com/sure-analysis-AMGN/","AMGEN Inc.")</f>
        <v>0</v>
      </c>
      <c r="C255" t="s">
        <v>899</v>
      </c>
      <c r="D255">
        <v>253</v>
      </c>
      <c r="E255">
        <v>257.23</v>
      </c>
      <c r="F255">
        <v>247</v>
      </c>
      <c r="G255">
        <v>1.041417004048583</v>
      </c>
      <c r="H255">
        <v>0.03312210861874586</v>
      </c>
      <c r="I255">
        <v>-0.008083608425253574</v>
      </c>
      <c r="J255">
        <v>0.07000000000000001</v>
      </c>
      <c r="K255">
        <v>0.09341087120036917</v>
      </c>
      <c r="L255" t="s">
        <v>902</v>
      </c>
      <c r="M255" t="s">
        <v>902</v>
      </c>
      <c r="N255">
        <v>14.05628415300546</v>
      </c>
      <c r="O255">
        <v>18.3</v>
      </c>
      <c r="P255">
        <v>8.52</v>
      </c>
      <c r="Q255">
        <v>0.4655737704918033</v>
      </c>
      <c r="R255">
        <v>12</v>
      </c>
      <c r="S255">
        <v>0.09001536381722608</v>
      </c>
      <c r="T255" t="s">
        <v>932</v>
      </c>
      <c r="U255">
        <v>0.132361590099981</v>
      </c>
      <c r="V255" t="s">
        <v>1004</v>
      </c>
      <c r="W255" t="s">
        <v>1008</v>
      </c>
      <c r="X255" t="s">
        <v>1014</v>
      </c>
      <c r="Y255">
        <v>139240.126426</v>
      </c>
      <c r="Z255" s="2">
        <v>45148</v>
      </c>
      <c r="AA255" t="s">
        <v>1021</v>
      </c>
    </row>
    <row r="256" spans="1:27">
      <c r="A256" s="1" t="s">
        <v>281</v>
      </c>
      <c r="B256">
        <f>HYPERLINK("https://www.suredividend.com/sure-analysis-NDAQ/","Nasdaq Inc")</f>
        <v>0</v>
      </c>
      <c r="C256" t="s">
        <v>899</v>
      </c>
      <c r="D256">
        <v>50</v>
      </c>
      <c r="E256">
        <v>50.6609</v>
      </c>
      <c r="F256">
        <v>55</v>
      </c>
      <c r="G256">
        <v>0.9211072727272727</v>
      </c>
      <c r="H256">
        <v>0.01737039807820232</v>
      </c>
      <c r="I256">
        <v>0.01657156511322722</v>
      </c>
      <c r="J256">
        <v>0.06</v>
      </c>
      <c r="K256">
        <v>0.09294174909790853</v>
      </c>
      <c r="L256" t="s">
        <v>902</v>
      </c>
      <c r="M256" t="s">
        <v>580</v>
      </c>
      <c r="N256">
        <v>18.42214545454545</v>
      </c>
      <c r="O256">
        <v>2.75</v>
      </c>
      <c r="P256">
        <v>0.88</v>
      </c>
      <c r="Q256">
        <v>0.32</v>
      </c>
      <c r="R256">
        <v>11</v>
      </c>
      <c r="S256">
        <v>0.06926287390519925</v>
      </c>
      <c r="T256" t="s">
        <v>904</v>
      </c>
      <c r="U256">
        <v>-0.182056412204156</v>
      </c>
      <c r="V256" t="s">
        <v>1004</v>
      </c>
      <c r="W256" t="s">
        <v>1008</v>
      </c>
      <c r="X256" t="s">
        <v>1015</v>
      </c>
      <c r="Y256">
        <v>25288.042755</v>
      </c>
      <c r="Z256" s="2">
        <v>45127</v>
      </c>
      <c r="AA256" t="s">
        <v>1023</v>
      </c>
    </row>
    <row r="257" spans="1:27">
      <c r="A257" s="1" t="s">
        <v>282</v>
      </c>
      <c r="B257">
        <f>HYPERLINK("https://www.suredividend.com/sure-analysis-CTSH/","Cognizant Technology Solutions Corp.")</f>
        <v>0</v>
      </c>
      <c r="C257" t="s">
        <v>898</v>
      </c>
      <c r="D257">
        <v>69</v>
      </c>
      <c r="E257">
        <v>70.7</v>
      </c>
      <c r="F257">
        <v>70</v>
      </c>
      <c r="G257">
        <v>1.01</v>
      </c>
      <c r="H257">
        <v>0.01640735502121641</v>
      </c>
      <c r="I257">
        <v>-0.00198808730186284</v>
      </c>
      <c r="J257">
        <v>0.08</v>
      </c>
      <c r="K257">
        <v>0.09291873755910429</v>
      </c>
      <c r="L257" t="s">
        <v>902</v>
      </c>
      <c r="M257" t="s">
        <v>580</v>
      </c>
      <c r="N257">
        <v>16.06818181818182</v>
      </c>
      <c r="O257">
        <v>4.4</v>
      </c>
      <c r="P257">
        <v>1.16</v>
      </c>
      <c r="Q257">
        <v>0.2636363636363636</v>
      </c>
      <c r="R257">
        <v>4</v>
      </c>
      <c r="S257">
        <v>0.08196719070537761</v>
      </c>
      <c r="T257" t="s">
        <v>905</v>
      </c>
      <c r="U257">
        <v>0.07635638093776301</v>
      </c>
      <c r="V257" t="s">
        <v>1004</v>
      </c>
      <c r="W257" t="s">
        <v>1008</v>
      </c>
      <c r="X257" t="s">
        <v>1016</v>
      </c>
      <c r="Y257">
        <v>35418.552821</v>
      </c>
      <c r="Z257" s="2">
        <v>45157</v>
      </c>
      <c r="AA257" t="s">
        <v>1022</v>
      </c>
    </row>
    <row r="258" spans="1:27">
      <c r="A258" s="1" t="s">
        <v>283</v>
      </c>
      <c r="B258">
        <f>HYPERLINK("https://www.suredividend.com/sure-analysis-DPZ/","Dominos Pizza Inc")</f>
        <v>0</v>
      </c>
      <c r="C258" t="s">
        <v>899</v>
      </c>
      <c r="D258">
        <v>399</v>
      </c>
      <c r="E258">
        <v>395.25</v>
      </c>
      <c r="F258">
        <v>328</v>
      </c>
      <c r="G258">
        <v>1.205030487804878</v>
      </c>
      <c r="H258">
        <v>0.01224541429475016</v>
      </c>
      <c r="I258">
        <v>-0.03661386202690642</v>
      </c>
      <c r="J258">
        <v>0.12</v>
      </c>
      <c r="K258">
        <v>0.09260295639311544</v>
      </c>
      <c r="L258" t="s">
        <v>902</v>
      </c>
      <c r="M258" t="s">
        <v>825</v>
      </c>
      <c r="N258">
        <v>30.17175572519084</v>
      </c>
      <c r="O258">
        <v>13.1</v>
      </c>
      <c r="P258">
        <v>4.84</v>
      </c>
      <c r="Q258">
        <v>0.3694656488549619</v>
      </c>
      <c r="R258">
        <v>10</v>
      </c>
      <c r="S258">
        <v>0.1486983549970351</v>
      </c>
      <c r="T258" t="s">
        <v>912</v>
      </c>
      <c r="U258">
        <v>0.09544380099711201</v>
      </c>
      <c r="V258" t="s">
        <v>1004</v>
      </c>
      <c r="W258" t="s">
        <v>1008</v>
      </c>
      <c r="X258" t="s">
        <v>1013</v>
      </c>
      <c r="Y258">
        <v>13812.767111</v>
      </c>
      <c r="Z258" s="2">
        <v>45139</v>
      </c>
      <c r="AA258" t="s">
        <v>1022</v>
      </c>
    </row>
    <row r="259" spans="1:27">
      <c r="A259" s="1" t="s">
        <v>284</v>
      </c>
      <c r="B259">
        <f>HYPERLINK("https://www.suredividend.com/sure-analysis-PNGAY/","Ping AN Insurance (Group) Co. of China, Ltd.")</f>
        <v>0</v>
      </c>
      <c r="C259" t="s">
        <v>899</v>
      </c>
      <c r="D259">
        <v>12.31</v>
      </c>
      <c r="E259">
        <v>11.92</v>
      </c>
      <c r="F259">
        <v>12</v>
      </c>
      <c r="G259">
        <v>0.9933333333333333</v>
      </c>
      <c r="H259">
        <v>0.0587248322147651</v>
      </c>
      <c r="I259">
        <v>0.001338692880585857</v>
      </c>
      <c r="J259">
        <v>0.04</v>
      </c>
      <c r="K259">
        <v>0.09234098570083948</v>
      </c>
      <c r="L259" t="s">
        <v>902</v>
      </c>
      <c r="M259" t="s">
        <v>901</v>
      </c>
      <c r="N259">
        <v>5.96</v>
      </c>
      <c r="O259">
        <v>2</v>
      </c>
      <c r="P259">
        <v>0.7</v>
      </c>
      <c r="Q259">
        <v>0.35</v>
      </c>
      <c r="R259">
        <v>13</v>
      </c>
      <c r="S259">
        <v>0.03959498820755258</v>
      </c>
      <c r="T259" t="s">
        <v>962</v>
      </c>
      <c r="U259">
        <v>0.07716218522877301</v>
      </c>
      <c r="V259" t="s">
        <v>1004</v>
      </c>
      <c r="W259" t="s">
        <v>1009</v>
      </c>
      <c r="X259" t="s">
        <v>1015</v>
      </c>
      <c r="Y259">
        <v>44648.223587</v>
      </c>
      <c r="Z259" s="2">
        <v>45172</v>
      </c>
      <c r="AA259" t="s">
        <v>1032</v>
      </c>
    </row>
    <row r="260" spans="1:27">
      <c r="A260" s="1" t="s">
        <v>285</v>
      </c>
      <c r="B260">
        <f>HYPERLINK("https://www.suredividend.com/sure-analysis-MDLZ/","Mondelez International Inc.")</f>
        <v>0</v>
      </c>
      <c r="C260" t="s">
        <v>899</v>
      </c>
      <c r="D260">
        <v>75</v>
      </c>
      <c r="E260">
        <v>71.29000000000001</v>
      </c>
      <c r="F260">
        <v>68</v>
      </c>
      <c r="G260">
        <v>1.048382352941177</v>
      </c>
      <c r="H260">
        <v>0.02384626174779071</v>
      </c>
      <c r="I260">
        <v>-0.009405164145496303</v>
      </c>
      <c r="J260">
        <v>0.08</v>
      </c>
      <c r="K260">
        <v>0.09198558997703454</v>
      </c>
      <c r="L260" t="s">
        <v>902</v>
      </c>
      <c r="M260" t="s">
        <v>580</v>
      </c>
      <c r="N260">
        <v>22.00308641975309</v>
      </c>
      <c r="O260">
        <v>3.24</v>
      </c>
      <c r="P260">
        <v>1.7</v>
      </c>
      <c r="Q260">
        <v>0.5246913580246914</v>
      </c>
      <c r="R260">
        <v>9</v>
      </c>
      <c r="S260">
        <v>0.0801851873035635</v>
      </c>
      <c r="T260" t="s">
        <v>911</v>
      </c>
      <c r="U260">
        <v>0.181112832343809</v>
      </c>
      <c r="V260" t="s">
        <v>1004</v>
      </c>
      <c r="W260" t="s">
        <v>1008</v>
      </c>
      <c r="X260" t="s">
        <v>1011</v>
      </c>
      <c r="Y260">
        <v>96671.297324</v>
      </c>
      <c r="Z260" s="2">
        <v>45138</v>
      </c>
      <c r="AA260" t="s">
        <v>1036</v>
      </c>
    </row>
    <row r="261" spans="1:27">
      <c r="A261" s="1" t="s">
        <v>286</v>
      </c>
      <c r="B261">
        <f>HYPERLINK("https://www.suredividend.com/sure-analysis-LMT/","Lockheed Martin Corp.")</f>
        <v>0</v>
      </c>
      <c r="C261" t="s">
        <v>899</v>
      </c>
      <c r="D261">
        <v>457</v>
      </c>
      <c r="E261">
        <v>420.99</v>
      </c>
      <c r="F261">
        <v>434</v>
      </c>
      <c r="G261">
        <v>0.9700230414746543</v>
      </c>
      <c r="H261">
        <v>0.02850424000570085</v>
      </c>
      <c r="I261">
        <v>0.006105654718422837</v>
      </c>
      <c r="J261">
        <v>0.06</v>
      </c>
      <c r="K261">
        <v>0.09159463038734628</v>
      </c>
      <c r="L261" t="s">
        <v>902</v>
      </c>
      <c r="M261" t="s">
        <v>902</v>
      </c>
      <c r="N261">
        <v>15.53468634686347</v>
      </c>
      <c r="O261">
        <v>27.1</v>
      </c>
      <c r="P261">
        <v>12</v>
      </c>
      <c r="Q261">
        <v>0.4428044280442804</v>
      </c>
      <c r="R261">
        <v>21</v>
      </c>
      <c r="S261">
        <v>0.06001706997692002</v>
      </c>
      <c r="T261" t="s">
        <v>916</v>
      </c>
      <c r="U261">
        <v>0.024217147860549</v>
      </c>
      <c r="V261" t="s">
        <v>1004</v>
      </c>
      <c r="W261" t="s">
        <v>1008</v>
      </c>
      <c r="X261" t="s">
        <v>1012</v>
      </c>
      <c r="Y261">
        <v>105222.739767</v>
      </c>
      <c r="Z261" s="2">
        <v>45127</v>
      </c>
      <c r="AA261" t="s">
        <v>1029</v>
      </c>
    </row>
    <row r="262" spans="1:27">
      <c r="A262" s="1" t="s">
        <v>287</v>
      </c>
      <c r="B262">
        <f>HYPERLINK("https://www.suredividend.com/sure-analysis-AVNT/","Avient Corp")</f>
        <v>0</v>
      </c>
      <c r="C262" t="s">
        <v>899</v>
      </c>
      <c r="D262">
        <v>39</v>
      </c>
      <c r="E262">
        <v>36.7725</v>
      </c>
      <c r="F262">
        <v>42</v>
      </c>
      <c r="G262">
        <v>0.8755357142857143</v>
      </c>
      <c r="H262">
        <v>0.02692229247399551</v>
      </c>
      <c r="I262">
        <v>0.02694037007300643</v>
      </c>
      <c r="J262">
        <v>0.04</v>
      </c>
      <c r="K262">
        <v>0.09032432198812312</v>
      </c>
      <c r="L262" t="s">
        <v>902</v>
      </c>
      <c r="M262" t="s">
        <v>902</v>
      </c>
      <c r="N262">
        <v>15.00918367346939</v>
      </c>
      <c r="O262">
        <v>2.45</v>
      </c>
      <c r="P262">
        <v>0.99</v>
      </c>
      <c r="Q262">
        <v>0.4040816326530612</v>
      </c>
      <c r="R262">
        <v>12</v>
      </c>
      <c r="S262">
        <v>0.03922410156720635</v>
      </c>
      <c r="T262" t="s">
        <v>904</v>
      </c>
      <c r="U262">
        <v>-0.103966048027419</v>
      </c>
      <c r="V262" t="s">
        <v>1004</v>
      </c>
      <c r="W262" t="s">
        <v>1008</v>
      </c>
      <c r="X262" t="s">
        <v>1010</v>
      </c>
      <c r="Y262">
        <v>3438.294764</v>
      </c>
      <c r="Z262" s="2">
        <v>45143</v>
      </c>
      <c r="AA262" t="s">
        <v>1034</v>
      </c>
    </row>
    <row r="263" spans="1:27">
      <c r="A263" s="1" t="s">
        <v>288</v>
      </c>
      <c r="B263">
        <f>HYPERLINK("https://www.suredividend.com/sure-analysis-SUN/","Sunoco LP")</f>
        <v>0</v>
      </c>
      <c r="C263" t="s">
        <v>899</v>
      </c>
      <c r="D263">
        <v>45</v>
      </c>
      <c r="E263">
        <v>45.38</v>
      </c>
      <c r="F263">
        <v>48</v>
      </c>
      <c r="G263">
        <v>0.9454166666666667</v>
      </c>
      <c r="H263">
        <v>0.0742617893345086</v>
      </c>
      <c r="I263">
        <v>0.01128915324397384</v>
      </c>
      <c r="J263">
        <v>0.015</v>
      </c>
      <c r="K263">
        <v>0.08929048285892383</v>
      </c>
      <c r="L263" t="s">
        <v>902</v>
      </c>
      <c r="M263" t="s">
        <v>901</v>
      </c>
      <c r="N263">
        <v>6.132432432432433</v>
      </c>
      <c r="O263">
        <v>7.4</v>
      </c>
      <c r="P263">
        <v>3.37</v>
      </c>
      <c r="Q263">
        <v>0.4554054054054054</v>
      </c>
      <c r="R263">
        <v>1</v>
      </c>
      <c r="S263">
        <v>0.01995874947187981</v>
      </c>
      <c r="T263" t="s">
        <v>947</v>
      </c>
      <c r="U263">
        <v>0.203189330549504</v>
      </c>
      <c r="V263" t="s">
        <v>1006</v>
      </c>
      <c r="W263" t="s">
        <v>1008</v>
      </c>
      <c r="X263" t="s">
        <v>1020</v>
      </c>
      <c r="Y263">
        <v>3798.061173</v>
      </c>
      <c r="Z263" s="2">
        <v>45168</v>
      </c>
      <c r="AA263" t="s">
        <v>1028</v>
      </c>
    </row>
    <row r="264" spans="1:27">
      <c r="A264" s="1" t="s">
        <v>289</v>
      </c>
      <c r="B264">
        <f>HYPERLINK("https://www.suredividend.com/sure-analysis-GWLIF/","Great-West Lifeco Inc.")</f>
        <v>0</v>
      </c>
      <c r="C264" t="s">
        <v>899</v>
      </c>
      <c r="D264">
        <v>29</v>
      </c>
      <c r="E264">
        <v>29.61</v>
      </c>
      <c r="F264">
        <v>31</v>
      </c>
      <c r="G264">
        <v>0.9551612903225807</v>
      </c>
      <c r="H264">
        <v>0.05234718000675448</v>
      </c>
      <c r="I264">
        <v>0.009217231923822178</v>
      </c>
      <c r="J264">
        <v>0.035</v>
      </c>
      <c r="K264">
        <v>0.08877550091657094</v>
      </c>
      <c r="L264" t="s">
        <v>902</v>
      </c>
      <c r="M264" t="s">
        <v>901</v>
      </c>
      <c r="N264">
        <v>10.42605633802817</v>
      </c>
      <c r="O264">
        <v>2.84</v>
      </c>
      <c r="P264">
        <v>1.55</v>
      </c>
      <c r="Q264">
        <v>0.545774647887324</v>
      </c>
      <c r="R264">
        <v>7</v>
      </c>
      <c r="S264">
        <v>0.03035803310185115</v>
      </c>
      <c r="T264" t="s">
        <v>925</v>
      </c>
      <c r="U264">
        <v>0.253869379078463</v>
      </c>
      <c r="V264" t="s">
        <v>1004</v>
      </c>
      <c r="W264" t="s">
        <v>1009</v>
      </c>
      <c r="X264" t="s">
        <v>1015</v>
      </c>
      <c r="Y264">
        <v>27615.691912</v>
      </c>
      <c r="Z264" s="2">
        <v>45155</v>
      </c>
      <c r="AA264" t="s">
        <v>1026</v>
      </c>
    </row>
    <row r="265" spans="1:27">
      <c r="A265" s="1" t="s">
        <v>290</v>
      </c>
      <c r="B265">
        <f>HYPERLINK("https://www.suredividend.com/sure-analysis-EMN/","Eastman Chemical Co")</f>
        <v>0</v>
      </c>
      <c r="C265" t="s">
        <v>899</v>
      </c>
      <c r="D265">
        <v>86</v>
      </c>
      <c r="E265">
        <v>77.18000000000001</v>
      </c>
      <c r="F265">
        <v>74</v>
      </c>
      <c r="G265">
        <v>1.042972972972973</v>
      </c>
      <c r="H265">
        <v>0.04094324954651464</v>
      </c>
      <c r="I265">
        <v>-0.008379745133510696</v>
      </c>
      <c r="J265">
        <v>0.06</v>
      </c>
      <c r="K265">
        <v>0.0884592209467463</v>
      </c>
      <c r="L265" t="s">
        <v>902</v>
      </c>
      <c r="M265" t="s">
        <v>902</v>
      </c>
      <c r="N265">
        <v>11.43407407407408</v>
      </c>
      <c r="O265">
        <v>6.75</v>
      </c>
      <c r="P265">
        <v>3.16</v>
      </c>
      <c r="Q265">
        <v>0.4681481481481481</v>
      </c>
      <c r="R265">
        <v>13</v>
      </c>
      <c r="S265">
        <v>0.06006051179311167</v>
      </c>
      <c r="T265" t="s">
        <v>912</v>
      </c>
      <c r="U265">
        <v>-0.131807246322877</v>
      </c>
      <c r="V265" t="s">
        <v>1004</v>
      </c>
      <c r="W265" t="s">
        <v>1008</v>
      </c>
      <c r="X265" t="s">
        <v>1010</v>
      </c>
      <c r="Y265">
        <v>9403.840821</v>
      </c>
      <c r="Z265" s="2">
        <v>45136</v>
      </c>
      <c r="AA265" t="s">
        <v>1032</v>
      </c>
    </row>
    <row r="266" spans="1:27">
      <c r="A266" s="1" t="s">
        <v>291</v>
      </c>
      <c r="B266">
        <f>HYPERLINK("https://www.suredividend.com/sure-analysis-NVS/","Novartis AG")</f>
        <v>0</v>
      </c>
      <c r="C266" t="s">
        <v>899</v>
      </c>
      <c r="D266">
        <v>103</v>
      </c>
      <c r="E266">
        <v>100.78</v>
      </c>
      <c r="F266">
        <v>110</v>
      </c>
      <c r="G266">
        <v>0.9161818181818182</v>
      </c>
      <c r="H266">
        <v>0.03472911291923</v>
      </c>
      <c r="I266">
        <v>0.01766225348674344</v>
      </c>
      <c r="J266">
        <v>0.04</v>
      </c>
      <c r="K266">
        <v>0.08786822868073219</v>
      </c>
      <c r="L266" t="s">
        <v>902</v>
      </c>
      <c r="M266" t="s">
        <v>902</v>
      </c>
      <c r="N266">
        <v>14.71240875912409</v>
      </c>
      <c r="O266">
        <v>6.85</v>
      </c>
      <c r="P266">
        <v>3.5</v>
      </c>
      <c r="Q266">
        <v>0.5109489051094891</v>
      </c>
      <c r="R266">
        <v>27</v>
      </c>
      <c r="S266">
        <v>0.04008374958398786</v>
      </c>
      <c r="T266" t="s">
        <v>968</v>
      </c>
      <c r="U266">
        <v>0.256401519264781</v>
      </c>
      <c r="V266" t="s">
        <v>1004</v>
      </c>
      <c r="W266" t="s">
        <v>1009</v>
      </c>
      <c r="X266" t="s">
        <v>1014</v>
      </c>
      <c r="Y266">
        <v>229250.910516</v>
      </c>
      <c r="Z266" s="2">
        <v>45126</v>
      </c>
      <c r="AA266" t="s">
        <v>1021</v>
      </c>
    </row>
    <row r="267" spans="1:27">
      <c r="A267" s="1" t="s">
        <v>292</v>
      </c>
      <c r="B267">
        <f>HYPERLINK("https://www.suredividend.com/sure-analysis-CSCO/","Cisco Systems, Inc.")</f>
        <v>0</v>
      </c>
      <c r="C267" t="s">
        <v>899</v>
      </c>
      <c r="D267">
        <v>55</v>
      </c>
      <c r="E267">
        <v>56.28</v>
      </c>
      <c r="F267">
        <v>57</v>
      </c>
      <c r="G267">
        <v>0.9873684210526316</v>
      </c>
      <c r="H267">
        <v>0.02771855010660981</v>
      </c>
      <c r="I267">
        <v>0.00254564177533978</v>
      </c>
      <c r="J267">
        <v>0.06</v>
      </c>
      <c r="K267">
        <v>0.08750429618919142</v>
      </c>
      <c r="L267" t="s">
        <v>902</v>
      </c>
      <c r="M267" t="s">
        <v>902</v>
      </c>
      <c r="N267">
        <v>13.8962962962963</v>
      </c>
      <c r="O267">
        <v>4.05</v>
      </c>
      <c r="P267">
        <v>1.56</v>
      </c>
      <c r="Q267">
        <v>0.3851851851851852</v>
      </c>
      <c r="R267">
        <v>13</v>
      </c>
      <c r="S267">
        <v>0.0602403725183247</v>
      </c>
      <c r="T267" t="s">
        <v>919</v>
      </c>
      <c r="U267">
        <v>0.255035498876054</v>
      </c>
      <c r="V267" t="s">
        <v>1004</v>
      </c>
      <c r="W267" t="s">
        <v>1008</v>
      </c>
      <c r="X267" t="s">
        <v>1016</v>
      </c>
      <c r="Y267">
        <v>228653.430383</v>
      </c>
      <c r="Z267" s="2">
        <v>45163</v>
      </c>
      <c r="AA267" t="s">
        <v>1021</v>
      </c>
    </row>
    <row r="268" spans="1:27">
      <c r="A268" s="1" t="s">
        <v>293</v>
      </c>
      <c r="B268">
        <f>HYPERLINK("https://www.suredividend.com/sure-analysis-FDX/","Fedex Corp")</f>
        <v>0</v>
      </c>
      <c r="C268" t="s">
        <v>898</v>
      </c>
      <c r="D268">
        <v>229</v>
      </c>
      <c r="E268">
        <v>252.16</v>
      </c>
      <c r="F268">
        <v>263</v>
      </c>
      <c r="G268">
        <v>0.9587832699619772</v>
      </c>
      <c r="H268">
        <v>0.01998730964467005</v>
      </c>
      <c r="I268">
        <v>0.008453576474904079</v>
      </c>
      <c r="J268">
        <v>0.06</v>
      </c>
      <c r="K268">
        <v>0.08665118806390604</v>
      </c>
      <c r="L268" t="s">
        <v>902</v>
      </c>
      <c r="M268" t="s">
        <v>580</v>
      </c>
      <c r="N268">
        <v>14.40914285714286</v>
      </c>
      <c r="O268">
        <v>17.5</v>
      </c>
      <c r="P268">
        <v>5.04</v>
      </c>
      <c r="Q268">
        <v>0.288</v>
      </c>
      <c r="R268">
        <v>3</v>
      </c>
      <c r="S268">
        <v>0.05985358218414349</v>
      </c>
      <c r="T268" t="s">
        <v>962</v>
      </c>
      <c r="U268">
        <v>0.20310154957872</v>
      </c>
      <c r="V268" t="s">
        <v>1004</v>
      </c>
      <c r="W268" t="s">
        <v>1008</v>
      </c>
      <c r="X268" t="s">
        <v>1012</v>
      </c>
      <c r="Y268">
        <v>63247.319785</v>
      </c>
      <c r="Z268" s="2">
        <v>45099</v>
      </c>
      <c r="AA268" t="s">
        <v>1032</v>
      </c>
    </row>
    <row r="269" spans="1:27">
      <c r="A269" s="1" t="s">
        <v>294</v>
      </c>
      <c r="B269">
        <f>HYPERLINK("https://www.suredividend.com/sure-analysis-WTRG/","Essential Utilities Inc")</f>
        <v>0</v>
      </c>
      <c r="C269" t="s">
        <v>898</v>
      </c>
      <c r="D269">
        <v>37</v>
      </c>
      <c r="E269">
        <v>37.9</v>
      </c>
      <c r="F269">
        <v>34</v>
      </c>
      <c r="G269">
        <v>1.114705882352941</v>
      </c>
      <c r="H269">
        <v>0.03245382585751979</v>
      </c>
      <c r="I269">
        <v>-0.02148397727226337</v>
      </c>
      <c r="J269">
        <v>0.08</v>
      </c>
      <c r="K269">
        <v>0.08625096768673535</v>
      </c>
      <c r="L269" t="s">
        <v>902</v>
      </c>
      <c r="M269" t="s">
        <v>902</v>
      </c>
      <c r="N269">
        <v>20.15957446808511</v>
      </c>
      <c r="O269">
        <v>1.88</v>
      </c>
      <c r="P269">
        <v>1.23</v>
      </c>
      <c r="Q269">
        <v>0.6542553191489362</v>
      </c>
      <c r="R269">
        <v>32</v>
      </c>
      <c r="S269">
        <v>0.06051243834129849</v>
      </c>
      <c r="T269" t="s">
        <v>915</v>
      </c>
      <c r="U269">
        <v>-0.197862107656926</v>
      </c>
      <c r="V269" t="s">
        <v>1004</v>
      </c>
      <c r="W269" t="s">
        <v>1008</v>
      </c>
      <c r="X269" t="s">
        <v>1018</v>
      </c>
      <c r="Y269">
        <v>9908.386406</v>
      </c>
      <c r="Z269" s="2">
        <v>45157</v>
      </c>
      <c r="AA269" t="s">
        <v>1022</v>
      </c>
    </row>
    <row r="270" spans="1:27">
      <c r="A270" s="1" t="s">
        <v>295</v>
      </c>
      <c r="B270">
        <f>HYPERLINK("https://www.suredividend.com/sure-analysis-CLX/","Clorox Co.")</f>
        <v>0</v>
      </c>
      <c r="C270" t="s">
        <v>899</v>
      </c>
      <c r="D270">
        <v>150</v>
      </c>
      <c r="E270">
        <v>147.35</v>
      </c>
      <c r="F270">
        <v>133</v>
      </c>
      <c r="G270">
        <v>1.107894736842105</v>
      </c>
      <c r="H270">
        <v>0.0325755005089922</v>
      </c>
      <c r="I270">
        <v>-0.02028377560342309</v>
      </c>
      <c r="J270">
        <v>0.08</v>
      </c>
      <c r="K270">
        <v>0.08587543624466387</v>
      </c>
      <c r="L270" t="s">
        <v>902</v>
      </c>
      <c r="M270" t="s">
        <v>902</v>
      </c>
      <c r="N270">
        <v>25.4051724137931</v>
      </c>
      <c r="O270">
        <v>5.8</v>
      </c>
      <c r="P270">
        <v>4.8</v>
      </c>
      <c r="Q270">
        <v>0.8275862068965517</v>
      </c>
      <c r="R270">
        <v>46</v>
      </c>
      <c r="S270">
        <v>0.04000235313991807</v>
      </c>
      <c r="T270" t="s">
        <v>954</v>
      </c>
      <c r="U270">
        <v>0.042600256189742</v>
      </c>
      <c r="V270" t="s">
        <v>1004</v>
      </c>
      <c r="W270" t="s">
        <v>1008</v>
      </c>
      <c r="X270" t="s">
        <v>1011</v>
      </c>
      <c r="Y270">
        <v>18524.368553</v>
      </c>
      <c r="Z270" s="2">
        <v>45160</v>
      </c>
      <c r="AA270" t="s">
        <v>1030</v>
      </c>
    </row>
    <row r="271" spans="1:27">
      <c r="A271" s="1" t="s">
        <v>296</v>
      </c>
      <c r="B271">
        <f>HYPERLINK("https://www.suredividend.com/sure-analysis-FLIC/","First Of Long Island Corp.")</f>
        <v>0</v>
      </c>
      <c r="C271" t="s">
        <v>899</v>
      </c>
      <c r="D271">
        <v>14</v>
      </c>
      <c r="E271">
        <v>12.38</v>
      </c>
      <c r="F271">
        <v>13</v>
      </c>
      <c r="G271">
        <v>0.9523076923076924</v>
      </c>
      <c r="H271">
        <v>0.06785137318255249</v>
      </c>
      <c r="I271">
        <v>0.009821333864358017</v>
      </c>
      <c r="J271">
        <v>0.02</v>
      </c>
      <c r="K271">
        <v>0.08566406458570919</v>
      </c>
      <c r="L271" t="s">
        <v>902</v>
      </c>
      <c r="M271" t="s">
        <v>901</v>
      </c>
      <c r="N271">
        <v>9.904</v>
      </c>
      <c r="O271">
        <v>1.25</v>
      </c>
      <c r="P271">
        <v>0.84</v>
      </c>
      <c r="Q271">
        <v>0.6719999999999999</v>
      </c>
      <c r="R271">
        <v>45</v>
      </c>
      <c r="S271">
        <v>0.009347419909568888</v>
      </c>
      <c r="T271" t="s">
        <v>953</v>
      </c>
      <c r="U271">
        <v>-0.28211254178105</v>
      </c>
      <c r="V271" t="s">
        <v>1004</v>
      </c>
      <c r="W271" t="s">
        <v>1008</v>
      </c>
      <c r="X271" t="s">
        <v>1015</v>
      </c>
      <c r="Y271">
        <v>282.159575</v>
      </c>
      <c r="Z271" s="2">
        <v>45141</v>
      </c>
      <c r="AA271" t="s">
        <v>1028</v>
      </c>
    </row>
    <row r="272" spans="1:27">
      <c r="A272" s="1" t="s">
        <v>297</v>
      </c>
      <c r="B272">
        <f>HYPERLINK("https://www.suredividend.com/sure-analysis-GEF/","Greif Inc")</f>
        <v>0</v>
      </c>
      <c r="C272" t="s">
        <v>899</v>
      </c>
      <c r="D272">
        <v>73</v>
      </c>
      <c r="E272">
        <v>67.33</v>
      </c>
      <c r="F272">
        <v>74</v>
      </c>
      <c r="G272">
        <v>0.9098648648648648</v>
      </c>
      <c r="H272">
        <v>0.03089261844645775</v>
      </c>
      <c r="I272">
        <v>0.01907141798529155</v>
      </c>
      <c r="J272">
        <v>0.04</v>
      </c>
      <c r="K272">
        <v>0.08478692462194348</v>
      </c>
      <c r="L272" t="s">
        <v>902</v>
      </c>
      <c r="M272" t="s">
        <v>902</v>
      </c>
      <c r="N272">
        <v>12.24181818181818</v>
      </c>
      <c r="O272">
        <v>5.5</v>
      </c>
      <c r="P272">
        <v>2.08</v>
      </c>
      <c r="Q272">
        <v>0.3781818181818182</v>
      </c>
      <c r="R272">
        <v>3</v>
      </c>
      <c r="S272">
        <v>0.0220800938152379</v>
      </c>
      <c r="T272" t="s">
        <v>904</v>
      </c>
      <c r="U272">
        <v>0.026486193048386</v>
      </c>
      <c r="V272" t="s">
        <v>1004</v>
      </c>
      <c r="W272" t="s">
        <v>1008</v>
      </c>
      <c r="X272" t="s">
        <v>1013</v>
      </c>
      <c r="Y272">
        <v>3267.82171</v>
      </c>
      <c r="Z272" s="2">
        <v>45170</v>
      </c>
      <c r="AA272" t="s">
        <v>1022</v>
      </c>
    </row>
    <row r="273" spans="1:27">
      <c r="A273" s="1" t="s">
        <v>298</v>
      </c>
      <c r="B273">
        <f>HYPERLINK("https://www.suredividend.com/sure-analysis-RHI/","Robert Half Inc")</f>
        <v>0</v>
      </c>
      <c r="C273" t="s">
        <v>899</v>
      </c>
      <c r="D273">
        <v>76</v>
      </c>
      <c r="E273">
        <v>72.63</v>
      </c>
      <c r="F273">
        <v>80</v>
      </c>
      <c r="G273">
        <v>0.907875</v>
      </c>
      <c r="H273">
        <v>0.02643535729037588</v>
      </c>
      <c r="I273">
        <v>0.01951774351077784</v>
      </c>
      <c r="J273">
        <v>0.04</v>
      </c>
      <c r="K273">
        <v>0.08419596179342737</v>
      </c>
      <c r="L273" t="s">
        <v>902</v>
      </c>
      <c r="M273" t="s">
        <v>902</v>
      </c>
      <c r="N273">
        <v>18.1575</v>
      </c>
      <c r="O273">
        <v>4</v>
      </c>
      <c r="P273">
        <v>1.92</v>
      </c>
      <c r="Q273">
        <v>0.48</v>
      </c>
      <c r="R273">
        <v>19</v>
      </c>
      <c r="S273">
        <v>0.06005006969898052</v>
      </c>
      <c r="T273" t="s">
        <v>922</v>
      </c>
      <c r="U273">
        <v>-0.08711870737826101</v>
      </c>
      <c r="V273" t="s">
        <v>1004</v>
      </c>
      <c r="W273" t="s">
        <v>1008</v>
      </c>
      <c r="X273" t="s">
        <v>1012</v>
      </c>
      <c r="Y273">
        <v>7746.332063</v>
      </c>
      <c r="Z273" s="2">
        <v>45145</v>
      </c>
      <c r="AA273" t="s">
        <v>1034</v>
      </c>
    </row>
    <row r="274" spans="1:27">
      <c r="A274" s="1" t="s">
        <v>299</v>
      </c>
      <c r="B274">
        <f>HYPERLINK("https://www.suredividend.com/sure-analysis-LAD/","Lithia Motors, Inc.")</f>
        <v>0</v>
      </c>
      <c r="C274" t="s">
        <v>899</v>
      </c>
      <c r="D274">
        <v>311</v>
      </c>
      <c r="E274">
        <v>293.11</v>
      </c>
      <c r="F274">
        <v>302</v>
      </c>
      <c r="G274">
        <v>0.9705629139072848</v>
      </c>
      <c r="H274">
        <v>0.006823376889222476</v>
      </c>
      <c r="I274">
        <v>0.005993701213052871</v>
      </c>
      <c r="J274">
        <v>0.07000000000000001</v>
      </c>
      <c r="K274">
        <v>0.08315344963806948</v>
      </c>
      <c r="L274" t="s">
        <v>902</v>
      </c>
      <c r="M274" t="s">
        <v>825</v>
      </c>
      <c r="N274">
        <v>7.754232804232805</v>
      </c>
      <c r="O274">
        <v>37.8</v>
      </c>
      <c r="P274">
        <v>2</v>
      </c>
      <c r="Q274">
        <v>0.05291005291005291</v>
      </c>
      <c r="R274">
        <v>11</v>
      </c>
      <c r="S274">
        <v>0.09993032380125255</v>
      </c>
      <c r="T274" t="s">
        <v>915</v>
      </c>
      <c r="U274">
        <v>0.15862124693193</v>
      </c>
      <c r="V274" t="s">
        <v>1004</v>
      </c>
      <c r="W274" t="s">
        <v>1008</v>
      </c>
      <c r="X274" t="s">
        <v>1013</v>
      </c>
      <c r="Y274">
        <v>8231.424000000001</v>
      </c>
      <c r="Z274" s="2">
        <v>45138</v>
      </c>
      <c r="AA274" t="s">
        <v>1026</v>
      </c>
    </row>
    <row r="275" spans="1:27">
      <c r="A275" s="1" t="s">
        <v>300</v>
      </c>
      <c r="B275">
        <f>HYPERLINK("https://www.suredividend.com/sure-analysis-EQIX/","Equinix Inc")</f>
        <v>0</v>
      </c>
      <c r="C275" t="s">
        <v>899</v>
      </c>
      <c r="D275">
        <v>758</v>
      </c>
      <c r="E275">
        <v>768.9299999999999</v>
      </c>
      <c r="F275">
        <v>716</v>
      </c>
      <c r="G275">
        <v>1.073924581005587</v>
      </c>
      <c r="H275">
        <v>0.01773893592394626</v>
      </c>
      <c r="I275">
        <v>-0.0141627059954218</v>
      </c>
      <c r="J275">
        <v>0.08</v>
      </c>
      <c r="K275">
        <v>0.08164794449162605</v>
      </c>
      <c r="L275" t="s">
        <v>902</v>
      </c>
      <c r="M275" t="s">
        <v>825</v>
      </c>
      <c r="N275">
        <v>24.1573986804901</v>
      </c>
      <c r="O275">
        <v>31.83</v>
      </c>
      <c r="P275">
        <v>13.64</v>
      </c>
      <c r="Q275">
        <v>0.428526547282438</v>
      </c>
      <c r="R275">
        <v>7</v>
      </c>
      <c r="S275">
        <v>0.07998237845783285</v>
      </c>
      <c r="T275" t="s">
        <v>913</v>
      </c>
      <c r="U275">
        <v>0.19505875435027</v>
      </c>
      <c r="V275" t="s">
        <v>1005</v>
      </c>
      <c r="W275" t="s">
        <v>1008</v>
      </c>
      <c r="X275" t="s">
        <v>1019</v>
      </c>
      <c r="Y275">
        <v>72335.04506400001</v>
      </c>
      <c r="Z275" s="2">
        <v>45145</v>
      </c>
      <c r="AA275" t="s">
        <v>1026</v>
      </c>
    </row>
    <row r="276" spans="1:27">
      <c r="A276" s="1" t="s">
        <v>301</v>
      </c>
      <c r="B276">
        <f>HYPERLINK("https://www.suredividend.com/sure-analysis-MMP/","Magellan Midstream Partners L.P.")</f>
        <v>0</v>
      </c>
      <c r="C276" t="s">
        <v>898</v>
      </c>
      <c r="D276">
        <v>64</v>
      </c>
      <c r="E276">
        <v>68.18000000000001</v>
      </c>
      <c r="F276">
        <v>68</v>
      </c>
      <c r="G276">
        <v>1.002647058823529</v>
      </c>
      <c r="H276">
        <v>0.0614549721325902</v>
      </c>
      <c r="I276">
        <v>-0.0005285725630076454</v>
      </c>
      <c r="J276">
        <v>0.03</v>
      </c>
      <c r="K276">
        <v>0.08049059677500359</v>
      </c>
      <c r="L276" t="s">
        <v>902</v>
      </c>
      <c r="M276" t="s">
        <v>901</v>
      </c>
      <c r="N276">
        <v>10.99677419354839</v>
      </c>
      <c r="O276">
        <v>6.2</v>
      </c>
      <c r="P276">
        <v>4.19</v>
      </c>
      <c r="Q276">
        <v>0.6758064516129033</v>
      </c>
      <c r="R276">
        <v>22</v>
      </c>
      <c r="S276">
        <v>0.009828749370162759</v>
      </c>
      <c r="T276" t="s">
        <v>910</v>
      </c>
      <c r="U276">
        <v>0.4177050221177011</v>
      </c>
      <c r="V276" t="s">
        <v>1006</v>
      </c>
      <c r="W276" t="s">
        <v>1008</v>
      </c>
      <c r="X276" t="s">
        <v>1020</v>
      </c>
      <c r="Y276">
        <v>13718.249328</v>
      </c>
      <c r="Z276" s="2">
        <v>45147</v>
      </c>
      <c r="AA276" t="s">
        <v>1022</v>
      </c>
    </row>
    <row r="277" spans="1:27">
      <c r="A277" s="1" t="s">
        <v>302</v>
      </c>
      <c r="B277">
        <f>HYPERLINK("https://www.suredividend.com/sure-analysis-CBOE/","Cboe Global Markets Inc.")</f>
        <v>0</v>
      </c>
      <c r="C277" t="s">
        <v>899</v>
      </c>
      <c r="D277">
        <v>146</v>
      </c>
      <c r="E277">
        <v>151.62</v>
      </c>
      <c r="F277">
        <v>150</v>
      </c>
      <c r="G277">
        <v>1.0108</v>
      </c>
      <c r="H277">
        <v>0.01450995910829706</v>
      </c>
      <c r="I277">
        <v>-0.002146113105480296</v>
      </c>
      <c r="J277">
        <v>0.07000000000000001</v>
      </c>
      <c r="K277">
        <v>0.0803619735958736</v>
      </c>
      <c r="L277" t="s">
        <v>902</v>
      </c>
      <c r="M277" t="s">
        <v>825</v>
      </c>
      <c r="N277">
        <v>25.27</v>
      </c>
      <c r="O277">
        <v>6</v>
      </c>
      <c r="P277">
        <v>2.2</v>
      </c>
      <c r="Q277">
        <v>0.3666666666666667</v>
      </c>
      <c r="R277">
        <v>14</v>
      </c>
      <c r="S277">
        <v>0.05016303610438722</v>
      </c>
      <c r="T277" t="s">
        <v>925</v>
      </c>
      <c r="U277">
        <v>0.266268608344673</v>
      </c>
      <c r="V277" t="s">
        <v>1004</v>
      </c>
      <c r="W277" t="s">
        <v>1008</v>
      </c>
      <c r="X277" t="s">
        <v>1015</v>
      </c>
      <c r="Y277">
        <v>16160.961512</v>
      </c>
      <c r="Z277" s="2">
        <v>45144</v>
      </c>
      <c r="AA277" t="s">
        <v>1023</v>
      </c>
    </row>
    <row r="278" spans="1:27">
      <c r="A278" s="1" t="s">
        <v>303</v>
      </c>
      <c r="B278">
        <f>HYPERLINK("https://www.suredividend.com/sure-analysis-XEL/","Xcel Energy, Inc.")</f>
        <v>0</v>
      </c>
      <c r="C278" t="s">
        <v>899</v>
      </c>
      <c r="D278">
        <v>64</v>
      </c>
      <c r="E278">
        <v>57.61</v>
      </c>
      <c r="F278">
        <v>60</v>
      </c>
      <c r="G278">
        <v>0.9601666666666666</v>
      </c>
      <c r="H278">
        <v>0.03610484290921715</v>
      </c>
      <c r="I278">
        <v>0.008162815274553425</v>
      </c>
      <c r="J278">
        <v>0.04</v>
      </c>
      <c r="K278">
        <v>0.08016824479305074</v>
      </c>
      <c r="L278" t="s">
        <v>902</v>
      </c>
      <c r="M278" t="s">
        <v>902</v>
      </c>
      <c r="N278">
        <v>17.19701492537313</v>
      </c>
      <c r="O278">
        <v>3.35</v>
      </c>
      <c r="P278">
        <v>2.08</v>
      </c>
      <c r="Q278">
        <v>0.6208955223880597</v>
      </c>
      <c r="R278">
        <v>20</v>
      </c>
      <c r="S278">
        <v>0.03994755272054218</v>
      </c>
      <c r="T278" t="s">
        <v>912</v>
      </c>
      <c r="U278">
        <v>-0.232412299650352</v>
      </c>
      <c r="V278" t="s">
        <v>1004</v>
      </c>
      <c r="W278" t="s">
        <v>1008</v>
      </c>
      <c r="X278" t="s">
        <v>1018</v>
      </c>
      <c r="Y278">
        <v>31553.18817</v>
      </c>
      <c r="Z278" s="2">
        <v>45134</v>
      </c>
      <c r="AA278" t="s">
        <v>1022</v>
      </c>
    </row>
    <row r="279" spans="1:27">
      <c r="A279" s="1" t="s">
        <v>304</v>
      </c>
      <c r="B279">
        <f>HYPERLINK("https://www.suredividend.com/sure-analysis-TSCO/","Tractor Supply Co.")</f>
        <v>0</v>
      </c>
      <c r="C279" t="s">
        <v>899</v>
      </c>
      <c r="D279">
        <v>223</v>
      </c>
      <c r="E279">
        <v>215.89</v>
      </c>
      <c r="F279">
        <v>196</v>
      </c>
      <c r="G279">
        <v>1.101479591836735</v>
      </c>
      <c r="H279">
        <v>0.01908379267219417</v>
      </c>
      <c r="I279">
        <v>-0.01914522873069691</v>
      </c>
      <c r="J279">
        <v>0.081</v>
      </c>
      <c r="K279">
        <v>0.07932925523091283</v>
      </c>
      <c r="L279" t="s">
        <v>902</v>
      </c>
      <c r="M279" t="s">
        <v>580</v>
      </c>
      <c r="N279">
        <v>20.96019417475728</v>
      </c>
      <c r="O279">
        <v>10.3</v>
      </c>
      <c r="P279">
        <v>4.12</v>
      </c>
      <c r="Q279">
        <v>0.4</v>
      </c>
      <c r="R279">
        <v>13</v>
      </c>
      <c r="S279">
        <v>0.09037353468678844</v>
      </c>
      <c r="T279" t="s">
        <v>927</v>
      </c>
      <c r="U279">
        <v>0.101866575174352</v>
      </c>
      <c r="V279" t="s">
        <v>1004</v>
      </c>
      <c r="W279" t="s">
        <v>1008</v>
      </c>
      <c r="X279" t="s">
        <v>1013</v>
      </c>
      <c r="Y279">
        <v>23622.188143</v>
      </c>
      <c r="Z279" s="2">
        <v>45146</v>
      </c>
      <c r="AA279" t="s">
        <v>1033</v>
      </c>
    </row>
    <row r="280" spans="1:27">
      <c r="A280" s="1" t="s">
        <v>305</v>
      </c>
      <c r="B280">
        <f>HYPERLINK("https://www.suredividend.com/sure-analysis-MCO/","Moody`s Corp.")</f>
        <v>0</v>
      </c>
      <c r="C280" t="s">
        <v>899</v>
      </c>
      <c r="D280">
        <v>353</v>
      </c>
      <c r="E280">
        <v>343.2</v>
      </c>
      <c r="F280">
        <v>261</v>
      </c>
      <c r="G280">
        <v>1.314942528735632</v>
      </c>
      <c r="H280">
        <v>0.008974358974358975</v>
      </c>
      <c r="I280">
        <v>-0.0532863354332731</v>
      </c>
      <c r="J280">
        <v>0.13</v>
      </c>
      <c r="K280">
        <v>0.07909634195848869</v>
      </c>
      <c r="L280" t="s">
        <v>902</v>
      </c>
      <c r="M280" t="s">
        <v>825</v>
      </c>
      <c r="N280">
        <v>34.14925373134328</v>
      </c>
      <c r="O280">
        <v>10.05</v>
      </c>
      <c r="P280">
        <v>3.08</v>
      </c>
      <c r="Q280">
        <v>0.3064676616915423</v>
      </c>
      <c r="R280">
        <v>14</v>
      </c>
      <c r="S280">
        <v>0.1100008932331438</v>
      </c>
      <c r="T280" t="s">
        <v>932</v>
      </c>
      <c r="U280">
        <v>0.13241749987481</v>
      </c>
      <c r="V280" t="s">
        <v>1004</v>
      </c>
      <c r="W280" t="s">
        <v>1008</v>
      </c>
      <c r="X280" t="s">
        <v>1015</v>
      </c>
      <c r="Y280">
        <v>62245.035</v>
      </c>
      <c r="Z280" s="2">
        <v>45139</v>
      </c>
      <c r="AA280" t="s">
        <v>1030</v>
      </c>
    </row>
    <row r="281" spans="1:27">
      <c r="A281" s="1" t="s">
        <v>306</v>
      </c>
      <c r="B281">
        <f>HYPERLINK("https://www.suredividend.com/sure-analysis-RBA/","RB Global Inc")</f>
        <v>0</v>
      </c>
      <c r="C281" t="s">
        <v>899</v>
      </c>
      <c r="D281">
        <v>62</v>
      </c>
      <c r="E281">
        <v>64.76000000000001</v>
      </c>
      <c r="F281">
        <v>54</v>
      </c>
      <c r="G281">
        <v>1.199259259259259</v>
      </c>
      <c r="H281">
        <v>0.0166769610870908</v>
      </c>
      <c r="I281">
        <v>-0.03568841577835169</v>
      </c>
      <c r="J281">
        <v>0.1</v>
      </c>
      <c r="K281">
        <v>0.07787701660389268</v>
      </c>
      <c r="L281" t="s">
        <v>902</v>
      </c>
      <c r="M281" t="s">
        <v>580</v>
      </c>
      <c r="N281">
        <v>25.904</v>
      </c>
      <c r="O281">
        <v>2.5</v>
      </c>
      <c r="P281">
        <v>1.08</v>
      </c>
      <c r="Q281">
        <v>0.4320000000000001</v>
      </c>
      <c r="R281">
        <v>18</v>
      </c>
      <c r="S281">
        <v>0.100082101138866</v>
      </c>
      <c r="T281" t="s">
        <v>913</v>
      </c>
      <c r="U281">
        <v>-0.00530796377022</v>
      </c>
      <c r="V281" t="s">
        <v>1004</v>
      </c>
      <c r="W281" t="s">
        <v>1009</v>
      </c>
      <c r="X281" t="s">
        <v>1012</v>
      </c>
      <c r="Y281">
        <v>11909.858457</v>
      </c>
      <c r="Z281" s="2">
        <v>45141</v>
      </c>
      <c r="AA281" t="s">
        <v>1032</v>
      </c>
    </row>
    <row r="282" spans="1:27">
      <c r="A282" s="1" t="s">
        <v>307</v>
      </c>
      <c r="B282">
        <f>HYPERLINK("https://www.suredividend.com/sure-analysis-ATRI/","Atrion Corp.")</f>
        <v>0</v>
      </c>
      <c r="C282" t="s">
        <v>898</v>
      </c>
      <c r="D282">
        <v>475</v>
      </c>
      <c r="E282">
        <v>435.3293</v>
      </c>
      <c r="F282">
        <v>525</v>
      </c>
      <c r="G282">
        <v>0.8291986666666666</v>
      </c>
      <c r="H282">
        <v>0.02021458238625335</v>
      </c>
      <c r="I282">
        <v>0.03816953640780807</v>
      </c>
      <c r="J282">
        <v>0.02</v>
      </c>
      <c r="K282">
        <v>0.07696202111888439</v>
      </c>
      <c r="L282" t="s">
        <v>902</v>
      </c>
      <c r="M282" t="s">
        <v>825</v>
      </c>
      <c r="N282">
        <v>29.02195333333333</v>
      </c>
      <c r="O282">
        <v>15</v>
      </c>
      <c r="P282">
        <v>8.800000000000001</v>
      </c>
      <c r="Q282">
        <v>0.5866666666666667</v>
      </c>
      <c r="R282">
        <v>18</v>
      </c>
      <c r="S282">
        <v>0.04997610781982753</v>
      </c>
      <c r="T282" t="s">
        <v>912</v>
      </c>
      <c r="U282">
        <v>-0.256092109507022</v>
      </c>
      <c r="V282" t="s">
        <v>1004</v>
      </c>
      <c r="W282" t="s">
        <v>1008</v>
      </c>
      <c r="X282" t="s">
        <v>1013</v>
      </c>
      <c r="Y282">
        <v>786.5459540000001</v>
      </c>
      <c r="Z282" s="2">
        <v>45174</v>
      </c>
      <c r="AA282" t="s">
        <v>1024</v>
      </c>
    </row>
    <row r="283" spans="1:27">
      <c r="A283" s="1" t="s">
        <v>308</v>
      </c>
      <c r="B283">
        <f>HYPERLINK("https://www.suredividend.com/sure-analysis-KMB/","Kimberly-Clark Corp.")</f>
        <v>0</v>
      </c>
      <c r="C283" t="s">
        <v>899</v>
      </c>
      <c r="D283">
        <v>133</v>
      </c>
      <c r="E283">
        <v>124.99</v>
      </c>
      <c r="F283">
        <v>121</v>
      </c>
      <c r="G283">
        <v>1.03297520661157</v>
      </c>
      <c r="H283">
        <v>0.03776302104168333</v>
      </c>
      <c r="I283">
        <v>-0.006467631948930852</v>
      </c>
      <c r="J283">
        <v>0.05</v>
      </c>
      <c r="K283">
        <v>0.07684183217891749</v>
      </c>
      <c r="L283" t="s">
        <v>902</v>
      </c>
      <c r="M283" t="s">
        <v>902</v>
      </c>
      <c r="N283">
        <v>19.68346456692914</v>
      </c>
      <c r="O283">
        <v>6.35</v>
      </c>
      <c r="P283">
        <v>4.72</v>
      </c>
      <c r="Q283">
        <v>0.7433070866141732</v>
      </c>
      <c r="R283">
        <v>51</v>
      </c>
      <c r="S283">
        <v>0.03954315876327219</v>
      </c>
      <c r="T283" t="s">
        <v>924</v>
      </c>
      <c r="U283">
        <v>0.019913769366963</v>
      </c>
      <c r="V283" t="s">
        <v>1004</v>
      </c>
      <c r="W283" t="s">
        <v>1008</v>
      </c>
      <c r="X283" t="s">
        <v>1011</v>
      </c>
      <c r="Y283">
        <v>42216.2577</v>
      </c>
      <c r="Z283" s="2">
        <v>45134</v>
      </c>
      <c r="AA283" t="s">
        <v>1030</v>
      </c>
    </row>
    <row r="284" spans="1:27">
      <c r="A284" s="1" t="s">
        <v>309</v>
      </c>
      <c r="B284">
        <f>HYPERLINK("https://www.suredividend.com/sure-analysis-AWK/","American Water Works Co. Inc.")</f>
        <v>0</v>
      </c>
      <c r="C284" t="s">
        <v>899</v>
      </c>
      <c r="D284">
        <v>150</v>
      </c>
      <c r="E284">
        <v>139.31</v>
      </c>
      <c r="F284">
        <v>124</v>
      </c>
      <c r="G284">
        <v>1.123467741935484</v>
      </c>
      <c r="H284">
        <v>0.02031440671882851</v>
      </c>
      <c r="I284">
        <v>-0.02301503892660195</v>
      </c>
      <c r="J284">
        <v>0.08</v>
      </c>
      <c r="K284">
        <v>0.07514480681007618</v>
      </c>
      <c r="L284" t="s">
        <v>902</v>
      </c>
      <c r="M284" t="s">
        <v>825</v>
      </c>
      <c r="N284">
        <v>29.20545073375262</v>
      </c>
      <c r="O284">
        <v>4.77</v>
      </c>
      <c r="P284">
        <v>2.83</v>
      </c>
      <c r="Q284">
        <v>0.5932914046121593</v>
      </c>
      <c r="R284">
        <v>15</v>
      </c>
      <c r="S284">
        <v>0.08009356595129047</v>
      </c>
      <c r="T284" t="s">
        <v>950</v>
      </c>
      <c r="U284">
        <v>-0.106554832306914</v>
      </c>
      <c r="V284" t="s">
        <v>1004</v>
      </c>
      <c r="W284" t="s">
        <v>1008</v>
      </c>
      <c r="X284" t="s">
        <v>1018</v>
      </c>
      <c r="Y284">
        <v>26778.618256</v>
      </c>
      <c r="Z284" s="2">
        <v>45134</v>
      </c>
      <c r="AA284" t="s">
        <v>1032</v>
      </c>
    </row>
    <row r="285" spans="1:27">
      <c r="A285" s="1" t="s">
        <v>310</v>
      </c>
      <c r="B285">
        <f>HYPERLINK("https://www.suredividend.com/sure-analysis-BBY/","Best Buy Co. Inc.")</f>
        <v>0</v>
      </c>
      <c r="C285" t="s">
        <v>899</v>
      </c>
      <c r="D285">
        <v>73</v>
      </c>
      <c r="E285">
        <v>72.27</v>
      </c>
      <c r="F285">
        <v>68</v>
      </c>
      <c r="G285">
        <v>1.062794117647059</v>
      </c>
      <c r="H285">
        <v>0.05092016050920161</v>
      </c>
      <c r="I285">
        <v>-0.0121064006742988</v>
      </c>
      <c r="J285">
        <v>0.04</v>
      </c>
      <c r="K285">
        <v>0.07441200583224661</v>
      </c>
      <c r="L285" t="s">
        <v>902</v>
      </c>
      <c r="M285" t="s">
        <v>901</v>
      </c>
      <c r="N285">
        <v>11.65645161290323</v>
      </c>
      <c r="O285">
        <v>6.2</v>
      </c>
      <c r="P285">
        <v>3.68</v>
      </c>
      <c r="Q285">
        <v>0.5935483870967742</v>
      </c>
      <c r="R285">
        <v>20</v>
      </c>
      <c r="S285">
        <v>0.04012620718096094</v>
      </c>
      <c r="T285" t="s">
        <v>912</v>
      </c>
      <c r="U285">
        <v>-0.019887740920696</v>
      </c>
      <c r="V285" t="s">
        <v>1004</v>
      </c>
      <c r="W285" t="s">
        <v>1008</v>
      </c>
      <c r="X285" t="s">
        <v>1013</v>
      </c>
      <c r="Y285">
        <v>15839.704921</v>
      </c>
      <c r="Z285" s="2">
        <v>45180</v>
      </c>
      <c r="AA285" t="s">
        <v>1029</v>
      </c>
    </row>
    <row r="286" spans="1:27">
      <c r="A286" s="1" t="s">
        <v>311</v>
      </c>
      <c r="B286">
        <f>HYPERLINK("https://www.suredividend.com/sure-analysis-SJM/","J.M. Smucker Co.")</f>
        <v>0</v>
      </c>
      <c r="C286" t="s">
        <v>899</v>
      </c>
      <c r="D286">
        <v>142</v>
      </c>
      <c r="E286">
        <v>128.41</v>
      </c>
      <c r="F286">
        <v>131</v>
      </c>
      <c r="G286">
        <v>0.9802290076335878</v>
      </c>
      <c r="H286">
        <v>0.03301923526205124</v>
      </c>
      <c r="I286">
        <v>0.004001796561271975</v>
      </c>
      <c r="J286">
        <v>0.04</v>
      </c>
      <c r="K286">
        <v>0.07373764890726853</v>
      </c>
      <c r="L286" t="s">
        <v>902</v>
      </c>
      <c r="M286" t="s">
        <v>902</v>
      </c>
      <c r="N286">
        <v>15.69804400977995</v>
      </c>
      <c r="O286">
        <v>8.18</v>
      </c>
      <c r="P286">
        <v>4.24</v>
      </c>
      <c r="Q286">
        <v>0.5183374083129585</v>
      </c>
      <c r="R286">
        <v>27</v>
      </c>
      <c r="S286">
        <v>0.04005610836598383</v>
      </c>
      <c r="T286" t="s">
        <v>932</v>
      </c>
      <c r="U286">
        <v>-0.049367587138864</v>
      </c>
      <c r="V286" t="s">
        <v>1004</v>
      </c>
      <c r="W286" t="s">
        <v>1008</v>
      </c>
      <c r="X286" t="s">
        <v>1011</v>
      </c>
      <c r="Y286">
        <v>13262.786851</v>
      </c>
      <c r="Z286" s="2">
        <v>45168</v>
      </c>
      <c r="AA286" t="s">
        <v>1022</v>
      </c>
    </row>
    <row r="287" spans="1:27">
      <c r="A287" s="1" t="s">
        <v>312</v>
      </c>
      <c r="B287">
        <f>HYPERLINK("https://www.suredividend.com/sure-analysis-TXN/","Texas Instruments Inc.")</f>
        <v>0</v>
      </c>
      <c r="C287" t="s">
        <v>899</v>
      </c>
      <c r="D287">
        <v>178</v>
      </c>
      <c r="E287">
        <v>164.36</v>
      </c>
      <c r="F287">
        <v>143</v>
      </c>
      <c r="G287">
        <v>1.149370629370629</v>
      </c>
      <c r="H287">
        <v>0.03017765879776101</v>
      </c>
      <c r="I287">
        <v>-0.02745886166174782</v>
      </c>
      <c r="J287">
        <v>0.07000000000000001</v>
      </c>
      <c r="K287">
        <v>0.07221230690706149</v>
      </c>
      <c r="L287" t="s">
        <v>902</v>
      </c>
      <c r="M287" t="s">
        <v>580</v>
      </c>
      <c r="N287">
        <v>21.91466666666667</v>
      </c>
      <c r="O287">
        <v>7.5</v>
      </c>
      <c r="P287">
        <v>4.96</v>
      </c>
      <c r="Q287">
        <v>0.6613333333333333</v>
      </c>
      <c r="R287">
        <v>19</v>
      </c>
      <c r="S287">
        <v>0.08995501081970847</v>
      </c>
      <c r="T287" t="s">
        <v>918</v>
      </c>
      <c r="U287">
        <v>0.001927372675432</v>
      </c>
      <c r="V287" t="s">
        <v>1004</v>
      </c>
      <c r="W287" t="s">
        <v>1008</v>
      </c>
      <c r="X287" t="s">
        <v>1016</v>
      </c>
      <c r="Y287">
        <v>148443.414801</v>
      </c>
      <c r="Z287" s="2">
        <v>45141</v>
      </c>
      <c r="AA287" t="s">
        <v>1028</v>
      </c>
    </row>
    <row r="288" spans="1:27">
      <c r="A288" s="1" t="s">
        <v>313</v>
      </c>
      <c r="B288">
        <f>HYPERLINK("https://www.suredividend.com/sure-analysis-HD/","Home Depot, Inc.")</f>
        <v>0</v>
      </c>
      <c r="C288" t="s">
        <v>899</v>
      </c>
      <c r="D288">
        <v>333</v>
      </c>
      <c r="E288">
        <v>325.88</v>
      </c>
      <c r="F288">
        <v>304</v>
      </c>
      <c r="G288">
        <v>1.071973684210526</v>
      </c>
      <c r="H288">
        <v>0.02565361482754388</v>
      </c>
      <c r="I288">
        <v>-0.01380413967935534</v>
      </c>
      <c r="J288">
        <v>0.06</v>
      </c>
      <c r="K288">
        <v>0.07126846852522295</v>
      </c>
      <c r="L288" t="s">
        <v>902</v>
      </c>
      <c r="M288" t="s">
        <v>580</v>
      </c>
      <c r="N288">
        <v>21.45358788676761</v>
      </c>
      <c r="O288">
        <v>15.19</v>
      </c>
      <c r="P288">
        <v>8.359999999999999</v>
      </c>
      <c r="Q288">
        <v>0.5503620803159973</v>
      </c>
      <c r="R288">
        <v>14</v>
      </c>
      <c r="S288">
        <v>0.07993699246542785</v>
      </c>
      <c r="T288" t="s">
        <v>925</v>
      </c>
      <c r="U288">
        <v>0.126362255196238</v>
      </c>
      <c r="V288" t="s">
        <v>1004</v>
      </c>
      <c r="W288" t="s">
        <v>1008</v>
      </c>
      <c r="X288" t="s">
        <v>1013</v>
      </c>
      <c r="Y288">
        <v>326301.528607</v>
      </c>
      <c r="Z288" s="2">
        <v>45155</v>
      </c>
      <c r="AA288" t="s">
        <v>1026</v>
      </c>
    </row>
    <row r="289" spans="1:27">
      <c r="A289" s="1" t="s">
        <v>314</v>
      </c>
      <c r="B289">
        <f>HYPERLINK("https://www.suredividend.com/sure-analysis-UNP/","Union Pacific Corp.")</f>
        <v>0</v>
      </c>
      <c r="C289" t="s">
        <v>899</v>
      </c>
      <c r="D289">
        <v>232</v>
      </c>
      <c r="E289">
        <v>212.13</v>
      </c>
      <c r="F289">
        <v>189</v>
      </c>
      <c r="G289">
        <v>1.122380952380952</v>
      </c>
      <c r="H289">
        <v>0.02451327016452176</v>
      </c>
      <c r="I289">
        <v>-0.02282591133241729</v>
      </c>
      <c r="J289">
        <v>0.07000000000000001</v>
      </c>
      <c r="K289">
        <v>0.06967404156106793</v>
      </c>
      <c r="L289" t="s">
        <v>902</v>
      </c>
      <c r="M289" t="s">
        <v>580</v>
      </c>
      <c r="N289">
        <v>20.22211630123928</v>
      </c>
      <c r="O289">
        <v>10.49</v>
      </c>
      <c r="P289">
        <v>5.2</v>
      </c>
      <c r="Q289">
        <v>0.4957102001906578</v>
      </c>
      <c r="R289">
        <v>15</v>
      </c>
      <c r="S289">
        <v>0.06990406340683197</v>
      </c>
      <c r="T289" t="s">
        <v>925</v>
      </c>
      <c r="U289">
        <v>-0.06310248135251001</v>
      </c>
      <c r="V289" t="s">
        <v>1004</v>
      </c>
      <c r="W289" t="s">
        <v>1008</v>
      </c>
      <c r="X289" t="s">
        <v>1012</v>
      </c>
      <c r="Y289">
        <v>130344.400702</v>
      </c>
      <c r="Z289" s="2">
        <v>45137</v>
      </c>
      <c r="AA289" t="s">
        <v>1021</v>
      </c>
    </row>
    <row r="290" spans="1:27">
      <c r="A290" s="1" t="s">
        <v>315</v>
      </c>
      <c r="B290">
        <f>HYPERLINK("https://www.suredividend.com/sure-analysis-HRB/","H&amp;R Block Inc.")</f>
        <v>0</v>
      </c>
      <c r="C290" t="s">
        <v>899</v>
      </c>
      <c r="D290">
        <v>39.7</v>
      </c>
      <c r="E290">
        <v>39.07</v>
      </c>
      <c r="F290">
        <v>39.7</v>
      </c>
      <c r="G290">
        <v>0.9841309823677581</v>
      </c>
      <c r="H290">
        <v>0.03276170975172767</v>
      </c>
      <c r="I290">
        <v>0.003204378805722108</v>
      </c>
      <c r="J290">
        <v>0.035</v>
      </c>
      <c r="K290">
        <v>0.06876665697143691</v>
      </c>
      <c r="L290" t="s">
        <v>902</v>
      </c>
      <c r="M290" t="s">
        <v>902</v>
      </c>
      <c r="N290">
        <v>9.302380952380952</v>
      </c>
      <c r="O290">
        <v>4.2</v>
      </c>
      <c r="P290">
        <v>1.28</v>
      </c>
      <c r="Q290">
        <v>0.3047619047619047</v>
      </c>
      <c r="R290">
        <v>8</v>
      </c>
      <c r="S290">
        <v>0.04563955259127317</v>
      </c>
      <c r="T290" t="s">
        <v>956</v>
      </c>
      <c r="U290">
        <v>-0.112784371964982</v>
      </c>
      <c r="V290" t="s">
        <v>1004</v>
      </c>
      <c r="W290" t="s">
        <v>1008</v>
      </c>
      <c r="X290" t="s">
        <v>1013</v>
      </c>
      <c r="Y290">
        <v>5760.789465</v>
      </c>
      <c r="Z290" s="2">
        <v>45164</v>
      </c>
      <c r="AA290" t="s">
        <v>1033</v>
      </c>
    </row>
    <row r="291" spans="1:27">
      <c r="A291" s="1" t="s">
        <v>316</v>
      </c>
      <c r="B291">
        <f>HYPERLINK("https://www.suredividend.com/sure-analysis-HON/","Honeywell International Inc")</f>
        <v>0</v>
      </c>
      <c r="C291" t="s">
        <v>899</v>
      </c>
      <c r="D291">
        <v>197</v>
      </c>
      <c r="E291">
        <v>191.59</v>
      </c>
      <c r="F291">
        <v>156</v>
      </c>
      <c r="G291">
        <v>1.228141025641026</v>
      </c>
      <c r="H291">
        <v>0.02150425387546323</v>
      </c>
      <c r="I291">
        <v>-0.04026716773010997</v>
      </c>
      <c r="J291">
        <v>0.09</v>
      </c>
      <c r="K291">
        <v>0.06855378811426793</v>
      </c>
      <c r="L291" t="s">
        <v>902</v>
      </c>
      <c r="M291" t="s">
        <v>580</v>
      </c>
      <c r="N291">
        <v>20.93879781420765</v>
      </c>
      <c r="O291">
        <v>9.15</v>
      </c>
      <c r="P291">
        <v>4.12</v>
      </c>
      <c r="Q291">
        <v>0.4502732240437158</v>
      </c>
      <c r="R291">
        <v>13</v>
      </c>
      <c r="S291">
        <v>0.09002989341627976</v>
      </c>
      <c r="T291" t="s">
        <v>915</v>
      </c>
      <c r="U291">
        <v>0.016606561816298</v>
      </c>
      <c r="V291" t="s">
        <v>1004</v>
      </c>
      <c r="W291" t="s">
        <v>1008</v>
      </c>
      <c r="X291" t="s">
        <v>1012</v>
      </c>
      <c r="Y291">
        <v>125628.142738</v>
      </c>
      <c r="Z291" s="2">
        <v>45137</v>
      </c>
      <c r="AA291" t="s">
        <v>1021</v>
      </c>
    </row>
    <row r="292" spans="1:27">
      <c r="A292" s="1" t="s">
        <v>317</v>
      </c>
      <c r="B292">
        <f>HYPERLINK("https://www.suredividend.com/sure-analysis-RSG/","Republic Services, Inc.")</f>
        <v>0</v>
      </c>
      <c r="C292" t="s">
        <v>899</v>
      </c>
      <c r="D292">
        <v>154</v>
      </c>
      <c r="E292">
        <v>151.02</v>
      </c>
      <c r="F292">
        <v>134</v>
      </c>
      <c r="G292">
        <v>1.127014925373134</v>
      </c>
      <c r="H292">
        <v>0.01417030856840154</v>
      </c>
      <c r="I292">
        <v>-0.02363081003220191</v>
      </c>
      <c r="J292">
        <v>0.08</v>
      </c>
      <c r="K292">
        <v>0.06802001243535738</v>
      </c>
      <c r="L292" t="s">
        <v>902</v>
      </c>
      <c r="M292" t="s">
        <v>825</v>
      </c>
      <c r="N292">
        <v>28.17537313432836</v>
      </c>
      <c r="O292">
        <v>5.36</v>
      </c>
      <c r="P292">
        <v>2.14</v>
      </c>
      <c r="Q292">
        <v>0.3992537313432836</v>
      </c>
      <c r="R292">
        <v>19</v>
      </c>
      <c r="S292">
        <v>0.06485572318766031</v>
      </c>
      <c r="T292" t="s">
        <v>938</v>
      </c>
      <c r="U292">
        <v>0.017675231660337</v>
      </c>
      <c r="V292" t="s">
        <v>1004</v>
      </c>
      <c r="W292" t="s">
        <v>1008</v>
      </c>
      <c r="X292" t="s">
        <v>1012</v>
      </c>
      <c r="Y292">
        <v>46996.549809</v>
      </c>
      <c r="Z292" s="2">
        <v>45140</v>
      </c>
      <c r="AA292" t="s">
        <v>1032</v>
      </c>
    </row>
    <row r="293" spans="1:27">
      <c r="A293" s="1" t="s">
        <v>318</v>
      </c>
      <c r="B293">
        <f>HYPERLINK("https://www.suredividend.com/sure-analysis-RGLD/","Royal Gold, Inc.")</f>
        <v>0</v>
      </c>
      <c r="C293" t="s">
        <v>899</v>
      </c>
      <c r="D293">
        <v>113</v>
      </c>
      <c r="E293">
        <v>109.79</v>
      </c>
      <c r="F293">
        <v>117</v>
      </c>
      <c r="G293">
        <v>0.9383760683760685</v>
      </c>
      <c r="H293">
        <v>0.01366244648875125</v>
      </c>
      <c r="I293">
        <v>0.01280215169836518</v>
      </c>
      <c r="J293">
        <v>0.04</v>
      </c>
      <c r="K293">
        <v>0.06742045620575166</v>
      </c>
      <c r="L293" t="s">
        <v>902</v>
      </c>
      <c r="M293" t="s">
        <v>825</v>
      </c>
      <c r="N293">
        <v>29.91553133514986</v>
      </c>
      <c r="O293">
        <v>3.67</v>
      </c>
      <c r="P293">
        <v>1.5</v>
      </c>
      <c r="Q293">
        <v>0.4087193460490463</v>
      </c>
      <c r="R293">
        <v>22</v>
      </c>
      <c r="S293">
        <v>0.09019489529987834</v>
      </c>
      <c r="T293" t="s">
        <v>907</v>
      </c>
      <c r="U293">
        <v>0.152226923487523</v>
      </c>
      <c r="V293" t="s">
        <v>1004</v>
      </c>
      <c r="W293" t="s">
        <v>1008</v>
      </c>
      <c r="X293" t="s">
        <v>1010</v>
      </c>
      <c r="Y293">
        <v>7160.728893</v>
      </c>
      <c r="Z293" s="2">
        <v>45145</v>
      </c>
      <c r="AA293" t="s">
        <v>1026</v>
      </c>
    </row>
    <row r="294" spans="1:27">
      <c r="A294" s="1" t="s">
        <v>319</v>
      </c>
      <c r="B294">
        <f>HYPERLINK("https://www.suredividend.com/sure-analysis-TTE/","TotalEnergies SE")</f>
        <v>0</v>
      </c>
      <c r="C294" t="s">
        <v>899</v>
      </c>
      <c r="D294">
        <v>60</v>
      </c>
      <c r="E294">
        <v>65.97</v>
      </c>
      <c r="F294">
        <v>120</v>
      </c>
      <c r="G294">
        <v>0.54975</v>
      </c>
      <c r="H294">
        <v>0.04850689707442778</v>
      </c>
      <c r="I294">
        <v>0.1271116854316288</v>
      </c>
      <c r="J294">
        <v>-0.09</v>
      </c>
      <c r="K294">
        <v>0.06729044188529176</v>
      </c>
      <c r="L294" t="s">
        <v>902</v>
      </c>
      <c r="M294" t="s">
        <v>901</v>
      </c>
      <c r="N294">
        <v>6.597</v>
      </c>
      <c r="O294">
        <v>10</v>
      </c>
      <c r="P294">
        <v>3.2</v>
      </c>
      <c r="Q294">
        <v>0.32</v>
      </c>
      <c r="R294">
        <v>1</v>
      </c>
      <c r="S294">
        <v>0.009805797673485328</v>
      </c>
      <c r="T294" t="s">
        <v>951</v>
      </c>
      <c r="U294">
        <v>0.385528226060975</v>
      </c>
      <c r="V294" t="s">
        <v>1004</v>
      </c>
      <c r="W294" t="s">
        <v>1009</v>
      </c>
      <c r="X294" t="s">
        <v>1020</v>
      </c>
      <c r="Y294">
        <v>164510.696187</v>
      </c>
      <c r="Z294" s="2">
        <v>45139</v>
      </c>
      <c r="AA294" t="s">
        <v>1022</v>
      </c>
    </row>
    <row r="295" spans="1:27">
      <c r="A295" s="1" t="s">
        <v>320</v>
      </c>
      <c r="B295">
        <f>HYPERLINK("https://www.suredividend.com/sure-analysis-BR/","Broadridge Financial Solutions, Inc.")</f>
        <v>0</v>
      </c>
      <c r="C295" t="s">
        <v>899</v>
      </c>
      <c r="D295">
        <v>180</v>
      </c>
      <c r="E295">
        <v>187.34</v>
      </c>
      <c r="F295">
        <v>169</v>
      </c>
      <c r="G295">
        <v>1.108520710059172</v>
      </c>
      <c r="H295">
        <v>0.01708124266040354</v>
      </c>
      <c r="I295">
        <v>-0.02039444826530989</v>
      </c>
      <c r="J295">
        <v>0.07000000000000001</v>
      </c>
      <c r="K295">
        <v>0.06652215359366775</v>
      </c>
      <c r="L295" t="s">
        <v>902</v>
      </c>
      <c r="M295" t="s">
        <v>580</v>
      </c>
      <c r="N295">
        <v>24.45691906005222</v>
      </c>
      <c r="O295">
        <v>7.66</v>
      </c>
      <c r="P295">
        <v>3.2</v>
      </c>
      <c r="Q295">
        <v>0.4177545691906006</v>
      </c>
      <c r="R295">
        <v>17</v>
      </c>
      <c r="S295">
        <v>0.09984491222048941</v>
      </c>
      <c r="T295" t="s">
        <v>912</v>
      </c>
      <c r="U295">
        <v>0.112254654473496</v>
      </c>
      <c r="V295" t="s">
        <v>1004</v>
      </c>
      <c r="W295" t="s">
        <v>1008</v>
      </c>
      <c r="X295" t="s">
        <v>1016</v>
      </c>
      <c r="Y295">
        <v>22300.463546</v>
      </c>
      <c r="Z295" s="2">
        <v>45149</v>
      </c>
      <c r="AA295" t="s">
        <v>1026</v>
      </c>
    </row>
    <row r="296" spans="1:27">
      <c r="A296" s="1" t="s">
        <v>321</v>
      </c>
      <c r="B296">
        <f>HYPERLINK("https://www.suredividend.com/sure-analysis-AAP/","Advance Auto Parts Inc")</f>
        <v>0</v>
      </c>
      <c r="C296" t="s">
        <v>899</v>
      </c>
      <c r="D296">
        <v>63</v>
      </c>
      <c r="E296">
        <v>57.93</v>
      </c>
      <c r="F296">
        <v>58</v>
      </c>
      <c r="G296">
        <v>0.9987931034482759</v>
      </c>
      <c r="H296">
        <v>0.01726221301570861</v>
      </c>
      <c r="I296">
        <v>0.0002415542571096996</v>
      </c>
      <c r="J296">
        <v>0.05</v>
      </c>
      <c r="K296">
        <v>0.06625191024866739</v>
      </c>
      <c r="L296" t="s">
        <v>902</v>
      </c>
      <c r="M296" t="s">
        <v>580</v>
      </c>
      <c r="N296">
        <v>12.06875</v>
      </c>
      <c r="O296">
        <v>4.8</v>
      </c>
      <c r="P296">
        <v>1</v>
      </c>
      <c r="Q296">
        <v>0.2083333333333333</v>
      </c>
      <c r="R296">
        <v>0</v>
      </c>
      <c r="S296">
        <v>0.05061112176150684</v>
      </c>
      <c r="T296" t="s">
        <v>908</v>
      </c>
      <c r="U296">
        <v>-0.672006315562347</v>
      </c>
      <c r="V296" t="s">
        <v>1004</v>
      </c>
      <c r="W296" t="s">
        <v>1008</v>
      </c>
      <c r="X296" t="s">
        <v>1013</v>
      </c>
      <c r="Y296">
        <v>3417.161197</v>
      </c>
      <c r="Z296" s="2">
        <v>45180</v>
      </c>
      <c r="AA296" t="s">
        <v>1021</v>
      </c>
    </row>
    <row r="297" spans="1:27">
      <c r="A297" s="1" t="s">
        <v>322</v>
      </c>
      <c r="B297">
        <f>HYPERLINK("https://www.suredividend.com/sure-analysis-RELX/","RELX Plc")</f>
        <v>0</v>
      </c>
      <c r="C297" t="s">
        <v>899</v>
      </c>
      <c r="D297">
        <v>34</v>
      </c>
      <c r="E297">
        <v>34.34</v>
      </c>
      <c r="F297">
        <v>32</v>
      </c>
      <c r="G297">
        <v>1.073125</v>
      </c>
      <c r="H297">
        <v>0.0209668025626092</v>
      </c>
      <c r="I297">
        <v>-0.01401584110100396</v>
      </c>
      <c r="J297">
        <v>0.06</v>
      </c>
      <c r="K297">
        <v>0.06530253824124355</v>
      </c>
      <c r="L297" t="s">
        <v>902</v>
      </c>
      <c r="M297" t="s">
        <v>825</v>
      </c>
      <c r="N297">
        <v>25.43703703703704</v>
      </c>
      <c r="O297">
        <v>1.35</v>
      </c>
      <c r="P297">
        <v>0.72</v>
      </c>
      <c r="Q297">
        <v>0.5333333333333333</v>
      </c>
      <c r="R297">
        <v>12</v>
      </c>
      <c r="S297">
        <v>0.05922384104881218</v>
      </c>
      <c r="T297" t="s">
        <v>955</v>
      </c>
      <c r="U297">
        <v>0.292231756224078</v>
      </c>
      <c r="V297" t="s">
        <v>1004</v>
      </c>
      <c r="W297" t="s">
        <v>1009</v>
      </c>
      <c r="X297" t="s">
        <v>1017</v>
      </c>
      <c r="Y297">
        <v>64178.61753</v>
      </c>
      <c r="Z297" s="2">
        <v>45138</v>
      </c>
      <c r="AA297" t="s">
        <v>1032</v>
      </c>
    </row>
    <row r="298" spans="1:27">
      <c r="A298" s="1" t="s">
        <v>323</v>
      </c>
      <c r="B298">
        <f>HYPERLINK("https://www.suredividend.com/sure-analysis-XYL/","Xylem Inc")</f>
        <v>0</v>
      </c>
      <c r="C298" t="s">
        <v>899</v>
      </c>
      <c r="D298">
        <v>109</v>
      </c>
      <c r="E298">
        <v>95.01000000000001</v>
      </c>
      <c r="F298">
        <v>79</v>
      </c>
      <c r="G298">
        <v>1.202658227848101</v>
      </c>
      <c r="H298">
        <v>0.01389327439216925</v>
      </c>
      <c r="I298">
        <v>-0.03623410304946406</v>
      </c>
      <c r="J298">
        <v>0.09</v>
      </c>
      <c r="K298">
        <v>0.06519891877440931</v>
      </c>
      <c r="L298" t="s">
        <v>902</v>
      </c>
      <c r="M298" t="s">
        <v>825</v>
      </c>
      <c r="N298">
        <v>26.39166666666667</v>
      </c>
      <c r="O298">
        <v>3.6</v>
      </c>
      <c r="P298">
        <v>1.32</v>
      </c>
      <c r="Q298">
        <v>0.3666666666666667</v>
      </c>
      <c r="R298">
        <v>12</v>
      </c>
      <c r="S298">
        <v>0.09521121099648799</v>
      </c>
      <c r="T298" t="s">
        <v>925</v>
      </c>
      <c r="U298">
        <v>0.001921066170979</v>
      </c>
      <c r="V298" t="s">
        <v>1004</v>
      </c>
      <c r="W298" t="s">
        <v>1008</v>
      </c>
      <c r="X298" t="s">
        <v>1012</v>
      </c>
      <c r="Y298">
        <v>23261.62752</v>
      </c>
      <c r="Z298" s="2">
        <v>45143</v>
      </c>
      <c r="AA298" t="s">
        <v>1028</v>
      </c>
    </row>
    <row r="299" spans="1:27">
      <c r="A299" s="1" t="s">
        <v>324</v>
      </c>
      <c r="B299">
        <f>HYPERLINK("https://www.suredividend.com/sure-analysis-LRLCF/","L`Oreal")</f>
        <v>0</v>
      </c>
      <c r="C299" t="s">
        <v>899</v>
      </c>
      <c r="D299">
        <v>458</v>
      </c>
      <c r="E299">
        <v>427.59</v>
      </c>
      <c r="F299">
        <v>335</v>
      </c>
      <c r="G299">
        <v>1.276388059701492</v>
      </c>
      <c r="H299">
        <v>0.01515470427278468</v>
      </c>
      <c r="I299">
        <v>-0.04763494079363917</v>
      </c>
      <c r="J299">
        <v>0.1</v>
      </c>
      <c r="K299">
        <v>0.06329867845821302</v>
      </c>
      <c r="L299" t="s">
        <v>902</v>
      </c>
      <c r="M299" t="s">
        <v>825</v>
      </c>
      <c r="N299">
        <v>31.90970149253731</v>
      </c>
      <c r="O299">
        <v>13.4</v>
      </c>
      <c r="P299">
        <v>6.48</v>
      </c>
      <c r="Q299">
        <v>0.4835820895522388</v>
      </c>
      <c r="R299">
        <v>23</v>
      </c>
      <c r="S299">
        <v>0.0849176890175305</v>
      </c>
      <c r="T299" t="s">
        <v>969</v>
      </c>
      <c r="U299">
        <v>0.231268369032781</v>
      </c>
      <c r="V299" t="s">
        <v>1004</v>
      </c>
      <c r="W299" t="s">
        <v>1009</v>
      </c>
      <c r="X299" t="s">
        <v>1011</v>
      </c>
      <c r="Y299">
        <v>227677.065761</v>
      </c>
      <c r="Z299" s="2">
        <v>45137</v>
      </c>
      <c r="AA299" t="s">
        <v>1032</v>
      </c>
    </row>
    <row r="300" spans="1:27">
      <c r="A300" s="1" t="s">
        <v>325</v>
      </c>
      <c r="B300">
        <f>HYPERLINK("https://www.suredividend.com/sure-analysis-APH/","Amphenol Corp.")</f>
        <v>0</v>
      </c>
      <c r="C300" t="s">
        <v>899</v>
      </c>
      <c r="D300">
        <v>88</v>
      </c>
      <c r="E300">
        <v>86.51000000000001</v>
      </c>
      <c r="F300">
        <v>68</v>
      </c>
      <c r="G300">
        <v>1.272205882352941</v>
      </c>
      <c r="H300">
        <v>0.009709860131776672</v>
      </c>
      <c r="I300">
        <v>-0.04700961236248369</v>
      </c>
      <c r="J300">
        <v>0.105</v>
      </c>
      <c r="K300">
        <v>0.06314835590016266</v>
      </c>
      <c r="L300" t="s">
        <v>902</v>
      </c>
      <c r="M300" t="s">
        <v>825</v>
      </c>
      <c r="N300">
        <v>29.12794612794613</v>
      </c>
      <c r="O300">
        <v>2.97</v>
      </c>
      <c r="P300">
        <v>0.84</v>
      </c>
      <c r="Q300">
        <v>0.2828282828282828</v>
      </c>
      <c r="R300">
        <v>12</v>
      </c>
      <c r="S300">
        <v>0.08958743119932766</v>
      </c>
      <c r="T300" t="s">
        <v>951</v>
      </c>
      <c r="U300">
        <v>0.145779997009858</v>
      </c>
      <c r="V300" t="s">
        <v>1004</v>
      </c>
      <c r="W300" t="s">
        <v>1008</v>
      </c>
      <c r="X300" t="s">
        <v>1016</v>
      </c>
      <c r="Y300">
        <v>51652.912503</v>
      </c>
      <c r="Z300" s="2">
        <v>45142</v>
      </c>
      <c r="AA300" t="s">
        <v>1034</v>
      </c>
    </row>
    <row r="301" spans="1:27">
      <c r="A301" s="1" t="s">
        <v>326</v>
      </c>
      <c r="B301">
        <f>HYPERLINK("https://www.suredividend.com/sure-analysis-WHR/","Whirlpool Corp.")</f>
        <v>0</v>
      </c>
      <c r="C301" t="s">
        <v>899</v>
      </c>
      <c r="D301">
        <v>145</v>
      </c>
      <c r="E301">
        <v>135.09</v>
      </c>
      <c r="F301">
        <v>137</v>
      </c>
      <c r="G301">
        <v>0.9860583941605839</v>
      </c>
      <c r="H301">
        <v>0.0518173069805315</v>
      </c>
      <c r="I301">
        <v>0.00281188652690112</v>
      </c>
      <c r="J301">
        <v>0.01</v>
      </c>
      <c r="K301">
        <v>0.06308734992461007</v>
      </c>
      <c r="L301" t="s">
        <v>902</v>
      </c>
      <c r="M301" t="s">
        <v>901</v>
      </c>
      <c r="N301">
        <v>8.364705882352942</v>
      </c>
      <c r="O301">
        <v>16.15</v>
      </c>
      <c r="P301">
        <v>7</v>
      </c>
      <c r="Q301">
        <v>0.43343653250774</v>
      </c>
      <c r="R301">
        <v>12</v>
      </c>
      <c r="S301">
        <v>0.04008374958398786</v>
      </c>
      <c r="T301" t="s">
        <v>922</v>
      </c>
      <c r="U301">
        <v>-0.102922475423457</v>
      </c>
      <c r="V301" t="s">
        <v>1004</v>
      </c>
      <c r="W301" t="s">
        <v>1008</v>
      </c>
      <c r="X301" t="s">
        <v>1013</v>
      </c>
      <c r="Y301">
        <v>7474.95139</v>
      </c>
      <c r="Z301" s="2">
        <v>45134</v>
      </c>
      <c r="AA301" t="s">
        <v>1026</v>
      </c>
    </row>
    <row r="302" spans="1:27">
      <c r="A302" s="1" t="s">
        <v>327</v>
      </c>
      <c r="B302">
        <f>HYPERLINK("https://www.suredividend.com/sure-analysis-HII/","Huntington Ingalls Industries Inc")</f>
        <v>0</v>
      </c>
      <c r="C302" t="s">
        <v>899</v>
      </c>
      <c r="D302">
        <v>218</v>
      </c>
      <c r="E302">
        <v>209.52</v>
      </c>
      <c r="F302">
        <v>201</v>
      </c>
      <c r="G302">
        <v>1.042388059701493</v>
      </c>
      <c r="H302">
        <v>0.02367315769377625</v>
      </c>
      <c r="I302">
        <v>-0.008268484897676398</v>
      </c>
      <c r="J302">
        <v>0.05</v>
      </c>
      <c r="K302">
        <v>0.06306263077230589</v>
      </c>
      <c r="L302" t="s">
        <v>902</v>
      </c>
      <c r="M302" t="s">
        <v>902</v>
      </c>
      <c r="N302">
        <v>14.61087866108787</v>
      </c>
      <c r="O302">
        <v>14.34</v>
      </c>
      <c r="P302">
        <v>4.96</v>
      </c>
      <c r="Q302">
        <v>0.3458856345885635</v>
      </c>
      <c r="R302">
        <v>11</v>
      </c>
      <c r="S302">
        <v>0.03984145456721544</v>
      </c>
      <c r="T302" t="s">
        <v>922</v>
      </c>
      <c r="U302">
        <v>-0.079867981626093</v>
      </c>
      <c r="V302" t="s">
        <v>1004</v>
      </c>
      <c r="W302" t="s">
        <v>1008</v>
      </c>
      <c r="X302" t="s">
        <v>1012</v>
      </c>
      <c r="Y302">
        <v>8426.018528000001</v>
      </c>
      <c r="Z302" s="2">
        <v>45166</v>
      </c>
      <c r="AA302" t="s">
        <v>1029</v>
      </c>
    </row>
    <row r="303" spans="1:27">
      <c r="A303" s="1" t="s">
        <v>328</v>
      </c>
      <c r="B303">
        <f>HYPERLINK("https://www.suredividend.com/sure-analysis-WM/","Waste Management, Inc.")</f>
        <v>0</v>
      </c>
      <c r="C303" t="s">
        <v>899</v>
      </c>
      <c r="D303">
        <v>161</v>
      </c>
      <c r="E303">
        <v>160.4</v>
      </c>
      <c r="F303">
        <v>125</v>
      </c>
      <c r="G303">
        <v>1.2832</v>
      </c>
      <c r="H303">
        <v>0.01745635910224439</v>
      </c>
      <c r="I303">
        <v>-0.04864823156266274</v>
      </c>
      <c r="J303">
        <v>0.1</v>
      </c>
      <c r="K303">
        <v>0.06284649598090075</v>
      </c>
      <c r="L303" t="s">
        <v>902</v>
      </c>
      <c r="M303" t="s">
        <v>580</v>
      </c>
      <c r="N303">
        <v>27.003367003367</v>
      </c>
      <c r="O303">
        <v>5.94</v>
      </c>
      <c r="P303">
        <v>2.8</v>
      </c>
      <c r="Q303">
        <v>0.4713804713804713</v>
      </c>
      <c r="R303">
        <v>20</v>
      </c>
      <c r="S303">
        <v>0.04978904632428516</v>
      </c>
      <c r="T303" t="s">
        <v>924</v>
      </c>
      <c r="U303">
        <v>-0.07108066391548401</v>
      </c>
      <c r="V303" t="s">
        <v>1004</v>
      </c>
      <c r="W303" t="s">
        <v>1008</v>
      </c>
      <c r="X303" t="s">
        <v>1012</v>
      </c>
      <c r="Y303">
        <v>64234.328691</v>
      </c>
      <c r="Z303" s="2">
        <v>45143</v>
      </c>
      <c r="AA303" t="s">
        <v>1026</v>
      </c>
    </row>
    <row r="304" spans="1:27">
      <c r="A304" s="1" t="s">
        <v>329</v>
      </c>
      <c r="B304">
        <f>HYPERLINK("https://www.suredividend.com/sure-analysis-PNM/","PNM Resources Inc")</f>
        <v>0</v>
      </c>
      <c r="C304" t="s">
        <v>899</v>
      </c>
      <c r="D304">
        <v>44</v>
      </c>
      <c r="E304">
        <v>43.99</v>
      </c>
      <c r="F304">
        <v>40</v>
      </c>
      <c r="G304">
        <v>1.09975</v>
      </c>
      <c r="H304">
        <v>0.03341668561036599</v>
      </c>
      <c r="I304">
        <v>-0.01883690189614862</v>
      </c>
      <c r="J304">
        <v>0.05</v>
      </c>
      <c r="K304">
        <v>0.0625889195139282</v>
      </c>
      <c r="L304" t="s">
        <v>902</v>
      </c>
      <c r="M304" t="s">
        <v>902</v>
      </c>
      <c r="N304">
        <v>16.6</v>
      </c>
      <c r="O304">
        <v>2.65</v>
      </c>
      <c r="P304">
        <v>1.47</v>
      </c>
      <c r="Q304">
        <v>0.5547169811320755</v>
      </c>
      <c r="R304">
        <v>12</v>
      </c>
      <c r="S304">
        <v>0.05043238559570518</v>
      </c>
      <c r="T304" t="s">
        <v>915</v>
      </c>
      <c r="U304">
        <v>-0.035459386961501</v>
      </c>
      <c r="V304" t="s">
        <v>1004</v>
      </c>
      <c r="W304" t="s">
        <v>1008</v>
      </c>
      <c r="X304" t="s">
        <v>1018</v>
      </c>
      <c r="Y304">
        <v>3802.484918</v>
      </c>
      <c r="Z304" s="2">
        <v>45157</v>
      </c>
      <c r="AA304" t="s">
        <v>1025</v>
      </c>
    </row>
    <row r="305" spans="1:27">
      <c r="A305" s="1" t="s">
        <v>330</v>
      </c>
      <c r="B305">
        <f>HYPERLINK("https://www.suredividend.com/sure-analysis-ARTNA/","Artesian Resources Corp.")</f>
        <v>0</v>
      </c>
      <c r="C305" t="s">
        <v>899</v>
      </c>
      <c r="D305">
        <v>45.6</v>
      </c>
      <c r="E305">
        <v>46.96</v>
      </c>
      <c r="F305">
        <v>42.8</v>
      </c>
      <c r="G305">
        <v>1.097196261682243</v>
      </c>
      <c r="H305">
        <v>0.02427597955706984</v>
      </c>
      <c r="I305">
        <v>-0.01838059259551328</v>
      </c>
      <c r="J305">
        <v>0.061</v>
      </c>
      <c r="K305">
        <v>0.06244997311444611</v>
      </c>
      <c r="L305" t="s">
        <v>902</v>
      </c>
      <c r="M305" t="s">
        <v>580</v>
      </c>
      <c r="N305">
        <v>24.71578947368421</v>
      </c>
      <c r="O305">
        <v>1.9</v>
      </c>
      <c r="P305">
        <v>1.14</v>
      </c>
      <c r="Q305">
        <v>0.6</v>
      </c>
      <c r="R305">
        <v>28</v>
      </c>
      <c r="S305">
        <v>0.01859380928703191</v>
      </c>
      <c r="T305" t="s">
        <v>936</v>
      </c>
      <c r="U305">
        <v>-0.112110604995261</v>
      </c>
      <c r="V305" t="s">
        <v>1004</v>
      </c>
      <c r="W305" t="s">
        <v>1008</v>
      </c>
      <c r="X305" t="s">
        <v>1018</v>
      </c>
      <c r="Y305">
        <v>436.522265</v>
      </c>
      <c r="Z305" s="2">
        <v>45164</v>
      </c>
      <c r="AA305" t="s">
        <v>1033</v>
      </c>
    </row>
    <row r="306" spans="1:27">
      <c r="A306" s="1" t="s">
        <v>331</v>
      </c>
      <c r="B306">
        <f>HYPERLINK("https://www.suredividend.com/sure-analysis-UMBF/","UMB Financial Corp.")</f>
        <v>0</v>
      </c>
      <c r="C306" t="s">
        <v>899</v>
      </c>
      <c r="D306">
        <v>63</v>
      </c>
      <c r="E306">
        <v>63.85</v>
      </c>
      <c r="F306">
        <v>78</v>
      </c>
      <c r="G306">
        <v>0.8185897435897436</v>
      </c>
      <c r="H306">
        <v>0.02380579483163665</v>
      </c>
      <c r="I306">
        <v>0.04084662953610141</v>
      </c>
      <c r="J306">
        <v>0</v>
      </c>
      <c r="K306">
        <v>0.06212577545215492</v>
      </c>
      <c r="L306" t="s">
        <v>902</v>
      </c>
      <c r="M306" t="s">
        <v>580</v>
      </c>
      <c r="N306">
        <v>8.628378378378379</v>
      </c>
      <c r="O306">
        <v>7.4</v>
      </c>
      <c r="P306">
        <v>1.52</v>
      </c>
      <c r="Q306">
        <v>0.2054054054054054</v>
      </c>
      <c r="R306">
        <v>31</v>
      </c>
      <c r="S306">
        <v>0.02975477857041309</v>
      </c>
      <c r="T306" t="s">
        <v>962</v>
      </c>
      <c r="U306">
        <v>-0.298300132922619</v>
      </c>
      <c r="V306" t="s">
        <v>1004</v>
      </c>
      <c r="W306" t="s">
        <v>1008</v>
      </c>
      <c r="X306" t="s">
        <v>1015</v>
      </c>
      <c r="Y306">
        <v>3002.433609</v>
      </c>
      <c r="Z306" s="2">
        <v>45139</v>
      </c>
      <c r="AA306" t="s">
        <v>1030</v>
      </c>
    </row>
    <row r="307" spans="1:27">
      <c r="A307" s="1" t="s">
        <v>332</v>
      </c>
      <c r="B307">
        <f>HYPERLINK("https://www.suredividend.com/sure-analysis-EIX/","Edison International")</f>
        <v>0</v>
      </c>
      <c r="C307" t="s">
        <v>899</v>
      </c>
      <c r="D307">
        <v>71.59999999999999</v>
      </c>
      <c r="E307">
        <v>70.73999999999999</v>
      </c>
      <c r="F307">
        <v>57.4</v>
      </c>
      <c r="G307">
        <v>1.232404181184669</v>
      </c>
      <c r="H307">
        <v>0.04170200735086232</v>
      </c>
      <c r="I307">
        <v>-0.04093207353448602</v>
      </c>
      <c r="J307">
        <v>0.067</v>
      </c>
      <c r="K307">
        <v>0.06208967745190619</v>
      </c>
      <c r="L307" t="s">
        <v>902</v>
      </c>
      <c r="M307" t="s">
        <v>902</v>
      </c>
      <c r="N307">
        <v>15.41176470588235</v>
      </c>
      <c r="O307">
        <v>4.59</v>
      </c>
      <c r="P307">
        <v>2.95</v>
      </c>
      <c r="Q307">
        <v>0.6427015250544663</v>
      </c>
      <c r="R307">
        <v>19</v>
      </c>
      <c r="S307">
        <v>0.03180924735278889</v>
      </c>
      <c r="T307" t="s">
        <v>944</v>
      </c>
      <c r="U307">
        <v>0.032982245755426</v>
      </c>
      <c r="V307" t="s">
        <v>1004</v>
      </c>
      <c r="W307" t="s">
        <v>1008</v>
      </c>
      <c r="X307" t="s">
        <v>1018</v>
      </c>
      <c r="Y307">
        <v>26941.367573</v>
      </c>
      <c r="Z307" s="2">
        <v>45140</v>
      </c>
      <c r="AA307" t="s">
        <v>1033</v>
      </c>
    </row>
    <row r="308" spans="1:27">
      <c r="A308" s="1" t="s">
        <v>333</v>
      </c>
      <c r="B308">
        <f>HYPERLINK("https://www.suredividend.com/sure-analysis-BAH/","Booz Allen Hamilton Holding Corp")</f>
        <v>0</v>
      </c>
      <c r="C308" t="s">
        <v>899</v>
      </c>
      <c r="D308">
        <v>113</v>
      </c>
      <c r="E308">
        <v>113.23</v>
      </c>
      <c r="F308">
        <v>93</v>
      </c>
      <c r="G308">
        <v>1.21752688172043</v>
      </c>
      <c r="H308">
        <v>0.01660337366422326</v>
      </c>
      <c r="I308">
        <v>-0.03859962266221439</v>
      </c>
      <c r="J308">
        <v>0.08</v>
      </c>
      <c r="K308">
        <v>0.05787670966097536</v>
      </c>
      <c r="L308" t="s">
        <v>902</v>
      </c>
      <c r="M308" t="s">
        <v>825</v>
      </c>
      <c r="N308">
        <v>23.20286885245902</v>
      </c>
      <c r="O308">
        <v>4.88</v>
      </c>
      <c r="P308">
        <v>1.88</v>
      </c>
      <c r="Q308">
        <v>0.3852459016393442</v>
      </c>
      <c r="R308">
        <v>11</v>
      </c>
      <c r="S308">
        <v>0.1197834098119592</v>
      </c>
      <c r="T308" t="s">
        <v>917</v>
      </c>
      <c r="U308">
        <v>0.182265084188757</v>
      </c>
      <c r="V308" t="s">
        <v>1004</v>
      </c>
      <c r="W308" t="s">
        <v>1008</v>
      </c>
      <c r="X308" t="s">
        <v>1012</v>
      </c>
      <c r="Y308">
        <v>14840.662559</v>
      </c>
      <c r="Z308" s="2">
        <v>45180</v>
      </c>
      <c r="AA308" t="s">
        <v>1029</v>
      </c>
    </row>
    <row r="309" spans="1:27">
      <c r="A309" s="1" t="s">
        <v>334</v>
      </c>
      <c r="B309">
        <f>HYPERLINK("https://www.suredividend.com/sure-analysis-ORI/","Old Republic International Corp.")</f>
        <v>0</v>
      </c>
      <c r="C309" t="s">
        <v>899</v>
      </c>
      <c r="D309">
        <v>28</v>
      </c>
      <c r="E309">
        <v>27.57</v>
      </c>
      <c r="F309">
        <v>28</v>
      </c>
      <c r="G309">
        <v>0.9846428571428572</v>
      </c>
      <c r="H309">
        <v>0.03554588320638375</v>
      </c>
      <c r="I309">
        <v>0.003100052282172472</v>
      </c>
      <c r="J309">
        <v>0.02</v>
      </c>
      <c r="K309">
        <v>0.05730339467773504</v>
      </c>
      <c r="L309" t="s">
        <v>902</v>
      </c>
      <c r="M309" t="s">
        <v>902</v>
      </c>
      <c r="N309">
        <v>11.028</v>
      </c>
      <c r="O309">
        <v>2.5</v>
      </c>
      <c r="P309">
        <v>0.98</v>
      </c>
      <c r="Q309">
        <v>0.392</v>
      </c>
      <c r="R309">
        <v>42</v>
      </c>
      <c r="S309">
        <v>0.03959498820755258</v>
      </c>
      <c r="T309" t="s">
        <v>920</v>
      </c>
      <c r="U309">
        <v>0.278099946861354</v>
      </c>
      <c r="V309" t="s">
        <v>1004</v>
      </c>
      <c r="W309" t="s">
        <v>1008</v>
      </c>
      <c r="X309" t="s">
        <v>1015</v>
      </c>
      <c r="Y309">
        <v>7873.21805</v>
      </c>
      <c r="Z309" s="2">
        <v>45139</v>
      </c>
      <c r="AA309" t="s">
        <v>1030</v>
      </c>
    </row>
    <row r="310" spans="1:27">
      <c r="A310" s="1" t="s">
        <v>335</v>
      </c>
      <c r="B310">
        <f>HYPERLINK("https://www.suredividend.com/sure-analysis-TROW/","T. Rowe Price Group Inc.")</f>
        <v>0</v>
      </c>
      <c r="C310" t="s">
        <v>900</v>
      </c>
      <c r="D310">
        <v>127</v>
      </c>
      <c r="E310">
        <v>106.6339</v>
      </c>
      <c r="F310">
        <v>97</v>
      </c>
      <c r="G310">
        <v>1.099318556701031</v>
      </c>
      <c r="H310">
        <v>0.04576405814661191</v>
      </c>
      <c r="I310">
        <v>-0.01875989968376357</v>
      </c>
      <c r="J310">
        <v>0.03</v>
      </c>
      <c r="K310">
        <v>0.05656166339321245</v>
      </c>
      <c r="L310" t="s">
        <v>902</v>
      </c>
      <c r="M310" t="s">
        <v>901</v>
      </c>
      <c r="N310">
        <v>15.43182344428365</v>
      </c>
      <c r="O310">
        <v>6.91</v>
      </c>
      <c r="P310">
        <v>4.88</v>
      </c>
      <c r="Q310">
        <v>0.7062228654124457</v>
      </c>
      <c r="R310">
        <v>37</v>
      </c>
      <c r="S310">
        <v>0.04563955259127317</v>
      </c>
      <c r="T310" t="s">
        <v>912</v>
      </c>
      <c r="U310">
        <v>-0.06835918690093401</v>
      </c>
      <c r="V310" t="s">
        <v>1004</v>
      </c>
      <c r="W310" t="s">
        <v>1008</v>
      </c>
      <c r="X310" t="s">
        <v>1015</v>
      </c>
      <c r="Y310">
        <v>24735.263518</v>
      </c>
      <c r="Z310" s="2">
        <v>45137</v>
      </c>
      <c r="AA310" t="s">
        <v>1021</v>
      </c>
    </row>
    <row r="311" spans="1:27">
      <c r="A311" s="1" t="s">
        <v>336</v>
      </c>
      <c r="B311">
        <f>HYPERLINK("https://www.suredividend.com/sure-analysis-WLY/","John Wiley &amp; Sons Inc.")</f>
        <v>0</v>
      </c>
      <c r="C311" t="s">
        <v>899</v>
      </c>
      <c r="D311">
        <v>33</v>
      </c>
      <c r="E311">
        <v>35.46</v>
      </c>
      <c r="F311">
        <v>29</v>
      </c>
      <c r="G311">
        <v>1.222758620689655</v>
      </c>
      <c r="H311">
        <v>0.03948110547095318</v>
      </c>
      <c r="I311">
        <v>-0.03942373073478489</v>
      </c>
      <c r="J311">
        <v>0.06</v>
      </c>
      <c r="K311">
        <v>0.0555044295117495</v>
      </c>
      <c r="L311" t="s">
        <v>902</v>
      </c>
      <c r="M311" t="s">
        <v>902</v>
      </c>
      <c r="N311">
        <v>15.90134529147982</v>
      </c>
      <c r="O311">
        <v>2.23</v>
      </c>
      <c r="P311">
        <v>1.4</v>
      </c>
      <c r="Q311">
        <v>0.6278026905829596</v>
      </c>
      <c r="R311">
        <v>30</v>
      </c>
      <c r="S311">
        <v>0.02962100943384161</v>
      </c>
      <c r="T311" t="s">
        <v>919</v>
      </c>
      <c r="U311">
        <v>-0.208479440364011</v>
      </c>
      <c r="V311" t="s">
        <v>1004</v>
      </c>
      <c r="W311" t="s">
        <v>1008</v>
      </c>
      <c r="X311" t="s">
        <v>1017</v>
      </c>
      <c r="Y311">
        <v>1978.183193</v>
      </c>
      <c r="Z311" s="2">
        <v>45113</v>
      </c>
      <c r="AA311" t="s">
        <v>1028</v>
      </c>
    </row>
    <row r="312" spans="1:27">
      <c r="A312" s="1" t="s">
        <v>337</v>
      </c>
      <c r="B312">
        <f>HYPERLINK("https://www.suredividend.com/sure-analysis-PEP/","PepsiCo Inc")</f>
        <v>0</v>
      </c>
      <c r="C312" t="s">
        <v>899</v>
      </c>
      <c r="D312">
        <v>187</v>
      </c>
      <c r="E312">
        <v>179.68</v>
      </c>
      <c r="F312">
        <v>157</v>
      </c>
      <c r="G312">
        <v>1.144458598726115</v>
      </c>
      <c r="H312">
        <v>0.02816117542297417</v>
      </c>
      <c r="I312">
        <v>-0.02662545947511474</v>
      </c>
      <c r="J312">
        <v>0.055</v>
      </c>
      <c r="K312">
        <v>0.05512816493283901</v>
      </c>
      <c r="L312" t="s">
        <v>902</v>
      </c>
      <c r="M312" t="s">
        <v>902</v>
      </c>
      <c r="N312">
        <v>24.05354752342704</v>
      </c>
      <c r="O312">
        <v>7.47</v>
      </c>
      <c r="P312">
        <v>5.06</v>
      </c>
      <c r="Q312">
        <v>0.677376171352075</v>
      </c>
      <c r="R312">
        <v>51</v>
      </c>
      <c r="S312">
        <v>0.05489731887718152</v>
      </c>
      <c r="T312" t="s">
        <v>916</v>
      </c>
      <c r="U312">
        <v>0.06051673643776501</v>
      </c>
      <c r="V312" t="s">
        <v>1004</v>
      </c>
      <c r="W312" t="s">
        <v>1008</v>
      </c>
      <c r="X312" t="s">
        <v>1011</v>
      </c>
      <c r="Y312">
        <v>245403.025523</v>
      </c>
      <c r="Z312" s="2">
        <v>45125</v>
      </c>
      <c r="AA312" t="s">
        <v>1021</v>
      </c>
    </row>
    <row r="313" spans="1:27">
      <c r="A313" s="1" t="s">
        <v>338</v>
      </c>
      <c r="B313">
        <f>HYPERLINK("https://www.suredividend.com/sure-analysis-FAST/","Fastenal Co.")</f>
        <v>0</v>
      </c>
      <c r="C313" t="s">
        <v>899</v>
      </c>
      <c r="D313">
        <v>57</v>
      </c>
      <c r="E313">
        <v>54.7</v>
      </c>
      <c r="F313">
        <v>47</v>
      </c>
      <c r="G313">
        <v>1.163829787234043</v>
      </c>
      <c r="H313">
        <v>0.02559414990859232</v>
      </c>
      <c r="I313">
        <v>-0.02988748711227041</v>
      </c>
      <c r="J313">
        <v>0.06</v>
      </c>
      <c r="K313">
        <v>0.05503148258654855</v>
      </c>
      <c r="L313" t="s">
        <v>902</v>
      </c>
      <c r="M313" t="s">
        <v>580</v>
      </c>
      <c r="N313">
        <v>28.05128205128205</v>
      </c>
      <c r="O313">
        <v>1.95</v>
      </c>
      <c r="P313">
        <v>1.4</v>
      </c>
      <c r="Q313">
        <v>0.717948717948718</v>
      </c>
      <c r="R313">
        <v>24</v>
      </c>
      <c r="S313">
        <v>0.06961037572506878</v>
      </c>
      <c r="T313" t="s">
        <v>958</v>
      </c>
      <c r="U313">
        <v>0.11617013610233</v>
      </c>
      <c r="V313" t="s">
        <v>1004</v>
      </c>
      <c r="W313" t="s">
        <v>1008</v>
      </c>
      <c r="X313" t="s">
        <v>1012</v>
      </c>
      <c r="Y313">
        <v>31149.075378</v>
      </c>
      <c r="Z313" s="2">
        <v>45124</v>
      </c>
      <c r="AA313" t="s">
        <v>1022</v>
      </c>
    </row>
    <row r="314" spans="1:27">
      <c r="A314" s="1" t="s">
        <v>339</v>
      </c>
      <c r="B314">
        <f>HYPERLINK("https://www.suredividend.com/sure-analysis-CMS/","CMS Energy Corporation")</f>
        <v>0</v>
      </c>
      <c r="C314" t="s">
        <v>899</v>
      </c>
      <c r="D314">
        <v>61</v>
      </c>
      <c r="E314">
        <v>56.78</v>
      </c>
      <c r="F314">
        <v>46</v>
      </c>
      <c r="G314">
        <v>1.234347826086956</v>
      </c>
      <c r="H314">
        <v>0.03434307854878478</v>
      </c>
      <c r="I314">
        <v>-0.0412342999667461</v>
      </c>
      <c r="J314">
        <v>0.06</v>
      </c>
      <c r="K314">
        <v>0.05214795844270115</v>
      </c>
      <c r="L314" t="s">
        <v>902</v>
      </c>
      <c r="M314" t="s">
        <v>902</v>
      </c>
      <c r="N314">
        <v>18.55555555555556</v>
      </c>
      <c r="O314">
        <v>3.06</v>
      </c>
      <c r="P314">
        <v>1.95</v>
      </c>
      <c r="Q314">
        <v>0.6372549019607843</v>
      </c>
      <c r="R314">
        <v>16</v>
      </c>
      <c r="S314">
        <v>0.06003737798448272</v>
      </c>
      <c r="T314" t="s">
        <v>955</v>
      </c>
      <c r="U314">
        <v>-0.17599790580228</v>
      </c>
      <c r="V314" t="s">
        <v>1004</v>
      </c>
      <c r="W314" t="s">
        <v>1008</v>
      </c>
      <c r="X314" t="s">
        <v>1018</v>
      </c>
      <c r="Y314">
        <v>16345.445432</v>
      </c>
      <c r="Z314" s="2">
        <v>45138</v>
      </c>
      <c r="AA314" t="s">
        <v>1025</v>
      </c>
    </row>
    <row r="315" spans="1:27">
      <c r="A315" s="1" t="s">
        <v>340</v>
      </c>
      <c r="B315">
        <f>HYPERLINK("https://www.suredividend.com/sure-analysis-GILD/","Gilead Sciences, Inc.")</f>
        <v>0</v>
      </c>
      <c r="C315" t="s">
        <v>899</v>
      </c>
      <c r="D315">
        <v>77</v>
      </c>
      <c r="E315">
        <v>75.8172</v>
      </c>
      <c r="F315">
        <v>66</v>
      </c>
      <c r="G315">
        <v>1.148745454545455</v>
      </c>
      <c r="H315">
        <v>0.03956885772621516</v>
      </c>
      <c r="I315">
        <v>-0.02735302865585987</v>
      </c>
      <c r="J315">
        <v>0.04</v>
      </c>
      <c r="K315">
        <v>0.05204072198017062</v>
      </c>
      <c r="L315" t="s">
        <v>902</v>
      </c>
      <c r="M315" t="s">
        <v>902</v>
      </c>
      <c r="N315">
        <v>11.43547511312217</v>
      </c>
      <c r="O315">
        <v>6.63</v>
      </c>
      <c r="P315">
        <v>3</v>
      </c>
      <c r="Q315">
        <v>0.4524886877828054</v>
      </c>
      <c r="R315">
        <v>9</v>
      </c>
      <c r="S315">
        <v>0.05006335758366887</v>
      </c>
      <c r="T315" t="s">
        <v>912</v>
      </c>
      <c r="U315">
        <v>0.18503522702374</v>
      </c>
      <c r="V315" t="s">
        <v>1004</v>
      </c>
      <c r="W315" t="s">
        <v>1008</v>
      </c>
      <c r="X315" t="s">
        <v>1014</v>
      </c>
      <c r="Y315">
        <v>95693.90231</v>
      </c>
      <c r="Z315" s="2">
        <v>45157</v>
      </c>
      <c r="AA315" t="s">
        <v>1028</v>
      </c>
    </row>
    <row r="316" spans="1:27">
      <c r="A316" s="1" t="s">
        <v>341</v>
      </c>
      <c r="B316">
        <f>HYPERLINK("https://www.suredividend.com/sure-analysis-MKC/","McCormick &amp; Co., Inc.")</f>
        <v>0</v>
      </c>
      <c r="C316" t="s">
        <v>899</v>
      </c>
      <c r="D316">
        <v>87</v>
      </c>
      <c r="E316">
        <v>79.84</v>
      </c>
      <c r="F316">
        <v>60</v>
      </c>
      <c r="G316">
        <v>1.330666666666667</v>
      </c>
      <c r="H316">
        <v>0.01953907815631262</v>
      </c>
      <c r="I316">
        <v>-0.05553439987287179</v>
      </c>
      <c r="J316">
        <v>0.09</v>
      </c>
      <c r="K316">
        <v>0.05182595510765631</v>
      </c>
      <c r="L316" t="s">
        <v>902</v>
      </c>
      <c r="M316" t="s">
        <v>580</v>
      </c>
      <c r="N316">
        <v>30.3574144486692</v>
      </c>
      <c r="O316">
        <v>2.63</v>
      </c>
      <c r="P316">
        <v>1.56</v>
      </c>
      <c r="Q316">
        <v>0.5931558935361217</v>
      </c>
      <c r="R316">
        <v>36</v>
      </c>
      <c r="S316">
        <v>0.09979014724923641</v>
      </c>
      <c r="T316" t="s">
        <v>921</v>
      </c>
      <c r="U316">
        <v>0.010628309610545</v>
      </c>
      <c r="V316" t="s">
        <v>1004</v>
      </c>
      <c r="W316" t="s">
        <v>1008</v>
      </c>
      <c r="X316" t="s">
        <v>1011</v>
      </c>
      <c r="Y316">
        <v>21666.650926</v>
      </c>
      <c r="Z316" s="2">
        <v>45110</v>
      </c>
      <c r="AA316" t="s">
        <v>1021</v>
      </c>
    </row>
    <row r="317" spans="1:27">
      <c r="A317" s="1" t="s">
        <v>342</v>
      </c>
      <c r="B317">
        <f>HYPERLINK("https://www.suredividend.com/sure-analysis-HSY/","Hershey Company")</f>
        <v>0</v>
      </c>
      <c r="C317" t="s">
        <v>900</v>
      </c>
      <c r="D317">
        <v>235</v>
      </c>
      <c r="E317">
        <v>209.71</v>
      </c>
      <c r="F317">
        <v>189</v>
      </c>
      <c r="G317">
        <v>1.10957671957672</v>
      </c>
      <c r="H317">
        <v>0.02279338133613085</v>
      </c>
      <c r="I317">
        <v>-0.02058098188761859</v>
      </c>
      <c r="J317">
        <v>0.05</v>
      </c>
      <c r="K317">
        <v>0.05101769580453253</v>
      </c>
      <c r="L317" t="s">
        <v>902</v>
      </c>
      <c r="M317" t="s">
        <v>580</v>
      </c>
      <c r="N317">
        <v>22.16807610993657</v>
      </c>
      <c r="O317">
        <v>9.460000000000001</v>
      </c>
      <c r="P317">
        <v>4.78</v>
      </c>
      <c r="Q317">
        <v>0.5052854122621564</v>
      </c>
      <c r="R317">
        <v>14</v>
      </c>
      <c r="S317">
        <v>0.04997845502507947</v>
      </c>
      <c r="T317" t="s">
        <v>932</v>
      </c>
      <c r="U317">
        <v>-0.06930722366261301</v>
      </c>
      <c r="V317" t="s">
        <v>1004</v>
      </c>
      <c r="W317" t="s">
        <v>1008</v>
      </c>
      <c r="X317" t="s">
        <v>1011</v>
      </c>
      <c r="Y317">
        <v>42572.5572</v>
      </c>
      <c r="Z317" s="2">
        <v>45134</v>
      </c>
      <c r="AA317" t="s">
        <v>1035</v>
      </c>
    </row>
    <row r="318" spans="1:27">
      <c r="A318" s="1" t="s">
        <v>343</v>
      </c>
      <c r="B318">
        <f>HYPERLINK("https://www.suredividend.com/sure-analysis-MURGF/","Muenchener Rueckversicherungs-Gesellschaft AG")</f>
        <v>0</v>
      </c>
      <c r="C318" t="s">
        <v>899</v>
      </c>
      <c r="D318">
        <v>387</v>
      </c>
      <c r="E318">
        <v>396.315</v>
      </c>
      <c r="F318">
        <v>385</v>
      </c>
      <c r="G318">
        <v>1.02938961038961</v>
      </c>
      <c r="H318">
        <v>0.03116208066815538</v>
      </c>
      <c r="I318">
        <v>-0.005776454817916554</v>
      </c>
      <c r="J318">
        <v>0.02</v>
      </c>
      <c r="K318">
        <v>0.04619835276096529</v>
      </c>
      <c r="L318" t="s">
        <v>902</v>
      </c>
      <c r="M318" t="s">
        <v>902</v>
      </c>
      <c r="N318">
        <v>11.32975986277873</v>
      </c>
      <c r="O318">
        <v>34.98</v>
      </c>
      <c r="P318">
        <v>12.35</v>
      </c>
      <c r="Q318">
        <v>0.3530588907947399</v>
      </c>
      <c r="R318">
        <v>2</v>
      </c>
      <c r="S318">
        <v>0.04997232247159333</v>
      </c>
      <c r="T318" t="s">
        <v>970</v>
      </c>
      <c r="U318">
        <v>0.49562211115704</v>
      </c>
      <c r="V318" t="s">
        <v>1004</v>
      </c>
      <c r="W318" t="s">
        <v>1009</v>
      </c>
      <c r="X318" t="s">
        <v>1015</v>
      </c>
      <c r="Y318">
        <v>54314.3237</v>
      </c>
      <c r="Z318" s="2">
        <v>45155</v>
      </c>
      <c r="AA318" t="s">
        <v>1032</v>
      </c>
    </row>
    <row r="319" spans="1:27">
      <c r="A319" s="1" t="s">
        <v>344</v>
      </c>
      <c r="B319">
        <f>HYPERLINK("https://www.suredividend.com/sure-analysis-SAP/","Sap SE")</f>
        <v>0</v>
      </c>
      <c r="C319" t="s">
        <v>899</v>
      </c>
      <c r="D319">
        <v>138</v>
      </c>
      <c r="E319">
        <v>135.75</v>
      </c>
      <c r="F319">
        <v>106</v>
      </c>
      <c r="G319">
        <v>1.280660377358491</v>
      </c>
      <c r="H319">
        <v>0.01642725598526704</v>
      </c>
      <c r="I319">
        <v>-0.04827121352954111</v>
      </c>
      <c r="J319">
        <v>0.08</v>
      </c>
      <c r="K319">
        <v>0.04611911912235178</v>
      </c>
      <c r="L319" t="s">
        <v>902</v>
      </c>
      <c r="M319" t="s">
        <v>825</v>
      </c>
      <c r="N319">
        <v>24.24107142857143</v>
      </c>
      <c r="O319">
        <v>5.6</v>
      </c>
      <c r="P319">
        <v>2.23</v>
      </c>
      <c r="Q319">
        <v>0.3982142857142857</v>
      </c>
      <c r="R319">
        <v>8</v>
      </c>
      <c r="S319">
        <v>0.08479578433327761</v>
      </c>
      <c r="T319" t="s">
        <v>971</v>
      </c>
      <c r="U319">
        <v>0.545797317113033</v>
      </c>
      <c r="V319" t="s">
        <v>1004</v>
      </c>
      <c r="W319" t="s">
        <v>1009</v>
      </c>
      <c r="X319" t="s">
        <v>1016</v>
      </c>
      <c r="Y319">
        <v>166155.197378</v>
      </c>
      <c r="Z319" s="2">
        <v>45168</v>
      </c>
      <c r="AA319" t="s">
        <v>1028</v>
      </c>
    </row>
    <row r="320" spans="1:27">
      <c r="A320" s="1" t="s">
        <v>345</v>
      </c>
      <c r="B320">
        <f>HYPERLINK("https://www.suredividend.com/sure-analysis-ZTS/","Zoetis Inc")</f>
        <v>0</v>
      </c>
      <c r="C320" t="s">
        <v>899</v>
      </c>
      <c r="D320">
        <v>189</v>
      </c>
      <c r="E320">
        <v>182</v>
      </c>
      <c r="F320">
        <v>128</v>
      </c>
      <c r="G320">
        <v>1.421875</v>
      </c>
      <c r="H320">
        <v>0.008241758241758242</v>
      </c>
      <c r="I320">
        <v>-0.06797466820786402</v>
      </c>
      <c r="J320">
        <v>0.11</v>
      </c>
      <c r="K320">
        <v>0.04547913247307345</v>
      </c>
      <c r="L320" t="s">
        <v>902</v>
      </c>
      <c r="M320" t="s">
        <v>825</v>
      </c>
      <c r="N320">
        <v>34.08239700374532</v>
      </c>
      <c r="O320">
        <v>5.34</v>
      </c>
      <c r="P320">
        <v>1.5</v>
      </c>
      <c r="Q320">
        <v>0.2808988764044944</v>
      </c>
      <c r="R320">
        <v>9</v>
      </c>
      <c r="S320">
        <v>0.1502258848040678</v>
      </c>
      <c r="T320" t="s">
        <v>935</v>
      </c>
      <c r="U320">
        <v>0.138330505195565</v>
      </c>
      <c r="V320" t="s">
        <v>1004</v>
      </c>
      <c r="W320" t="s">
        <v>1008</v>
      </c>
      <c r="X320" t="s">
        <v>1014</v>
      </c>
      <c r="Y320">
        <v>86401.48306899999</v>
      </c>
      <c r="Z320" s="2">
        <v>45147</v>
      </c>
      <c r="AA320" t="s">
        <v>1031</v>
      </c>
    </row>
    <row r="321" spans="1:27">
      <c r="A321" s="1" t="s">
        <v>346</v>
      </c>
      <c r="B321">
        <f>HYPERLINK("https://www.suredividend.com/sure-analysis-SNA/","Snap-on, Inc.")</f>
        <v>0</v>
      </c>
      <c r="C321" t="s">
        <v>899</v>
      </c>
      <c r="D321">
        <v>278</v>
      </c>
      <c r="E321">
        <v>261.06</v>
      </c>
      <c r="F321">
        <v>260</v>
      </c>
      <c r="G321">
        <v>1.004076923076923</v>
      </c>
      <c r="H321">
        <v>0.02482188002757987</v>
      </c>
      <c r="I321">
        <v>-0.000813396003000344</v>
      </c>
      <c r="J321">
        <v>0.02</v>
      </c>
      <c r="K321">
        <v>0.04528770088392564</v>
      </c>
      <c r="L321" t="s">
        <v>902</v>
      </c>
      <c r="M321" t="s">
        <v>902</v>
      </c>
      <c r="N321">
        <v>14.0733153638814</v>
      </c>
      <c r="O321">
        <v>18.55</v>
      </c>
      <c r="P321">
        <v>6.48</v>
      </c>
      <c r="Q321">
        <v>0.3493261455525606</v>
      </c>
      <c r="R321">
        <v>13</v>
      </c>
      <c r="S321">
        <v>0.05995839365595046</v>
      </c>
      <c r="T321" t="s">
        <v>932</v>
      </c>
      <c r="U321">
        <v>0.197648519370504</v>
      </c>
      <c r="V321" t="s">
        <v>1004</v>
      </c>
      <c r="W321" t="s">
        <v>1008</v>
      </c>
      <c r="X321" t="s">
        <v>1012</v>
      </c>
      <c r="Y321">
        <v>13885.302195</v>
      </c>
      <c r="Z321" s="2">
        <v>45129</v>
      </c>
      <c r="AA321" t="s">
        <v>1030</v>
      </c>
    </row>
    <row r="322" spans="1:27">
      <c r="A322" s="1" t="s">
        <v>347</v>
      </c>
      <c r="B322">
        <f>HYPERLINK("https://www.suredividend.com/sure-analysis-ROK/","Rockwell Automation Inc")</f>
        <v>0</v>
      </c>
      <c r="C322" t="s">
        <v>899</v>
      </c>
      <c r="D322">
        <v>302</v>
      </c>
      <c r="E322">
        <v>285.47</v>
      </c>
      <c r="F322">
        <v>238</v>
      </c>
      <c r="G322">
        <v>1.199453781512605</v>
      </c>
      <c r="H322">
        <v>0.01653413668686727</v>
      </c>
      <c r="I322">
        <v>-0.0357196953882436</v>
      </c>
      <c r="J322">
        <v>0.065</v>
      </c>
      <c r="K322">
        <v>0.04463342725530817</v>
      </c>
      <c r="L322" t="s">
        <v>902</v>
      </c>
      <c r="M322" t="s">
        <v>825</v>
      </c>
      <c r="N322">
        <v>23.9890756302521</v>
      </c>
      <c r="O322">
        <v>11.9</v>
      </c>
      <c r="P322">
        <v>4.72</v>
      </c>
      <c r="Q322">
        <v>0.3966386554621849</v>
      </c>
      <c r="R322">
        <v>13</v>
      </c>
      <c r="S322">
        <v>0.06999857218918182</v>
      </c>
      <c r="T322" t="s">
        <v>947</v>
      </c>
      <c r="U322">
        <v>0.148932364893733</v>
      </c>
      <c r="V322" t="s">
        <v>1004</v>
      </c>
      <c r="W322" t="s">
        <v>1008</v>
      </c>
      <c r="X322" t="s">
        <v>1012</v>
      </c>
      <c r="Y322">
        <v>33203.755106</v>
      </c>
      <c r="Z322" s="2">
        <v>45143</v>
      </c>
      <c r="AA322" t="s">
        <v>1028</v>
      </c>
    </row>
    <row r="323" spans="1:27">
      <c r="A323" s="1" t="s">
        <v>348</v>
      </c>
      <c r="B323">
        <f>HYPERLINK("https://www.suredividend.com/sure-analysis-MRK/","Merck &amp; Co Inc")</f>
        <v>0</v>
      </c>
      <c r="C323" t="s">
        <v>899</v>
      </c>
      <c r="D323">
        <v>105</v>
      </c>
      <c r="E323">
        <v>107.08</v>
      </c>
      <c r="F323">
        <v>90</v>
      </c>
      <c r="G323">
        <v>1.189777777777778</v>
      </c>
      <c r="H323">
        <v>0.02726933134105342</v>
      </c>
      <c r="I323">
        <v>-0.0341563488343013</v>
      </c>
      <c r="J323">
        <v>0.05</v>
      </c>
      <c r="K323">
        <v>0.04244228365562819</v>
      </c>
      <c r="L323" t="s">
        <v>902</v>
      </c>
      <c r="M323" t="s">
        <v>580</v>
      </c>
      <c r="N323">
        <v>17.84666666666667</v>
      </c>
      <c r="O323">
        <v>6</v>
      </c>
      <c r="P323">
        <v>2.92</v>
      </c>
      <c r="Q323">
        <v>0.4866666666666666</v>
      </c>
      <c r="R323">
        <v>12</v>
      </c>
      <c r="S323">
        <v>0.05018351330582038</v>
      </c>
      <c r="T323" t="s">
        <v>912</v>
      </c>
      <c r="U323">
        <v>0.272009604827615</v>
      </c>
      <c r="V323" t="s">
        <v>1004</v>
      </c>
      <c r="W323" t="s">
        <v>1008</v>
      </c>
      <c r="X323" t="s">
        <v>1014</v>
      </c>
      <c r="Y323">
        <v>276640.557844</v>
      </c>
      <c r="Z323" s="2">
        <v>45141</v>
      </c>
      <c r="AA323" t="s">
        <v>1021</v>
      </c>
    </row>
    <row r="324" spans="1:27">
      <c r="A324" s="1" t="s">
        <v>349</v>
      </c>
      <c r="B324">
        <f>HYPERLINK("https://www.suredividend.com/sure-analysis-ED/","Consolidated Edison, Inc.")</f>
        <v>0</v>
      </c>
      <c r="C324" t="s">
        <v>899</v>
      </c>
      <c r="D324">
        <v>89</v>
      </c>
      <c r="E324">
        <v>91.45999999999999</v>
      </c>
      <c r="F324">
        <v>79</v>
      </c>
      <c r="G324">
        <v>1.157721518987342</v>
      </c>
      <c r="H324">
        <v>0.03542532254537503</v>
      </c>
      <c r="I324">
        <v>-0.02886595629905575</v>
      </c>
      <c r="J324">
        <v>0.035</v>
      </c>
      <c r="K324">
        <v>0.0410075772473355</v>
      </c>
      <c r="L324" t="s">
        <v>902</v>
      </c>
      <c r="M324" t="s">
        <v>902</v>
      </c>
      <c r="N324">
        <v>18.55172413793104</v>
      </c>
      <c r="O324">
        <v>4.93</v>
      </c>
      <c r="P324">
        <v>3.24</v>
      </c>
      <c r="Q324">
        <v>0.6572008113590264</v>
      </c>
      <c r="R324">
        <v>49</v>
      </c>
      <c r="S324">
        <v>0.03510199080097043</v>
      </c>
      <c r="T324" t="s">
        <v>923</v>
      </c>
      <c r="U324">
        <v>-0.08347397909467101</v>
      </c>
      <c r="V324" t="s">
        <v>1004</v>
      </c>
      <c r="W324" t="s">
        <v>1008</v>
      </c>
      <c r="X324" t="s">
        <v>1018</v>
      </c>
      <c r="Y324">
        <v>31112.107367</v>
      </c>
      <c r="Z324" s="2">
        <v>45159</v>
      </c>
      <c r="AA324" t="s">
        <v>1021</v>
      </c>
    </row>
    <row r="325" spans="1:27">
      <c r="A325" s="1" t="s">
        <v>350</v>
      </c>
      <c r="B325">
        <f>HYPERLINK("https://www.suredividend.com/sure-analysis-YORW/","York Water Co.")</f>
        <v>0</v>
      </c>
      <c r="C325" t="s">
        <v>900</v>
      </c>
      <c r="D325">
        <v>41</v>
      </c>
      <c r="E325">
        <v>40.39</v>
      </c>
      <c r="F325">
        <v>33</v>
      </c>
      <c r="G325">
        <v>1.223939393939394</v>
      </c>
      <c r="H325">
        <v>0.02005446892795246</v>
      </c>
      <c r="I325">
        <v>-0.03960914199134358</v>
      </c>
      <c r="J325">
        <v>0.06</v>
      </c>
      <c r="K325">
        <v>0.038286000477465</v>
      </c>
      <c r="L325" t="s">
        <v>902</v>
      </c>
      <c r="M325" t="s">
        <v>580</v>
      </c>
      <c r="N325">
        <v>26.74834437086093</v>
      </c>
      <c r="O325">
        <v>1.51</v>
      </c>
      <c r="P325">
        <v>0.8100000000000001</v>
      </c>
      <c r="Q325">
        <v>0.5364238410596027</v>
      </c>
      <c r="R325">
        <v>26</v>
      </c>
      <c r="S325">
        <v>0.04095039696925684</v>
      </c>
      <c r="T325" t="s">
        <v>911</v>
      </c>
      <c r="U325">
        <v>-0.06419814465898201</v>
      </c>
      <c r="V325" t="s">
        <v>1004</v>
      </c>
      <c r="W325" t="s">
        <v>1008</v>
      </c>
      <c r="X325" t="s">
        <v>1018</v>
      </c>
      <c r="Y325">
        <v>576.420858</v>
      </c>
      <c r="Z325" s="2">
        <v>45142</v>
      </c>
      <c r="AA325" t="s">
        <v>1032</v>
      </c>
    </row>
    <row r="326" spans="1:27">
      <c r="A326" s="1" t="s">
        <v>351</v>
      </c>
      <c r="B326">
        <f>HYPERLINK("https://www.suredividend.com/sure-analysis-TRI/","Thomson-Reuters Corp")</f>
        <v>0</v>
      </c>
      <c r="C326" t="s">
        <v>899</v>
      </c>
      <c r="D326">
        <v>131</v>
      </c>
      <c r="E326">
        <v>128.85</v>
      </c>
      <c r="F326">
        <v>101</v>
      </c>
      <c r="G326">
        <v>1.275742574257426</v>
      </c>
      <c r="H326">
        <v>0.01521148622429181</v>
      </c>
      <c r="I326">
        <v>-0.04753858696518598</v>
      </c>
      <c r="J326">
        <v>0.075</v>
      </c>
      <c r="K326">
        <v>0.03816927209268339</v>
      </c>
      <c r="L326" t="s">
        <v>902</v>
      </c>
      <c r="M326" t="s">
        <v>825</v>
      </c>
      <c r="N326">
        <v>38.46268656716418</v>
      </c>
      <c r="O326">
        <v>3.35</v>
      </c>
      <c r="P326">
        <v>1.96</v>
      </c>
      <c r="Q326">
        <v>0.5850746268656716</v>
      </c>
      <c r="R326">
        <v>30</v>
      </c>
      <c r="S326">
        <v>0.01962279460665517</v>
      </c>
      <c r="T326" t="s">
        <v>936</v>
      </c>
      <c r="U326">
        <v>0.175764329426969</v>
      </c>
      <c r="V326" t="s">
        <v>1004</v>
      </c>
      <c r="W326" t="s">
        <v>1009</v>
      </c>
      <c r="X326" t="s">
        <v>1012</v>
      </c>
      <c r="Y326">
        <v>58319.881547</v>
      </c>
      <c r="Z326" s="2">
        <v>45143</v>
      </c>
      <c r="AA326" t="s">
        <v>1026</v>
      </c>
    </row>
    <row r="327" spans="1:27">
      <c r="A327" s="1" t="s">
        <v>352</v>
      </c>
      <c r="B327">
        <f>HYPERLINK("https://www.suredividend.com/sure-analysis-TMP/","Tompkins Financial Corp")</f>
        <v>0</v>
      </c>
      <c r="C327" t="s">
        <v>900</v>
      </c>
      <c r="D327">
        <v>59</v>
      </c>
      <c r="E327">
        <v>49.23</v>
      </c>
      <c r="F327">
        <v>51</v>
      </c>
      <c r="G327">
        <v>0.9652941176470587</v>
      </c>
      <c r="H327">
        <v>0.04875076173065204</v>
      </c>
      <c r="I327">
        <v>0.007089500149860761</v>
      </c>
      <c r="J327">
        <v>-0.02</v>
      </c>
      <c r="K327">
        <v>0.03630750711370712</v>
      </c>
      <c r="L327" t="s">
        <v>902</v>
      </c>
      <c r="M327" t="s">
        <v>901</v>
      </c>
      <c r="N327">
        <v>10.70217391304348</v>
      </c>
      <c r="O327">
        <v>4.6</v>
      </c>
      <c r="P327">
        <v>2.4</v>
      </c>
      <c r="Q327">
        <v>0.5217391304347826</v>
      </c>
      <c r="R327">
        <v>36</v>
      </c>
      <c r="S327">
        <v>0.02001586442069092</v>
      </c>
      <c r="T327" t="s">
        <v>957</v>
      </c>
      <c r="U327">
        <v>-0.309023720515688</v>
      </c>
      <c r="V327" t="s">
        <v>1004</v>
      </c>
      <c r="W327" t="s">
        <v>1008</v>
      </c>
      <c r="X327" t="s">
        <v>1015</v>
      </c>
      <c r="Y327">
        <v>716.007215</v>
      </c>
      <c r="Z327" s="2">
        <v>45147</v>
      </c>
      <c r="AA327" t="s">
        <v>1030</v>
      </c>
    </row>
    <row r="328" spans="1:27">
      <c r="A328" s="1" t="s">
        <v>353</v>
      </c>
      <c r="B328">
        <f>HYPERLINK("https://www.suredividend.com/sure-analysis-IBM/","International Business Machines Corp.")</f>
        <v>0</v>
      </c>
      <c r="C328" t="s">
        <v>899</v>
      </c>
      <c r="D328">
        <v>138</v>
      </c>
      <c r="E328">
        <v>146.55</v>
      </c>
      <c r="F328">
        <v>115</v>
      </c>
      <c r="G328">
        <v>1.274347826086957</v>
      </c>
      <c r="H328">
        <v>0.04530876833845104</v>
      </c>
      <c r="I328">
        <v>-0.04733018819278523</v>
      </c>
      <c r="J328">
        <v>0.04</v>
      </c>
      <c r="K328">
        <v>0.03508664157885821</v>
      </c>
      <c r="L328" t="s">
        <v>902</v>
      </c>
      <c r="M328" t="s">
        <v>902</v>
      </c>
      <c r="N328">
        <v>15.3455497382199</v>
      </c>
      <c r="O328">
        <v>9.550000000000001</v>
      </c>
      <c r="P328">
        <v>6.64</v>
      </c>
      <c r="Q328">
        <v>0.6952879581151832</v>
      </c>
      <c r="R328">
        <v>29</v>
      </c>
      <c r="S328">
        <v>0.01003743109565014</v>
      </c>
      <c r="T328" t="s">
        <v>906</v>
      </c>
      <c r="U328">
        <v>0.175986405822218</v>
      </c>
      <c r="V328" t="s">
        <v>1004</v>
      </c>
      <c r="W328" t="s">
        <v>1008</v>
      </c>
      <c r="X328" t="s">
        <v>1016</v>
      </c>
      <c r="Y328">
        <v>133280.212912</v>
      </c>
      <c r="Z328" s="2">
        <v>45130</v>
      </c>
      <c r="AA328" t="s">
        <v>1029</v>
      </c>
    </row>
    <row r="329" spans="1:27">
      <c r="A329" s="1" t="s">
        <v>354</v>
      </c>
      <c r="B329">
        <f>HYPERLINK("https://www.suredividend.com/sure-analysis-CARR/","Carrier Global Corp")</f>
        <v>0</v>
      </c>
      <c r="C329" t="s">
        <v>900</v>
      </c>
      <c r="D329">
        <v>59</v>
      </c>
      <c r="E329">
        <v>55.24</v>
      </c>
      <c r="F329">
        <v>42</v>
      </c>
      <c r="G329">
        <v>1.315238095238095</v>
      </c>
      <c r="H329">
        <v>0.01339608979000724</v>
      </c>
      <c r="I329">
        <v>-0.05332888924976908</v>
      </c>
      <c r="J329">
        <v>0.07000000000000001</v>
      </c>
      <c r="K329">
        <v>0.02859619617236242</v>
      </c>
      <c r="L329" t="s">
        <v>902</v>
      </c>
      <c r="M329" t="s">
        <v>825</v>
      </c>
      <c r="N329">
        <v>21.24615384615385</v>
      </c>
      <c r="O329">
        <v>2.6</v>
      </c>
      <c r="P329">
        <v>0.74</v>
      </c>
      <c r="Q329">
        <v>0.2846153846153846</v>
      </c>
      <c r="R329">
        <v>3</v>
      </c>
      <c r="S329">
        <v>0.08053529061413389</v>
      </c>
      <c r="T329" t="s">
        <v>934</v>
      </c>
      <c r="U329">
        <v>0.360688184041614</v>
      </c>
      <c r="V329" t="s">
        <v>1004</v>
      </c>
      <c r="W329" t="s">
        <v>1008</v>
      </c>
      <c r="X329" t="s">
        <v>1012</v>
      </c>
      <c r="Y329">
        <v>47392.988053</v>
      </c>
      <c r="Z329" s="2">
        <v>45135</v>
      </c>
      <c r="AA329" t="s">
        <v>1032</v>
      </c>
    </row>
    <row r="330" spans="1:27">
      <c r="A330" s="1" t="s">
        <v>355</v>
      </c>
      <c r="B330">
        <f>HYPERLINK("https://www.suredividend.com/sure-analysis-CPK/","Chesapeake Utilities Corp")</f>
        <v>0</v>
      </c>
      <c r="C330" t="s">
        <v>900</v>
      </c>
      <c r="D330">
        <v>110</v>
      </c>
      <c r="E330">
        <v>109.78</v>
      </c>
      <c r="F330">
        <v>83</v>
      </c>
      <c r="G330">
        <v>1.322650602409638</v>
      </c>
      <c r="H330">
        <v>0.02149754053561669</v>
      </c>
      <c r="I330">
        <v>-0.05439235832467948</v>
      </c>
      <c r="J330">
        <v>0.06</v>
      </c>
      <c r="K330">
        <v>0.02660165967936789</v>
      </c>
      <c r="L330" t="s">
        <v>902</v>
      </c>
      <c r="M330" t="s">
        <v>580</v>
      </c>
      <c r="N330">
        <v>19.96</v>
      </c>
      <c r="O330">
        <v>5.5</v>
      </c>
      <c r="P330">
        <v>2.36</v>
      </c>
      <c r="Q330">
        <v>0.4290909090909091</v>
      </c>
      <c r="R330">
        <v>20</v>
      </c>
      <c r="S330">
        <v>0.0601199707922162</v>
      </c>
      <c r="T330" t="s">
        <v>912</v>
      </c>
      <c r="U330">
        <v>-0.146087764286188</v>
      </c>
      <c r="V330" t="s">
        <v>1004</v>
      </c>
      <c r="W330" t="s">
        <v>1008</v>
      </c>
      <c r="X330" t="s">
        <v>1018</v>
      </c>
      <c r="Y330">
        <v>1946.785498</v>
      </c>
      <c r="Z330" s="2">
        <v>45157</v>
      </c>
      <c r="AA330" t="s">
        <v>1025</v>
      </c>
    </row>
    <row r="331" spans="1:27">
      <c r="A331" s="1" t="s">
        <v>356</v>
      </c>
      <c r="B331">
        <f>HYPERLINK("https://www.suredividend.com/sure-analysis-OTIS/","Otis Worldwide Corp")</f>
        <v>0</v>
      </c>
      <c r="C331" t="s">
        <v>900</v>
      </c>
      <c r="D331">
        <v>89</v>
      </c>
      <c r="E331">
        <v>81.29000000000001</v>
      </c>
      <c r="F331">
        <v>62</v>
      </c>
      <c r="G331">
        <v>1.311129032258065</v>
      </c>
      <c r="H331">
        <v>0.01673022511994095</v>
      </c>
      <c r="I331">
        <v>-0.05273626047413305</v>
      </c>
      <c r="J331">
        <v>0.06</v>
      </c>
      <c r="K331">
        <v>0.02304060498110916</v>
      </c>
      <c r="L331" t="s">
        <v>902</v>
      </c>
      <c r="M331" t="s">
        <v>825</v>
      </c>
      <c r="N331">
        <v>23.56231884057971</v>
      </c>
      <c r="O331">
        <v>3.45</v>
      </c>
      <c r="P331">
        <v>1.36</v>
      </c>
      <c r="Q331">
        <v>0.3942028985507247</v>
      </c>
      <c r="R331">
        <v>3</v>
      </c>
      <c r="S331">
        <v>0.06000153927394081</v>
      </c>
      <c r="T331" t="s">
        <v>932</v>
      </c>
      <c r="U331">
        <v>0.136251073103083</v>
      </c>
      <c r="V331" t="s">
        <v>1004</v>
      </c>
      <c r="W331" t="s">
        <v>1008</v>
      </c>
      <c r="X331" t="s">
        <v>1012</v>
      </c>
      <c r="Y331">
        <v>34006.019467</v>
      </c>
      <c r="Z331" s="2">
        <v>45134</v>
      </c>
      <c r="AA331" t="s">
        <v>1035</v>
      </c>
    </row>
    <row r="332" spans="1:27">
      <c r="A332" s="1" t="s">
        <v>357</v>
      </c>
      <c r="B332">
        <f>HYPERLINK("https://www.suredividend.com/sure-analysis-BALL/","Ball Corp.")</f>
        <v>0</v>
      </c>
      <c r="C332" t="s">
        <v>900</v>
      </c>
      <c r="D332">
        <v>57</v>
      </c>
      <c r="E332">
        <v>50.88</v>
      </c>
      <c r="F332">
        <v>35</v>
      </c>
      <c r="G332">
        <v>1.453714285714286</v>
      </c>
      <c r="H332">
        <v>0.01572327044025157</v>
      </c>
      <c r="I332">
        <v>-0.07209356117330368</v>
      </c>
      <c r="J332">
        <v>0.08</v>
      </c>
      <c r="K332">
        <v>0.0212025525228019</v>
      </c>
      <c r="L332" t="s">
        <v>902</v>
      </c>
      <c r="M332" t="s">
        <v>825</v>
      </c>
      <c r="N332">
        <v>22.12173913043479</v>
      </c>
      <c r="O332">
        <v>2.3</v>
      </c>
      <c r="P332">
        <v>0.8</v>
      </c>
      <c r="Q332">
        <v>0.3478260869565218</v>
      </c>
      <c r="R332">
        <v>5</v>
      </c>
      <c r="S332">
        <v>0.08083252207959757</v>
      </c>
      <c r="T332" t="s">
        <v>916</v>
      </c>
      <c r="U332">
        <v>-0.132447274600169</v>
      </c>
      <c r="V332" t="s">
        <v>1004</v>
      </c>
      <c r="W332" t="s">
        <v>1008</v>
      </c>
      <c r="X332" t="s">
        <v>1013</v>
      </c>
      <c r="Y332">
        <v>16345.239753</v>
      </c>
      <c r="Z332" s="2">
        <v>45153</v>
      </c>
      <c r="AA332" t="s">
        <v>1025</v>
      </c>
    </row>
    <row r="333" spans="1:27">
      <c r="A333" s="1" t="s">
        <v>358</v>
      </c>
      <c r="B333">
        <f>HYPERLINK("https://www.suredividend.com/sure-analysis-FNV/","Franco-Nevada Corporation")</f>
        <v>0</v>
      </c>
      <c r="C333" t="s">
        <v>900</v>
      </c>
      <c r="D333">
        <v>140</v>
      </c>
      <c r="E333">
        <v>140.68</v>
      </c>
      <c r="F333">
        <v>147</v>
      </c>
      <c r="G333">
        <v>0.9570068027210885</v>
      </c>
      <c r="H333">
        <v>0.009667330110889964</v>
      </c>
      <c r="I333">
        <v>0.008827692107553853</v>
      </c>
      <c r="J333">
        <v>0</v>
      </c>
      <c r="K333">
        <v>0.02039297710912069</v>
      </c>
      <c r="L333" t="s">
        <v>902</v>
      </c>
      <c r="M333" t="s">
        <v>825</v>
      </c>
      <c r="N333">
        <v>38.3324250681199</v>
      </c>
      <c r="O333">
        <v>3.67</v>
      </c>
      <c r="P333">
        <v>1.36</v>
      </c>
      <c r="Q333">
        <v>0.3705722070844687</v>
      </c>
      <c r="R333">
        <v>16</v>
      </c>
      <c r="S333">
        <v>0.0801851873035635</v>
      </c>
      <c r="T333" t="s">
        <v>972</v>
      </c>
      <c r="U333">
        <v>0.132366701589104</v>
      </c>
      <c r="V333" t="s">
        <v>1004</v>
      </c>
      <c r="W333" t="s">
        <v>1009</v>
      </c>
      <c r="X333" t="s">
        <v>1010</v>
      </c>
      <c r="Y333">
        <v>27193.152829</v>
      </c>
      <c r="Z333" s="2">
        <v>45149</v>
      </c>
      <c r="AA333" t="s">
        <v>1026</v>
      </c>
    </row>
    <row r="334" spans="1:27">
      <c r="A334" s="1" t="s">
        <v>359</v>
      </c>
      <c r="B334">
        <f>HYPERLINK("https://www.suredividend.com/sure-analysis-APD/","Air Products &amp; Chemicals Inc.")</f>
        <v>0</v>
      </c>
      <c r="C334" t="s">
        <v>899</v>
      </c>
      <c r="D334">
        <v>284</v>
      </c>
      <c r="E334">
        <v>303.13</v>
      </c>
      <c r="F334">
        <v>218</v>
      </c>
      <c r="G334">
        <v>1.390504587155963</v>
      </c>
      <c r="H334">
        <v>0.02309240259954475</v>
      </c>
      <c r="I334">
        <v>-0.06380672994896242</v>
      </c>
      <c r="J334">
        <v>0.06</v>
      </c>
      <c r="K334">
        <v>0.02008049379189503</v>
      </c>
      <c r="L334" t="s">
        <v>902</v>
      </c>
      <c r="M334" t="s">
        <v>902</v>
      </c>
      <c r="N334">
        <v>26.47423580786026</v>
      </c>
      <c r="O334">
        <v>11.45</v>
      </c>
      <c r="P334">
        <v>7</v>
      </c>
      <c r="Q334">
        <v>0.6113537117903931</v>
      </c>
      <c r="R334">
        <v>41</v>
      </c>
      <c r="S334">
        <v>0.0700465954361047</v>
      </c>
      <c r="T334" t="s">
        <v>938</v>
      </c>
      <c r="U334">
        <v>0.175035302783348</v>
      </c>
      <c r="V334" t="s">
        <v>1004</v>
      </c>
      <c r="W334" t="s">
        <v>1008</v>
      </c>
      <c r="X334" t="s">
        <v>1010</v>
      </c>
      <c r="Y334">
        <v>67120.02664900001</v>
      </c>
      <c r="Z334" s="2">
        <v>45157</v>
      </c>
      <c r="AA334" t="s">
        <v>1028</v>
      </c>
    </row>
    <row r="335" spans="1:27">
      <c r="A335" s="1" t="s">
        <v>360</v>
      </c>
      <c r="B335">
        <f>HYPERLINK("https://www.suredividend.com/sure-analysis-PSX/","Phillips 66")</f>
        <v>0</v>
      </c>
      <c r="C335" t="s">
        <v>899</v>
      </c>
      <c r="D335">
        <v>109</v>
      </c>
      <c r="E335">
        <v>123.17</v>
      </c>
      <c r="F335">
        <v>162</v>
      </c>
      <c r="G335">
        <v>0.7603086419753087</v>
      </c>
      <c r="H335">
        <v>0.03409921247056914</v>
      </c>
      <c r="I335">
        <v>0.05633583897494798</v>
      </c>
      <c r="J335">
        <v>-0.07000000000000001</v>
      </c>
      <c r="K335">
        <v>0.01886882336717521</v>
      </c>
      <c r="L335" t="s">
        <v>902</v>
      </c>
      <c r="M335" t="s">
        <v>902</v>
      </c>
      <c r="N335">
        <v>9.123703703703704</v>
      </c>
      <c r="O335">
        <v>13.5</v>
      </c>
      <c r="P335">
        <v>4.2</v>
      </c>
      <c r="Q335">
        <v>0.3111111111111111</v>
      </c>
      <c r="R335">
        <v>11</v>
      </c>
      <c r="S335">
        <v>0.02361947884103976</v>
      </c>
      <c r="T335" t="s">
        <v>932</v>
      </c>
      <c r="U335">
        <v>0.443013841461219</v>
      </c>
      <c r="V335" t="s">
        <v>1004</v>
      </c>
      <c r="W335" t="s">
        <v>1008</v>
      </c>
      <c r="X335" t="s">
        <v>1020</v>
      </c>
      <c r="Y335">
        <v>55340.383692</v>
      </c>
      <c r="Z335" s="2">
        <v>45142</v>
      </c>
      <c r="AA335" t="s">
        <v>1022</v>
      </c>
    </row>
    <row r="336" spans="1:27">
      <c r="A336" s="1" t="s">
        <v>361</v>
      </c>
      <c r="B336">
        <f>HYPERLINK("https://www.suredividend.com/sure-analysis-NVO/","Novo Nordisk")</f>
        <v>0</v>
      </c>
      <c r="C336" t="s">
        <v>900</v>
      </c>
      <c r="D336">
        <v>183</v>
      </c>
      <c r="E336">
        <v>192.63</v>
      </c>
      <c r="F336">
        <v>123</v>
      </c>
      <c r="G336">
        <v>1.56609756097561</v>
      </c>
      <c r="H336">
        <v>0.008877121943622489</v>
      </c>
      <c r="I336">
        <v>-0.08581048209844833</v>
      </c>
      <c r="J336">
        <v>0.1</v>
      </c>
      <c r="K336">
        <v>0.01607586645889958</v>
      </c>
      <c r="L336" t="s">
        <v>902</v>
      </c>
      <c r="M336" t="s">
        <v>825</v>
      </c>
      <c r="N336">
        <v>36.14071294559099</v>
      </c>
      <c r="O336">
        <v>5.33</v>
      </c>
      <c r="P336">
        <v>1.71</v>
      </c>
      <c r="Q336">
        <v>0.3208255159474672</v>
      </c>
      <c r="R336">
        <v>3</v>
      </c>
      <c r="S336">
        <v>0.07014598459437504</v>
      </c>
      <c r="T336" t="s">
        <v>905</v>
      </c>
      <c r="U336">
        <v>0.822733071279748</v>
      </c>
      <c r="V336" t="s">
        <v>1004</v>
      </c>
      <c r="W336" t="s">
        <v>1009</v>
      </c>
      <c r="X336" t="s">
        <v>1014</v>
      </c>
      <c r="Y336">
        <v>337930.717</v>
      </c>
      <c r="Z336" s="2">
        <v>45160</v>
      </c>
      <c r="AA336" t="s">
        <v>1029</v>
      </c>
    </row>
    <row r="337" spans="1:27">
      <c r="A337" s="1" t="s">
        <v>362</v>
      </c>
      <c r="B337">
        <f>HYPERLINK("https://www.suredividend.com/sure-analysis-MWA/","Mueller Water Products Inc")</f>
        <v>0</v>
      </c>
      <c r="C337" t="s">
        <v>900</v>
      </c>
      <c r="D337">
        <v>14.19</v>
      </c>
      <c r="E337">
        <v>12.82</v>
      </c>
      <c r="F337">
        <v>9.6</v>
      </c>
      <c r="G337">
        <v>1.335416666666667</v>
      </c>
      <c r="H337">
        <v>0.0187207488299532</v>
      </c>
      <c r="I337">
        <v>-0.05620723978076791</v>
      </c>
      <c r="J337">
        <v>0.05</v>
      </c>
      <c r="K337">
        <v>0.01228346104002043</v>
      </c>
      <c r="L337" t="s">
        <v>902</v>
      </c>
      <c r="M337" t="s">
        <v>580</v>
      </c>
      <c r="N337">
        <v>21.36666666666667</v>
      </c>
      <c r="O337">
        <v>0.6</v>
      </c>
      <c r="P337">
        <v>0.24</v>
      </c>
      <c r="Q337">
        <v>0.4</v>
      </c>
      <c r="R337">
        <v>8</v>
      </c>
      <c r="S337">
        <v>0.04563955259127317</v>
      </c>
      <c r="T337" t="s">
        <v>906</v>
      </c>
      <c r="U337">
        <v>0.142852107711828</v>
      </c>
      <c r="V337" t="s">
        <v>1004</v>
      </c>
      <c r="W337" t="s">
        <v>1008</v>
      </c>
      <c r="X337" t="s">
        <v>1012</v>
      </c>
      <c r="Y337">
        <v>2029.616351</v>
      </c>
      <c r="Z337" s="2">
        <v>45143</v>
      </c>
      <c r="AA337" t="s">
        <v>1032</v>
      </c>
    </row>
    <row r="338" spans="1:27">
      <c r="A338" s="1" t="s">
        <v>363</v>
      </c>
      <c r="B338">
        <f>HYPERLINK("https://www.suredividend.com/sure-analysis-TT/","Trane Technologies plc")</f>
        <v>0</v>
      </c>
      <c r="C338" t="s">
        <v>900</v>
      </c>
      <c r="D338">
        <v>206</v>
      </c>
      <c r="E338">
        <v>207.32</v>
      </c>
      <c r="F338">
        <v>150</v>
      </c>
      <c r="G338">
        <v>1.382133333333333</v>
      </c>
      <c r="H338">
        <v>0.01447038394752074</v>
      </c>
      <c r="I338">
        <v>-0.06267540737674882</v>
      </c>
      <c r="J338">
        <v>0.06</v>
      </c>
      <c r="K338">
        <v>0.01069560039512418</v>
      </c>
      <c r="L338" t="s">
        <v>902</v>
      </c>
      <c r="M338" t="s">
        <v>825</v>
      </c>
      <c r="N338">
        <v>23.42598870056497</v>
      </c>
      <c r="O338">
        <v>8.85</v>
      </c>
      <c r="P338">
        <v>3</v>
      </c>
      <c r="Q338">
        <v>0.3389830508474577</v>
      </c>
      <c r="R338">
        <v>3</v>
      </c>
      <c r="S338">
        <v>0.05975292415044642</v>
      </c>
      <c r="T338" t="s">
        <v>916</v>
      </c>
      <c r="U338">
        <v>0.280903502115279</v>
      </c>
      <c r="V338" t="s">
        <v>1004</v>
      </c>
      <c r="W338" t="s">
        <v>1009</v>
      </c>
      <c r="X338" t="s">
        <v>1012</v>
      </c>
      <c r="Y338">
        <v>47611.802053</v>
      </c>
      <c r="Z338" s="2">
        <v>45141</v>
      </c>
      <c r="AA338" t="s">
        <v>1032</v>
      </c>
    </row>
    <row r="339" spans="1:27">
      <c r="A339" s="1" t="s">
        <v>364</v>
      </c>
      <c r="B339">
        <f>HYPERLINK("https://www.suredividend.com/sure-analysis-NC/","Nacco Industries Inc.")</f>
        <v>0</v>
      </c>
      <c r="C339" t="s">
        <v>900</v>
      </c>
      <c r="D339">
        <v>34</v>
      </c>
      <c r="E339">
        <v>32.73</v>
      </c>
      <c r="F339">
        <v>27</v>
      </c>
      <c r="G339">
        <v>1.212222222222222</v>
      </c>
      <c r="H339">
        <v>0.02658111824014666</v>
      </c>
      <c r="I339">
        <v>-0.03775967795725044</v>
      </c>
      <c r="J339">
        <v>0</v>
      </c>
      <c r="K339">
        <v>-0.00421108084616495</v>
      </c>
      <c r="L339" t="s">
        <v>902</v>
      </c>
      <c r="M339" t="s">
        <v>580</v>
      </c>
      <c r="N339">
        <v>10.91</v>
      </c>
      <c r="O339">
        <v>3</v>
      </c>
      <c r="P339">
        <v>0.87</v>
      </c>
      <c r="Q339">
        <v>0.29</v>
      </c>
      <c r="R339">
        <v>38</v>
      </c>
      <c r="S339">
        <v>0.0499309672496191</v>
      </c>
      <c r="T339" t="s">
        <v>920</v>
      </c>
      <c r="U339">
        <v>-0.327520827905194</v>
      </c>
      <c r="V339" t="s">
        <v>1004</v>
      </c>
      <c r="W339" t="s">
        <v>1008</v>
      </c>
      <c r="X339" t="s">
        <v>1020</v>
      </c>
      <c r="Y339">
        <v>185.963345</v>
      </c>
      <c r="Z339" s="2">
        <v>45143</v>
      </c>
      <c r="AA339" t="s">
        <v>1021</v>
      </c>
    </row>
    <row r="340" spans="1:27">
      <c r="A340" s="1" t="s">
        <v>365</v>
      </c>
      <c r="B340">
        <f>HYPERLINK("https://www.suredividend.com/sure-analysis-IMO/","Imperial Oil Ltd.")</f>
        <v>0</v>
      </c>
      <c r="C340" t="s">
        <v>900</v>
      </c>
      <c r="D340">
        <v>56</v>
      </c>
      <c r="E340">
        <v>58.1</v>
      </c>
      <c r="F340">
        <v>77</v>
      </c>
      <c r="G340">
        <v>0.7545454545454545</v>
      </c>
      <c r="H340">
        <v>0.02547332185886403</v>
      </c>
      <c r="I340">
        <v>0.0579445814679882</v>
      </c>
      <c r="J340">
        <v>-0.09</v>
      </c>
      <c r="K340">
        <v>-0.005572434600114251</v>
      </c>
      <c r="L340" t="s">
        <v>902</v>
      </c>
      <c r="M340" t="s">
        <v>902</v>
      </c>
      <c r="N340">
        <v>10.56363636363636</v>
      </c>
      <c r="O340">
        <v>5.5</v>
      </c>
      <c r="P340">
        <v>1.48</v>
      </c>
      <c r="Q340">
        <v>0.2690909090909091</v>
      </c>
      <c r="R340">
        <v>8</v>
      </c>
      <c r="S340">
        <v>0.04450667934242181</v>
      </c>
      <c r="T340" t="s">
        <v>916</v>
      </c>
      <c r="U340">
        <v>0.233132865012382</v>
      </c>
      <c r="V340" t="s">
        <v>1004</v>
      </c>
      <c r="W340" t="s">
        <v>1009</v>
      </c>
      <c r="X340" t="s">
        <v>1020</v>
      </c>
      <c r="Y340">
        <v>33727.391084</v>
      </c>
      <c r="Z340" s="2">
        <v>45162</v>
      </c>
      <c r="AA340" t="s">
        <v>1022</v>
      </c>
    </row>
    <row r="341" spans="1:27">
      <c r="A341" s="1" t="s">
        <v>366</v>
      </c>
      <c r="B341">
        <f>HYPERLINK("https://www.suredividend.com/sure-analysis-FMS/","Fresenius Medical Care AG &amp; Co. KGaA")</f>
        <v>0</v>
      </c>
      <c r="C341" t="s">
        <v>900</v>
      </c>
      <c r="D341">
        <v>24</v>
      </c>
      <c r="E341">
        <v>21.96</v>
      </c>
      <c r="F341">
        <v>15</v>
      </c>
      <c r="G341">
        <v>1.464</v>
      </c>
      <c r="H341">
        <v>0.0273224043715847</v>
      </c>
      <c r="I341">
        <v>-0.0734010907078485</v>
      </c>
      <c r="J341">
        <v>0.03</v>
      </c>
      <c r="K341">
        <v>-0.011911102855235</v>
      </c>
      <c r="L341" t="s">
        <v>902</v>
      </c>
      <c r="M341" t="s">
        <v>902</v>
      </c>
      <c r="N341">
        <v>19.60714285714286</v>
      </c>
      <c r="O341">
        <v>1.12</v>
      </c>
      <c r="P341">
        <v>0.6</v>
      </c>
      <c r="Q341">
        <v>0.5357142857142857</v>
      </c>
      <c r="R341">
        <v>24</v>
      </c>
      <c r="S341">
        <v>0.03131030647754507</v>
      </c>
      <c r="T341" t="s">
        <v>961</v>
      </c>
      <c r="U341">
        <v>0.257622619667089</v>
      </c>
      <c r="V341" t="s">
        <v>1004</v>
      </c>
      <c r="W341" t="s">
        <v>1009</v>
      </c>
      <c r="X341" t="s">
        <v>1014</v>
      </c>
      <c r="Y341">
        <v>12622.646576</v>
      </c>
      <c r="Z341" s="2">
        <v>45163</v>
      </c>
      <c r="AA341" t="s">
        <v>1021</v>
      </c>
    </row>
    <row r="342" spans="1:27">
      <c r="A342" s="1" t="s">
        <v>367</v>
      </c>
      <c r="B342">
        <f>HYPERLINK("https://www.suredividend.com/sure-analysis-CHRW/","C.H. Robinson Worldwide, Inc.")</f>
        <v>0</v>
      </c>
      <c r="C342" t="s">
        <v>900</v>
      </c>
      <c r="D342">
        <v>99</v>
      </c>
      <c r="E342">
        <v>87.37</v>
      </c>
      <c r="F342">
        <v>56</v>
      </c>
      <c r="G342">
        <v>1.560178571428571</v>
      </c>
      <c r="H342">
        <v>0.02792720613482889</v>
      </c>
      <c r="I342">
        <v>-0.08511788375823282</v>
      </c>
      <c r="J342">
        <v>0.04</v>
      </c>
      <c r="K342">
        <v>-0.01289335751910636</v>
      </c>
      <c r="L342" t="s">
        <v>902</v>
      </c>
      <c r="M342" t="s">
        <v>580</v>
      </c>
      <c r="N342">
        <v>23.61351351351351</v>
      </c>
      <c r="O342">
        <v>3.7</v>
      </c>
      <c r="P342">
        <v>2.44</v>
      </c>
      <c r="Q342">
        <v>0.6594594594594594</v>
      </c>
      <c r="R342">
        <v>25</v>
      </c>
      <c r="S342">
        <v>0.0400957567386353</v>
      </c>
      <c r="T342" t="s">
        <v>916</v>
      </c>
      <c r="U342">
        <v>-0.204215880916002</v>
      </c>
      <c r="V342" t="s">
        <v>1004</v>
      </c>
      <c r="W342" t="s">
        <v>1008</v>
      </c>
      <c r="X342" t="s">
        <v>1012</v>
      </c>
      <c r="Y342">
        <v>10127.200041</v>
      </c>
      <c r="Z342" s="2">
        <v>45145</v>
      </c>
      <c r="AA342" t="s">
        <v>1027</v>
      </c>
    </row>
    <row r="343" spans="1:27">
      <c r="A343" s="1" t="s">
        <v>368</v>
      </c>
      <c r="B343">
        <f>HYPERLINK("https://www.suredividend.com/sure-analysis-ERIE/","Erie Indemnity Co.")</f>
        <v>0</v>
      </c>
      <c r="C343" t="s">
        <v>900</v>
      </c>
      <c r="D343">
        <v>281</v>
      </c>
      <c r="E343">
        <v>288.67</v>
      </c>
      <c r="F343">
        <v>169</v>
      </c>
      <c r="G343">
        <v>1.70810650887574</v>
      </c>
      <c r="H343">
        <v>0.01648941698132816</v>
      </c>
      <c r="I343">
        <v>-0.1015435920880546</v>
      </c>
      <c r="J343">
        <v>0.055</v>
      </c>
      <c r="K343">
        <v>-0.02951808882969575</v>
      </c>
      <c r="L343" t="s">
        <v>902</v>
      </c>
      <c r="M343" t="s">
        <v>825</v>
      </c>
      <c r="N343">
        <v>37.48961038961039</v>
      </c>
      <c r="O343">
        <v>7.7</v>
      </c>
      <c r="P343">
        <v>4.76</v>
      </c>
      <c r="Q343">
        <v>0.6181818181818182</v>
      </c>
      <c r="R343">
        <v>33</v>
      </c>
      <c r="S343">
        <v>0.05016931709648742</v>
      </c>
      <c r="T343" t="s">
        <v>919</v>
      </c>
      <c r="U343">
        <v>0.31956407528143</v>
      </c>
      <c r="V343" t="s">
        <v>1004</v>
      </c>
      <c r="W343" t="s">
        <v>1008</v>
      </c>
      <c r="X343" t="s">
        <v>1015</v>
      </c>
      <c r="Y343">
        <v>13306.6086</v>
      </c>
      <c r="Z343" s="2">
        <v>45168</v>
      </c>
      <c r="AA343" t="s">
        <v>1028</v>
      </c>
    </row>
    <row r="344" spans="1:27">
      <c r="A344" s="1" t="s">
        <v>369</v>
      </c>
      <c r="B344">
        <f>HYPERLINK("https://www.suredividend.com/sure-analysis-EVR/","Evercore Inc")</f>
        <v>0</v>
      </c>
      <c r="C344" t="s">
        <v>900</v>
      </c>
      <c r="D344">
        <v>135</v>
      </c>
      <c r="E344">
        <v>140.77</v>
      </c>
      <c r="F344">
        <v>81</v>
      </c>
      <c r="G344">
        <v>1.737901234567901</v>
      </c>
      <c r="H344">
        <v>0.02159551040704695</v>
      </c>
      <c r="I344">
        <v>-0.1046455804825055</v>
      </c>
      <c r="J344">
        <v>0.05</v>
      </c>
      <c r="K344">
        <v>-0.02978676863194907</v>
      </c>
      <c r="L344" t="s">
        <v>902</v>
      </c>
      <c r="M344" t="s">
        <v>580</v>
      </c>
      <c r="N344">
        <v>19.02297297297297</v>
      </c>
      <c r="O344">
        <v>7.4</v>
      </c>
      <c r="P344">
        <v>3.04</v>
      </c>
      <c r="Q344">
        <v>0.4108108108108108</v>
      </c>
      <c r="R344">
        <v>18</v>
      </c>
      <c r="S344">
        <v>0.05000563166277994</v>
      </c>
      <c r="T344" t="s">
        <v>922</v>
      </c>
      <c r="U344">
        <v>0.447615177359812</v>
      </c>
      <c r="V344" t="s">
        <v>1004</v>
      </c>
      <c r="W344" t="s">
        <v>1008</v>
      </c>
      <c r="X344" t="s">
        <v>1015</v>
      </c>
      <c r="Y344">
        <v>5290.983618</v>
      </c>
      <c r="Z344" s="2">
        <v>45138</v>
      </c>
      <c r="AA344" t="s">
        <v>1023</v>
      </c>
    </row>
    <row r="345" spans="1:27">
      <c r="A345" s="1" t="s">
        <v>370</v>
      </c>
      <c r="B345">
        <f>HYPERLINK("https://www.suredividend.com/sure-analysis-VRSK/","Verisk Analytics Inc")</f>
        <v>0</v>
      </c>
      <c r="C345" t="s">
        <v>900</v>
      </c>
      <c r="D345">
        <v>235</v>
      </c>
      <c r="E345">
        <v>244.8803</v>
      </c>
      <c r="F345">
        <v>114</v>
      </c>
      <c r="G345">
        <v>2.148072807017544</v>
      </c>
      <c r="H345">
        <v>0.005553733803821704</v>
      </c>
      <c r="I345">
        <v>-0.1417966597431929</v>
      </c>
      <c r="J345">
        <v>0.09</v>
      </c>
      <c r="K345">
        <v>-0.05579085828918628</v>
      </c>
      <c r="L345" t="s">
        <v>902</v>
      </c>
      <c r="M345" t="s">
        <v>825</v>
      </c>
      <c r="N345">
        <v>42.88621716287216</v>
      </c>
      <c r="O345">
        <v>5.71</v>
      </c>
      <c r="P345">
        <v>1.36</v>
      </c>
      <c r="Q345">
        <v>0.2381786339754816</v>
      </c>
      <c r="R345">
        <v>4</v>
      </c>
      <c r="S345">
        <v>0.07028365177818952</v>
      </c>
      <c r="T345" t="s">
        <v>912</v>
      </c>
      <c r="U345">
        <v>0.278705773211187</v>
      </c>
      <c r="V345" t="s">
        <v>1004</v>
      </c>
      <c r="W345" t="s">
        <v>1008</v>
      </c>
      <c r="X345" t="s">
        <v>1016</v>
      </c>
      <c r="Y345">
        <v>35404.338845</v>
      </c>
      <c r="Z345" s="2">
        <v>45155</v>
      </c>
      <c r="AA345" t="s">
        <v>1027</v>
      </c>
    </row>
    <row r="346" spans="1:27">
      <c r="A346" s="1" t="s">
        <v>371</v>
      </c>
      <c r="B346">
        <f>HYPERLINK("https://www.suredividend.com/sure-analysis-CEG/","Constellation Energy Corporation")</f>
        <v>0</v>
      </c>
      <c r="C346" t="s">
        <v>900</v>
      </c>
      <c r="D346">
        <v>105</v>
      </c>
      <c r="E346">
        <v>109.27</v>
      </c>
      <c r="F346">
        <v>60</v>
      </c>
      <c r="G346">
        <v>1.821166666666667</v>
      </c>
      <c r="H346">
        <v>0.01034135627345108</v>
      </c>
      <c r="I346">
        <v>-0.1129868435632331</v>
      </c>
      <c r="J346">
        <v>0.02</v>
      </c>
      <c r="K346">
        <v>-0.07940759581817036</v>
      </c>
      <c r="L346" t="s">
        <v>902</v>
      </c>
      <c r="M346" t="s">
        <v>825</v>
      </c>
      <c r="N346">
        <v>22.03024193548387</v>
      </c>
      <c r="O346">
        <v>4.96</v>
      </c>
      <c r="P346">
        <v>1.13</v>
      </c>
      <c r="Q346">
        <v>0.2278225806451613</v>
      </c>
      <c r="R346">
        <v>1</v>
      </c>
      <c r="S346">
        <v>0.02039028219796957</v>
      </c>
      <c r="T346" t="s">
        <v>947</v>
      </c>
      <c r="U346">
        <v>0.248486856942967</v>
      </c>
      <c r="V346" t="s">
        <v>1004</v>
      </c>
      <c r="W346" t="s">
        <v>1008</v>
      </c>
      <c r="X346" t="s">
        <v>1020</v>
      </c>
      <c r="Y346">
        <v>34892.696412</v>
      </c>
      <c r="Z346" s="2">
        <v>45148</v>
      </c>
      <c r="AA346" t="s">
        <v>1021</v>
      </c>
    </row>
    <row r="347" spans="1:27">
      <c r="A347" s="1" t="s">
        <v>372</v>
      </c>
      <c r="B347">
        <f>HYPERLINK("https://www.suredividend.com/sure-analysis-INTC/","Intel Corp.")</f>
        <v>0</v>
      </c>
      <c r="C347" t="s">
        <v>900</v>
      </c>
      <c r="D347">
        <v>37</v>
      </c>
      <c r="E347">
        <v>38.71</v>
      </c>
      <c r="F347">
        <v>18</v>
      </c>
      <c r="G347">
        <v>2.150555555555556</v>
      </c>
      <c r="H347">
        <v>0.01291655902867476</v>
      </c>
      <c r="I347">
        <v>-0.1419949050474568</v>
      </c>
      <c r="J347">
        <v>0.05</v>
      </c>
      <c r="K347">
        <v>-0.08028849947323191</v>
      </c>
      <c r="L347" t="s">
        <v>902</v>
      </c>
      <c r="M347" t="s">
        <v>825</v>
      </c>
      <c r="N347">
        <v>25.13636363636364</v>
      </c>
      <c r="O347">
        <v>1.54</v>
      </c>
      <c r="P347">
        <v>0.5</v>
      </c>
      <c r="Q347">
        <v>0.3246753246753247</v>
      </c>
      <c r="R347">
        <v>0</v>
      </c>
      <c r="S347">
        <v>0</v>
      </c>
      <c r="T347" t="s">
        <v>910</v>
      </c>
      <c r="U347">
        <v>0.282686048891265</v>
      </c>
      <c r="V347" t="s">
        <v>1004</v>
      </c>
      <c r="W347" t="s">
        <v>1008</v>
      </c>
      <c r="X347" t="s">
        <v>1016</v>
      </c>
      <c r="Y347">
        <v>162745.68</v>
      </c>
      <c r="Z347" s="2">
        <v>45137</v>
      </c>
      <c r="AA347" t="s">
        <v>1021</v>
      </c>
    </row>
    <row r="348" spans="1:27">
      <c r="A348" s="1" t="s">
        <v>373</v>
      </c>
      <c r="B348">
        <f>HYPERLINK("https://www.suredividend.com/sure-analysis-LLY/","Lilly(Eli) &amp; Co")</f>
        <v>0</v>
      </c>
      <c r="C348" t="s">
        <v>900</v>
      </c>
      <c r="D348">
        <v>548</v>
      </c>
      <c r="E348">
        <v>598.88</v>
      </c>
      <c r="F348">
        <v>163</v>
      </c>
      <c r="G348">
        <v>3.674110429447853</v>
      </c>
      <c r="H348">
        <v>0.007547421854127705</v>
      </c>
      <c r="I348">
        <v>-0.2291505641032622</v>
      </c>
      <c r="J348">
        <v>0.09</v>
      </c>
      <c r="K348">
        <v>-0.1408934967104807</v>
      </c>
      <c r="L348" t="s">
        <v>902</v>
      </c>
      <c r="M348" t="s">
        <v>825</v>
      </c>
      <c r="N348">
        <v>64.39569892473118</v>
      </c>
      <c r="O348">
        <v>9.300000000000001</v>
      </c>
      <c r="P348">
        <v>4.52</v>
      </c>
      <c r="Q348">
        <v>0.486021505376344</v>
      </c>
      <c r="R348">
        <v>9</v>
      </c>
      <c r="S348">
        <v>0.0898563876885603</v>
      </c>
      <c r="T348" t="s">
        <v>917</v>
      </c>
      <c r="U348">
        <v>0.92176958005182</v>
      </c>
      <c r="V348" t="s">
        <v>1004</v>
      </c>
      <c r="W348" t="s">
        <v>1008</v>
      </c>
      <c r="X348" t="s">
        <v>1014</v>
      </c>
      <c r="Y348">
        <v>568912.597179</v>
      </c>
      <c r="Z348" s="2">
        <v>45155</v>
      </c>
      <c r="AA348" t="s">
        <v>1021</v>
      </c>
    </row>
    <row r="349" spans="1:27">
      <c r="A349" s="1" t="s">
        <v>374</v>
      </c>
      <c r="B349">
        <f>HYPERLINK("https://www.suredividend.com/sure-analysis-OPI/","Office Properties Income Trust")</f>
        <v>0</v>
      </c>
      <c r="C349" t="s">
        <v>899</v>
      </c>
      <c r="D349">
        <v>6.8</v>
      </c>
      <c r="E349">
        <v>5.76</v>
      </c>
      <c r="F349">
        <v>17</v>
      </c>
      <c r="G349">
        <v>0.3388235294117647</v>
      </c>
      <c r="H349">
        <v>0.1736111111111111</v>
      </c>
      <c r="I349">
        <v>0.2416674249605169</v>
      </c>
      <c r="J349">
        <v>0</v>
      </c>
      <c r="K349">
        <v>0.307374589010794</v>
      </c>
      <c r="L349" t="s">
        <v>580</v>
      </c>
      <c r="M349" t="s">
        <v>901</v>
      </c>
      <c r="N349">
        <v>1.371428571428571</v>
      </c>
      <c r="O349">
        <v>4.2</v>
      </c>
      <c r="P349">
        <v>1</v>
      </c>
      <c r="Q349">
        <v>0.2380952380952381</v>
      </c>
      <c r="R349">
        <v>0</v>
      </c>
      <c r="S349">
        <v>0</v>
      </c>
      <c r="T349" t="s">
        <v>973</v>
      </c>
      <c r="U349">
        <v>-0.611139321698693</v>
      </c>
      <c r="V349" t="s">
        <v>1005</v>
      </c>
      <c r="W349" t="s">
        <v>1008</v>
      </c>
      <c r="X349" t="s">
        <v>1019</v>
      </c>
      <c r="Y349">
        <v>282.774798</v>
      </c>
      <c r="Z349" s="2">
        <v>45160</v>
      </c>
      <c r="AA349" t="s">
        <v>1022</v>
      </c>
    </row>
    <row r="350" spans="1:27">
      <c r="A350" s="1" t="s">
        <v>375</v>
      </c>
      <c r="B350">
        <f>HYPERLINK("https://www.suredividend.com/sure-analysis-VFC/","VF Corp.")</f>
        <v>0</v>
      </c>
      <c r="C350" t="s">
        <v>898</v>
      </c>
      <c r="D350">
        <v>19</v>
      </c>
      <c r="E350">
        <v>17.72</v>
      </c>
      <c r="F350">
        <v>38</v>
      </c>
      <c r="G350">
        <v>0.4663157894736842</v>
      </c>
      <c r="H350">
        <v>0.06772009029345373</v>
      </c>
      <c r="I350">
        <v>0.1648338314662066</v>
      </c>
      <c r="J350">
        <v>0.09</v>
      </c>
      <c r="K350">
        <v>0.2961440308400214</v>
      </c>
      <c r="L350" t="s">
        <v>580</v>
      </c>
      <c r="M350" t="s">
        <v>901</v>
      </c>
      <c r="N350">
        <v>8.438095238095237</v>
      </c>
      <c r="O350">
        <v>2.1</v>
      </c>
      <c r="P350">
        <v>1.2</v>
      </c>
      <c r="Q350">
        <v>0.5714285714285714</v>
      </c>
      <c r="R350">
        <v>0</v>
      </c>
      <c r="S350">
        <v>0.01924487649145656</v>
      </c>
      <c r="T350" t="s">
        <v>962</v>
      </c>
      <c r="U350">
        <v>-0.563198574419228</v>
      </c>
      <c r="V350" t="s">
        <v>1004</v>
      </c>
      <c r="W350" t="s">
        <v>1008</v>
      </c>
      <c r="X350" t="s">
        <v>1013</v>
      </c>
      <c r="Y350">
        <v>7034.629609</v>
      </c>
      <c r="Z350" s="2">
        <v>45166</v>
      </c>
      <c r="AA350" t="s">
        <v>1022</v>
      </c>
    </row>
    <row r="351" spans="1:27">
      <c r="A351" s="1" t="s">
        <v>376</v>
      </c>
      <c r="B351">
        <f>HYPERLINK("https://www.suredividend.com/sure-analysis-LNC/","Lincoln National Corp.")</f>
        <v>0</v>
      </c>
      <c r="C351" t="s">
        <v>898</v>
      </c>
      <c r="D351">
        <v>27</v>
      </c>
      <c r="E351">
        <v>24.66</v>
      </c>
      <c r="F351">
        <v>46</v>
      </c>
      <c r="G351">
        <v>0.5360869565217391</v>
      </c>
      <c r="H351">
        <v>0.07299270072992702</v>
      </c>
      <c r="I351">
        <v>0.132799247586856</v>
      </c>
      <c r="J351">
        <v>0.05</v>
      </c>
      <c r="K351">
        <v>0.2323830694257514</v>
      </c>
      <c r="L351" t="s">
        <v>580</v>
      </c>
      <c r="M351" t="s">
        <v>901</v>
      </c>
      <c r="N351">
        <v>3.473239436619719</v>
      </c>
      <c r="O351">
        <v>7.1</v>
      </c>
      <c r="P351">
        <v>1.8</v>
      </c>
      <c r="Q351">
        <v>0.2535211267605634</v>
      </c>
      <c r="R351">
        <v>11</v>
      </c>
      <c r="S351">
        <v>0.0796084730466029</v>
      </c>
      <c r="T351" t="s">
        <v>921</v>
      </c>
      <c r="U351">
        <v>-0.483651009920908</v>
      </c>
      <c r="V351" t="s">
        <v>1004</v>
      </c>
      <c r="W351" t="s">
        <v>1008</v>
      </c>
      <c r="X351" t="s">
        <v>1015</v>
      </c>
      <c r="Y351">
        <v>4249.434931</v>
      </c>
      <c r="Z351" s="2">
        <v>45155</v>
      </c>
      <c r="AA351" t="s">
        <v>1026</v>
      </c>
    </row>
    <row r="352" spans="1:27">
      <c r="A352" s="1" t="s">
        <v>377</v>
      </c>
      <c r="B352">
        <f>HYPERLINK("https://www.suredividend.com/sure-analysis-YUMC/","Yum China Holdings Inc")</f>
        <v>0</v>
      </c>
      <c r="C352" t="s">
        <v>898</v>
      </c>
      <c r="D352">
        <v>56</v>
      </c>
      <c r="E352">
        <v>53.18</v>
      </c>
      <c r="F352">
        <v>62</v>
      </c>
      <c r="G352">
        <v>0.857741935483871</v>
      </c>
      <c r="H352">
        <v>0.009778112072207598</v>
      </c>
      <c r="I352">
        <v>0.03116620524572022</v>
      </c>
      <c r="J352">
        <v>0.15</v>
      </c>
      <c r="K352">
        <v>0.1912927631971655</v>
      </c>
      <c r="L352" t="s">
        <v>580</v>
      </c>
      <c r="M352" t="s">
        <v>642</v>
      </c>
      <c r="N352">
        <v>25.81553398058252</v>
      </c>
      <c r="O352">
        <v>2.06</v>
      </c>
      <c r="P352">
        <v>0.52</v>
      </c>
      <c r="Q352">
        <v>0.2524271844660194</v>
      </c>
      <c r="R352">
        <v>1</v>
      </c>
      <c r="S352">
        <v>0.03580420358021419</v>
      </c>
      <c r="T352" t="s">
        <v>927</v>
      </c>
      <c r="U352">
        <v>0.08427274413976801</v>
      </c>
      <c r="V352" t="s">
        <v>1004</v>
      </c>
      <c r="W352" t="s">
        <v>1009</v>
      </c>
      <c r="X352" t="s">
        <v>1013</v>
      </c>
      <c r="Y352">
        <v>22126.424553</v>
      </c>
      <c r="Z352" s="2">
        <v>45146</v>
      </c>
      <c r="AA352" t="s">
        <v>1024</v>
      </c>
    </row>
    <row r="353" spans="1:27">
      <c r="A353" s="1" t="s">
        <v>378</v>
      </c>
      <c r="B353">
        <f>HYPERLINK("https://www.suredividend.com/sure-analysis-EOG/","EOG Resources, Inc.")</f>
        <v>0</v>
      </c>
      <c r="C353" t="s">
        <v>898</v>
      </c>
      <c r="D353">
        <v>128</v>
      </c>
      <c r="E353">
        <v>132.91</v>
      </c>
      <c r="F353">
        <v>256</v>
      </c>
      <c r="G353">
        <v>0.5191796875</v>
      </c>
      <c r="H353">
        <v>0.02482883154013994</v>
      </c>
      <c r="I353">
        <v>0.1400829779229982</v>
      </c>
      <c r="J353">
        <v>0.03</v>
      </c>
      <c r="K353">
        <v>0.1903867783276447</v>
      </c>
      <c r="L353" t="s">
        <v>580</v>
      </c>
      <c r="M353" t="s">
        <v>825</v>
      </c>
      <c r="N353">
        <v>9.359859154929577</v>
      </c>
      <c r="O353">
        <v>14.2</v>
      </c>
      <c r="P353">
        <v>3.3</v>
      </c>
      <c r="Q353">
        <v>0.2323943661971831</v>
      </c>
      <c r="R353">
        <v>6</v>
      </c>
      <c r="S353">
        <v>0.08005422401318252</v>
      </c>
      <c r="T353" t="s">
        <v>939</v>
      </c>
      <c r="U353">
        <v>0.125323942905482</v>
      </c>
      <c r="V353" t="s">
        <v>1004</v>
      </c>
      <c r="W353" t="s">
        <v>1008</v>
      </c>
      <c r="X353" t="s">
        <v>1020</v>
      </c>
      <c r="Y353">
        <v>78075.363813</v>
      </c>
      <c r="Z353" s="2">
        <v>45145</v>
      </c>
      <c r="AA353" t="s">
        <v>1031</v>
      </c>
    </row>
    <row r="354" spans="1:27">
      <c r="A354" s="1" t="s">
        <v>379</v>
      </c>
      <c r="B354">
        <f>HYPERLINK("https://www.suredividend.com/sure-analysis-ASML/","ASML Holding NV")</f>
        <v>0</v>
      </c>
      <c r="C354" t="s">
        <v>898</v>
      </c>
      <c r="D354">
        <v>693</v>
      </c>
      <c r="E354">
        <v>617.05</v>
      </c>
      <c r="F354">
        <v>690</v>
      </c>
      <c r="G354">
        <v>0.8942753623188405</v>
      </c>
      <c r="H354">
        <v>0.01056640466736893</v>
      </c>
      <c r="I354">
        <v>0.02259990211127261</v>
      </c>
      <c r="J354">
        <v>0.15</v>
      </c>
      <c r="K354">
        <v>0.1829088709611442</v>
      </c>
      <c r="L354" t="s">
        <v>580</v>
      </c>
      <c r="M354" t="s">
        <v>642</v>
      </c>
      <c r="N354">
        <v>28.63341067285382</v>
      </c>
      <c r="O354">
        <v>21.55</v>
      </c>
      <c r="P354">
        <v>6.52</v>
      </c>
      <c r="Q354">
        <v>0.302552204176334</v>
      </c>
      <c r="R354">
        <v>8</v>
      </c>
      <c r="S354">
        <v>0.07999957023861581</v>
      </c>
      <c r="T354" t="s">
        <v>974</v>
      </c>
      <c r="U354">
        <v>0.244745336127506</v>
      </c>
      <c r="V354" t="s">
        <v>1004</v>
      </c>
      <c r="W354" t="s">
        <v>1009</v>
      </c>
      <c r="X354" t="s">
        <v>1016</v>
      </c>
      <c r="Y354">
        <v>249461.935486</v>
      </c>
      <c r="Z354" s="2">
        <v>45129</v>
      </c>
      <c r="AA354" t="s">
        <v>1030</v>
      </c>
    </row>
    <row r="355" spans="1:27">
      <c r="A355" s="1" t="s">
        <v>380</v>
      </c>
      <c r="B355">
        <f>HYPERLINK("https://www.suredividend.com/sure-analysis-NEP/","NextEra Energy Partners LP")</f>
        <v>0</v>
      </c>
      <c r="C355" t="s">
        <v>898</v>
      </c>
      <c r="D355">
        <v>54</v>
      </c>
      <c r="E355">
        <v>49.18</v>
      </c>
      <c r="F355">
        <v>51.9</v>
      </c>
      <c r="G355">
        <v>0.9475915221579961</v>
      </c>
      <c r="H355">
        <v>0.06954046360309069</v>
      </c>
      <c r="I355">
        <v>0.01082451638693249</v>
      </c>
      <c r="J355">
        <v>0.103</v>
      </c>
      <c r="K355">
        <v>0.17252808236768</v>
      </c>
      <c r="L355" t="s">
        <v>580</v>
      </c>
      <c r="M355" t="s">
        <v>901</v>
      </c>
      <c r="N355">
        <v>10.41949152542373</v>
      </c>
      <c r="O355">
        <v>4.72</v>
      </c>
      <c r="P355">
        <v>3.42</v>
      </c>
      <c r="Q355">
        <v>0.7245762711864407</v>
      </c>
      <c r="R355">
        <v>10</v>
      </c>
      <c r="S355">
        <v>0.11898696853861</v>
      </c>
      <c r="T355" t="s">
        <v>955</v>
      </c>
      <c r="U355">
        <v>-0.394021526284969</v>
      </c>
      <c r="V355" t="s">
        <v>1006</v>
      </c>
      <c r="W355" t="s">
        <v>1008</v>
      </c>
      <c r="X355" t="s">
        <v>1018</v>
      </c>
      <c r="Y355">
        <v>4553.901853</v>
      </c>
      <c r="Z355" s="2">
        <v>45146</v>
      </c>
      <c r="AA355" t="s">
        <v>1033</v>
      </c>
    </row>
    <row r="356" spans="1:27">
      <c r="A356" s="1" t="s">
        <v>381</v>
      </c>
      <c r="B356">
        <f>HYPERLINK("https://www.suredividend.com/sure-analysis-DOX/","Amdocs Ltd")</f>
        <v>0</v>
      </c>
      <c r="C356" t="s">
        <v>898</v>
      </c>
      <c r="D356">
        <v>88</v>
      </c>
      <c r="E356">
        <v>87.37</v>
      </c>
      <c r="F356">
        <v>112</v>
      </c>
      <c r="G356">
        <v>0.7800892857142857</v>
      </c>
      <c r="H356">
        <v>0.01991530273549273</v>
      </c>
      <c r="I356">
        <v>0.05092358194312419</v>
      </c>
      <c r="J356">
        <v>0.1</v>
      </c>
      <c r="K356">
        <v>0.1690506668209413</v>
      </c>
      <c r="L356" t="s">
        <v>580</v>
      </c>
      <c r="M356" t="s">
        <v>825</v>
      </c>
      <c r="N356">
        <v>14.80847457627119</v>
      </c>
      <c r="O356">
        <v>5.9</v>
      </c>
      <c r="P356">
        <v>1.74</v>
      </c>
      <c r="Q356">
        <v>0.2949152542372881</v>
      </c>
      <c r="R356">
        <v>10</v>
      </c>
      <c r="S356">
        <v>0.06013539475734508</v>
      </c>
      <c r="T356" t="s">
        <v>911</v>
      </c>
      <c r="U356">
        <v>0.047104008795384</v>
      </c>
      <c r="V356" t="s">
        <v>1004</v>
      </c>
      <c r="W356" t="s">
        <v>1009</v>
      </c>
      <c r="X356" t="s">
        <v>1017</v>
      </c>
      <c r="Y356">
        <v>10494.13005</v>
      </c>
      <c r="Z356" s="2">
        <v>45144</v>
      </c>
      <c r="AA356" t="s">
        <v>1023</v>
      </c>
    </row>
    <row r="357" spans="1:27">
      <c r="A357" s="1" t="s">
        <v>382</v>
      </c>
      <c r="B357">
        <f>HYPERLINK("https://www.suredividend.com/sure-analysis-WAFD/","Washington Federal Inc.")</f>
        <v>0</v>
      </c>
      <c r="C357" t="s">
        <v>898</v>
      </c>
      <c r="D357">
        <v>27</v>
      </c>
      <c r="E357">
        <v>26.12</v>
      </c>
      <c r="F357">
        <v>39</v>
      </c>
      <c r="G357">
        <v>0.6697435897435897</v>
      </c>
      <c r="H357">
        <v>0.03828483920367534</v>
      </c>
      <c r="I357">
        <v>0.0834734831247157</v>
      </c>
      <c r="J357">
        <v>0.05</v>
      </c>
      <c r="K357">
        <v>0.164449719875708</v>
      </c>
      <c r="L357" t="s">
        <v>580</v>
      </c>
      <c r="M357" t="s">
        <v>902</v>
      </c>
      <c r="N357">
        <v>6.697435897435898</v>
      </c>
      <c r="O357">
        <v>3.9</v>
      </c>
      <c r="P357">
        <v>1</v>
      </c>
      <c r="Q357">
        <v>0.2564102564102564</v>
      </c>
      <c r="R357">
        <v>13</v>
      </c>
      <c r="S357">
        <v>0.06961037572506878</v>
      </c>
      <c r="T357" t="s">
        <v>922</v>
      </c>
      <c r="U357">
        <v>-0.153815584138646</v>
      </c>
      <c r="V357" t="s">
        <v>1004</v>
      </c>
      <c r="W357" t="s">
        <v>1008</v>
      </c>
      <c r="X357" t="s">
        <v>1015</v>
      </c>
      <c r="Y357">
        <v>1695.266338</v>
      </c>
      <c r="Z357" s="2">
        <v>45123</v>
      </c>
      <c r="AA357" t="s">
        <v>1023</v>
      </c>
    </row>
    <row r="358" spans="1:27">
      <c r="A358" s="1" t="s">
        <v>383</v>
      </c>
      <c r="B358">
        <f>HYPERLINK("https://www.suredividend.com/sure-analysis-ZION/","Zions Bancorporation N.A")</f>
        <v>0</v>
      </c>
      <c r="C358" t="s">
        <v>898</v>
      </c>
      <c r="D358">
        <v>38</v>
      </c>
      <c r="E358">
        <v>36.13</v>
      </c>
      <c r="F358">
        <v>53</v>
      </c>
      <c r="G358">
        <v>0.6816981132075473</v>
      </c>
      <c r="H358">
        <v>0.04539164129532244</v>
      </c>
      <c r="I358">
        <v>0.07964650101096682</v>
      </c>
      <c r="J358">
        <v>0.05</v>
      </c>
      <c r="K358">
        <v>0.1638387999967501</v>
      </c>
      <c r="L358" t="s">
        <v>580</v>
      </c>
      <c r="M358" t="s">
        <v>902</v>
      </c>
      <c r="N358">
        <v>6.816981132075473</v>
      </c>
      <c r="O358">
        <v>5.3</v>
      </c>
      <c r="P358">
        <v>1.64</v>
      </c>
      <c r="Q358">
        <v>0.3094339622641509</v>
      </c>
      <c r="R358">
        <v>11</v>
      </c>
      <c r="S358">
        <v>0.04968861687192305</v>
      </c>
      <c r="T358" t="s">
        <v>936</v>
      </c>
      <c r="U358">
        <v>-0.338243427931158</v>
      </c>
      <c r="V358" t="s">
        <v>1004</v>
      </c>
      <c r="W358" t="s">
        <v>1008</v>
      </c>
      <c r="X358" t="s">
        <v>1015</v>
      </c>
      <c r="Y358">
        <v>5494.702983</v>
      </c>
      <c r="Z358" s="2">
        <v>45127</v>
      </c>
      <c r="AA358" t="s">
        <v>1023</v>
      </c>
    </row>
    <row r="359" spans="1:27">
      <c r="A359" s="1" t="s">
        <v>384</v>
      </c>
      <c r="B359">
        <f>HYPERLINK("https://www.suredividend.com/sure-analysis-HASI/","Hannon Armstrong Sustainable Infrastructure capital Inc")</f>
        <v>0</v>
      </c>
      <c r="C359" t="s">
        <v>898</v>
      </c>
      <c r="D359">
        <v>24.45</v>
      </c>
      <c r="E359">
        <v>24.29</v>
      </c>
      <c r="F359">
        <v>24.26</v>
      </c>
      <c r="G359">
        <v>1.00123660346249</v>
      </c>
      <c r="H359">
        <v>0.06504734458624949</v>
      </c>
      <c r="I359">
        <v>-0.0002471373561665491</v>
      </c>
      <c r="J359">
        <v>0.115</v>
      </c>
      <c r="K359">
        <v>0.1623748024326175</v>
      </c>
      <c r="L359" t="s">
        <v>580</v>
      </c>
      <c r="M359" t="s">
        <v>901</v>
      </c>
      <c r="N359">
        <v>10.51515151515151</v>
      </c>
      <c r="O359">
        <v>2.31</v>
      </c>
      <c r="P359">
        <v>1.58</v>
      </c>
      <c r="Q359">
        <v>0.683982683982684</v>
      </c>
      <c r="R359">
        <v>5</v>
      </c>
      <c r="S359">
        <v>0.0703829372933884</v>
      </c>
      <c r="T359" t="s">
        <v>944</v>
      </c>
      <c r="U359">
        <v>-0.376275915838283</v>
      </c>
      <c r="V359" t="s">
        <v>1005</v>
      </c>
      <c r="W359" t="s">
        <v>1008</v>
      </c>
      <c r="X359" t="s">
        <v>1019</v>
      </c>
      <c r="Y359">
        <v>2608.70732</v>
      </c>
      <c r="Z359" s="2">
        <v>45143</v>
      </c>
      <c r="AA359" t="s">
        <v>1032</v>
      </c>
    </row>
    <row r="360" spans="1:27">
      <c r="A360" s="1" t="s">
        <v>385</v>
      </c>
      <c r="B360">
        <f>HYPERLINK("https://www.suredividend.com/sure-analysis-MGA/","Magna International Inc.")</f>
        <v>0</v>
      </c>
      <c r="C360" t="s">
        <v>898</v>
      </c>
      <c r="D360">
        <v>59</v>
      </c>
      <c r="E360">
        <v>55.71</v>
      </c>
      <c r="F360">
        <v>60</v>
      </c>
      <c r="G360">
        <v>0.9285</v>
      </c>
      <c r="H360">
        <v>0.0330281816549991</v>
      </c>
      <c r="I360">
        <v>0.01494759400423384</v>
      </c>
      <c r="J360">
        <v>0.12</v>
      </c>
      <c r="K360">
        <v>0.1621301610648767</v>
      </c>
      <c r="L360" t="s">
        <v>580</v>
      </c>
      <c r="M360" t="s">
        <v>825</v>
      </c>
      <c r="N360">
        <v>10.16605839416058</v>
      </c>
      <c r="O360">
        <v>5.48</v>
      </c>
      <c r="P360">
        <v>1.84</v>
      </c>
      <c r="Q360">
        <v>0.3357664233576642</v>
      </c>
      <c r="R360">
        <v>13</v>
      </c>
      <c r="S360">
        <v>0.09975204344332944</v>
      </c>
      <c r="T360" t="s">
        <v>932</v>
      </c>
      <c r="U360">
        <v>0.004146095917969</v>
      </c>
      <c r="V360" t="s">
        <v>1004</v>
      </c>
      <c r="W360" t="s">
        <v>1009</v>
      </c>
      <c r="X360" t="s">
        <v>1013</v>
      </c>
      <c r="Y360">
        <v>16641.811906</v>
      </c>
      <c r="Z360" s="2">
        <v>45148</v>
      </c>
      <c r="AA360" t="s">
        <v>1036</v>
      </c>
    </row>
    <row r="361" spans="1:27">
      <c r="A361" s="1" t="s">
        <v>386</v>
      </c>
      <c r="B361">
        <f>HYPERLINK("https://www.suredividend.com/sure-analysis-EQH/","Equitable Holdings Inc")</f>
        <v>0</v>
      </c>
      <c r="C361" t="s">
        <v>898</v>
      </c>
      <c r="D361">
        <v>28</v>
      </c>
      <c r="E361">
        <v>28.61</v>
      </c>
      <c r="F361">
        <v>41</v>
      </c>
      <c r="G361">
        <v>0.6978048780487804</v>
      </c>
      <c r="H361">
        <v>0.03075847605732262</v>
      </c>
      <c r="I361">
        <v>0.07461574581637631</v>
      </c>
      <c r="J361">
        <v>0.06</v>
      </c>
      <c r="K361">
        <v>0.1601595028907208</v>
      </c>
      <c r="L361" t="s">
        <v>580</v>
      </c>
      <c r="M361" t="s">
        <v>580</v>
      </c>
      <c r="N361">
        <v>5.201818181818182</v>
      </c>
      <c r="O361">
        <v>5.5</v>
      </c>
      <c r="P361">
        <v>0.88</v>
      </c>
      <c r="Q361">
        <v>0.16</v>
      </c>
      <c r="R361">
        <v>5</v>
      </c>
      <c r="S361">
        <v>0.06042477819475911</v>
      </c>
      <c r="T361" t="s">
        <v>910</v>
      </c>
      <c r="U361">
        <v>-0.04124601487778901</v>
      </c>
      <c r="V361" t="s">
        <v>1004</v>
      </c>
      <c r="W361" t="s">
        <v>1008</v>
      </c>
      <c r="X361" t="s">
        <v>1015</v>
      </c>
      <c r="Y361">
        <v>10028.030588</v>
      </c>
      <c r="Z361" s="2">
        <v>45153</v>
      </c>
      <c r="AA361" t="s">
        <v>1025</v>
      </c>
    </row>
    <row r="362" spans="1:27">
      <c r="A362" s="1" t="s">
        <v>387</v>
      </c>
      <c r="B362">
        <f>HYPERLINK("https://www.suredividend.com/sure-analysis-BAC/","Bank Of America Corp.")</f>
        <v>0</v>
      </c>
      <c r="C362" t="s">
        <v>898</v>
      </c>
      <c r="D362">
        <v>31</v>
      </c>
      <c r="E362">
        <v>28.88</v>
      </c>
      <c r="F362">
        <v>35</v>
      </c>
      <c r="G362">
        <v>0.8251428571428571</v>
      </c>
      <c r="H362">
        <v>0.0332409972299169</v>
      </c>
      <c r="I362">
        <v>0.03918811486092277</v>
      </c>
      <c r="J362">
        <v>0.08</v>
      </c>
      <c r="K362">
        <v>0.1476921397212423</v>
      </c>
      <c r="L362" t="s">
        <v>580</v>
      </c>
      <c r="M362" t="s">
        <v>580</v>
      </c>
      <c r="N362">
        <v>8.620895522388059</v>
      </c>
      <c r="O362">
        <v>3.35</v>
      </c>
      <c r="P362">
        <v>0.96</v>
      </c>
      <c r="Q362">
        <v>0.2865671641791044</v>
      </c>
      <c r="R362">
        <v>11</v>
      </c>
      <c r="S362">
        <v>0.0799150058822331</v>
      </c>
      <c r="T362" t="s">
        <v>916</v>
      </c>
      <c r="U362">
        <v>-0.154841645856185</v>
      </c>
      <c r="V362" t="s">
        <v>1004</v>
      </c>
      <c r="W362" t="s">
        <v>1008</v>
      </c>
      <c r="X362" t="s">
        <v>1015</v>
      </c>
      <c r="Y362">
        <v>230206.389829</v>
      </c>
      <c r="Z362" s="2">
        <v>45126</v>
      </c>
      <c r="AA362" t="s">
        <v>1030</v>
      </c>
    </row>
    <row r="363" spans="1:27">
      <c r="A363" s="1" t="s">
        <v>388</v>
      </c>
      <c r="B363">
        <f>HYPERLINK("https://www.suredividend.com/sure-analysis-EVRG/","Evergy Inc")</f>
        <v>0</v>
      </c>
      <c r="C363" t="s">
        <v>898</v>
      </c>
      <c r="D363">
        <v>56</v>
      </c>
      <c r="E363">
        <v>53.72</v>
      </c>
      <c r="F363">
        <v>68</v>
      </c>
      <c r="G363">
        <v>0.79</v>
      </c>
      <c r="H363">
        <v>0.04560685033507074</v>
      </c>
      <c r="I363">
        <v>0.04827343874993084</v>
      </c>
      <c r="J363">
        <v>0.06</v>
      </c>
      <c r="K363">
        <v>0.1448290237844923</v>
      </c>
      <c r="L363" t="s">
        <v>580</v>
      </c>
      <c r="M363" t="s">
        <v>902</v>
      </c>
      <c r="N363">
        <v>14.71780821917808</v>
      </c>
      <c r="O363">
        <v>3.65</v>
      </c>
      <c r="P363">
        <v>2.45</v>
      </c>
      <c r="Q363">
        <v>0.6712328767123288</v>
      </c>
      <c r="R363">
        <v>18</v>
      </c>
      <c r="S363">
        <v>0.06008710530927752</v>
      </c>
      <c r="T363" t="s">
        <v>905</v>
      </c>
      <c r="U363">
        <v>-0.219375854106781</v>
      </c>
      <c r="V363" t="s">
        <v>1004</v>
      </c>
      <c r="W363" t="s">
        <v>1008</v>
      </c>
      <c r="X363" t="s">
        <v>1018</v>
      </c>
      <c r="Y363">
        <v>12176.511184</v>
      </c>
      <c r="Z363" s="2">
        <v>45157</v>
      </c>
      <c r="AA363" t="s">
        <v>1022</v>
      </c>
    </row>
    <row r="364" spans="1:27">
      <c r="A364" s="1" t="s">
        <v>389</v>
      </c>
      <c r="B364">
        <f>HYPERLINK("https://www.suredividend.com/sure-analysis-FMBH/","First Mid Bancshares Inc.")</f>
        <v>0</v>
      </c>
      <c r="C364" t="s">
        <v>898</v>
      </c>
      <c r="D364">
        <v>31</v>
      </c>
      <c r="E364">
        <v>26.95</v>
      </c>
      <c r="F364">
        <v>37</v>
      </c>
      <c r="G364">
        <v>0.7283783783783784</v>
      </c>
      <c r="H364">
        <v>0.03413729128014843</v>
      </c>
      <c r="I364">
        <v>0.06543900240520206</v>
      </c>
      <c r="J364">
        <v>0.05</v>
      </c>
      <c r="K364">
        <v>0.1422616463365076</v>
      </c>
      <c r="L364" t="s">
        <v>580</v>
      </c>
      <c r="M364" t="s">
        <v>580</v>
      </c>
      <c r="N364">
        <v>7.926470588235294</v>
      </c>
      <c r="O364">
        <v>3.4</v>
      </c>
      <c r="P364">
        <v>0.92</v>
      </c>
      <c r="Q364">
        <v>0.2705882352941177</v>
      </c>
      <c r="R364">
        <v>12</v>
      </c>
      <c r="S364">
        <v>0.04012620718096094</v>
      </c>
      <c r="T364" t="s">
        <v>947</v>
      </c>
      <c r="U364">
        <v>-0.179883829415836</v>
      </c>
      <c r="V364" t="s">
        <v>1004</v>
      </c>
      <c r="W364" t="s">
        <v>1008</v>
      </c>
      <c r="X364" t="s">
        <v>1015</v>
      </c>
      <c r="Y364">
        <v>559.709986</v>
      </c>
      <c r="Z364" s="2">
        <v>45138</v>
      </c>
      <c r="AA364" t="s">
        <v>1024</v>
      </c>
    </row>
    <row r="365" spans="1:27">
      <c r="A365" s="1" t="s">
        <v>390</v>
      </c>
      <c r="B365">
        <f>HYPERLINK("https://www.suredividend.com/sure-analysis-BK/","Bank Of New York Mellon Corp")</f>
        <v>0</v>
      </c>
      <c r="C365" t="s">
        <v>898</v>
      </c>
      <c r="D365">
        <v>45</v>
      </c>
      <c r="E365">
        <v>45.27</v>
      </c>
      <c r="F365">
        <v>53</v>
      </c>
      <c r="G365">
        <v>0.8541509433962264</v>
      </c>
      <c r="H365">
        <v>0.03711066931742876</v>
      </c>
      <c r="I365">
        <v>0.03203178955865749</v>
      </c>
      <c r="J365">
        <v>0.08</v>
      </c>
      <c r="K365">
        <v>0.1411652569842801</v>
      </c>
      <c r="L365" t="s">
        <v>580</v>
      </c>
      <c r="M365" t="s">
        <v>580</v>
      </c>
      <c r="N365">
        <v>9.054</v>
      </c>
      <c r="O365">
        <v>5</v>
      </c>
      <c r="P365">
        <v>1.68</v>
      </c>
      <c r="Q365">
        <v>0.336</v>
      </c>
      <c r="R365">
        <v>13</v>
      </c>
      <c r="S365">
        <v>0.04959293402845044</v>
      </c>
      <c r="T365" t="s">
        <v>937</v>
      </c>
      <c r="U365">
        <v>0.060994313930869</v>
      </c>
      <c r="V365" t="s">
        <v>1004</v>
      </c>
      <c r="W365" t="s">
        <v>1008</v>
      </c>
      <c r="X365" t="s">
        <v>1015</v>
      </c>
      <c r="Y365">
        <v>35341.148398</v>
      </c>
      <c r="Z365" s="2">
        <v>45126</v>
      </c>
      <c r="AA365" t="s">
        <v>1030</v>
      </c>
    </row>
    <row r="366" spans="1:27">
      <c r="A366" s="1" t="s">
        <v>391</v>
      </c>
      <c r="B366">
        <f>HYPERLINK("https://www.suredividend.com/sure-analysis-CFFI/","C &amp; F Financial Corp")</f>
        <v>0</v>
      </c>
      <c r="C366" t="s">
        <v>898</v>
      </c>
      <c r="D366">
        <v>56</v>
      </c>
      <c r="E366">
        <v>52.7666</v>
      </c>
      <c r="F366">
        <v>62</v>
      </c>
      <c r="G366">
        <v>0.8510741935483871</v>
      </c>
      <c r="H366">
        <v>0.03335443253876506</v>
      </c>
      <c r="I366">
        <v>0.03277690013701551</v>
      </c>
      <c r="J366">
        <v>0.08</v>
      </c>
      <c r="K366">
        <v>0.1400683507508818</v>
      </c>
      <c r="L366" t="s">
        <v>580</v>
      </c>
      <c r="M366" t="s">
        <v>580</v>
      </c>
      <c r="N366">
        <v>5.996204545454544</v>
      </c>
      <c r="O366">
        <v>8.800000000000001</v>
      </c>
      <c r="P366">
        <v>1.76</v>
      </c>
      <c r="Q366">
        <v>0.2</v>
      </c>
      <c r="R366">
        <v>13</v>
      </c>
      <c r="S366">
        <v>0.06042477819475911</v>
      </c>
      <c r="T366" t="s">
        <v>912</v>
      </c>
      <c r="U366">
        <v>0.123006113055813</v>
      </c>
      <c r="V366" t="s">
        <v>1004</v>
      </c>
      <c r="W366" t="s">
        <v>1008</v>
      </c>
      <c r="X366" t="s">
        <v>1015</v>
      </c>
      <c r="Y366">
        <v>186.735789</v>
      </c>
      <c r="Z366" s="2">
        <v>45140</v>
      </c>
      <c r="AA366" t="s">
        <v>1023</v>
      </c>
    </row>
    <row r="367" spans="1:27">
      <c r="A367" s="1" t="s">
        <v>392</v>
      </c>
      <c r="B367">
        <f>HYPERLINK("https://www.suredividend.com/sure-analysis-HIG/","Hartford Financial Services Group Inc.")</f>
        <v>0</v>
      </c>
      <c r="C367" t="s">
        <v>898</v>
      </c>
      <c r="D367">
        <v>72</v>
      </c>
      <c r="E367">
        <v>72.19</v>
      </c>
      <c r="F367">
        <v>87</v>
      </c>
      <c r="G367">
        <v>0.8297701149425287</v>
      </c>
      <c r="H367">
        <v>0.02354896800110819</v>
      </c>
      <c r="I367">
        <v>0.0380265031325171</v>
      </c>
      <c r="J367">
        <v>0.08</v>
      </c>
      <c r="K367">
        <v>0.1383219755379701</v>
      </c>
      <c r="L367" t="s">
        <v>580</v>
      </c>
      <c r="M367" t="s">
        <v>825</v>
      </c>
      <c r="N367">
        <v>9.137974683544304</v>
      </c>
      <c r="O367">
        <v>7.9</v>
      </c>
      <c r="P367">
        <v>1.7</v>
      </c>
      <c r="Q367">
        <v>0.2151898734177215</v>
      </c>
      <c r="R367">
        <v>13</v>
      </c>
      <c r="S367">
        <v>0.05953519437746113</v>
      </c>
      <c r="T367" t="s">
        <v>916</v>
      </c>
      <c r="U367">
        <v>0.091286764317383</v>
      </c>
      <c r="V367" t="s">
        <v>1004</v>
      </c>
      <c r="W367" t="s">
        <v>1008</v>
      </c>
      <c r="X367" t="s">
        <v>1015</v>
      </c>
      <c r="Y367">
        <v>22107.479122</v>
      </c>
      <c r="Z367" s="2">
        <v>45140</v>
      </c>
      <c r="AA367" t="s">
        <v>1023</v>
      </c>
    </row>
    <row r="368" spans="1:27">
      <c r="A368" s="1" t="s">
        <v>393</v>
      </c>
      <c r="B368">
        <f>HYPERLINK("https://www.suredividend.com/sure-analysis-STT/","State Street Corp.")</f>
        <v>0</v>
      </c>
      <c r="C368" t="s">
        <v>898</v>
      </c>
      <c r="D368">
        <v>68</v>
      </c>
      <c r="E368">
        <v>71.25</v>
      </c>
      <c r="F368">
        <v>93</v>
      </c>
      <c r="G368">
        <v>0.7661290322580645</v>
      </c>
      <c r="H368">
        <v>0.03873684210526315</v>
      </c>
      <c r="I368">
        <v>0.05472591271576022</v>
      </c>
      <c r="J368">
        <v>0.05</v>
      </c>
      <c r="K368">
        <v>0.1358389336883041</v>
      </c>
      <c r="L368" t="s">
        <v>580</v>
      </c>
      <c r="M368" t="s">
        <v>580</v>
      </c>
      <c r="N368">
        <v>9.563758389261745</v>
      </c>
      <c r="O368">
        <v>7.45</v>
      </c>
      <c r="P368">
        <v>2.76</v>
      </c>
      <c r="Q368">
        <v>0.3704697986577181</v>
      </c>
      <c r="R368">
        <v>14</v>
      </c>
      <c r="S368">
        <v>0.04984870359842875</v>
      </c>
      <c r="T368" t="s">
        <v>938</v>
      </c>
      <c r="U368">
        <v>-0.001649254763078</v>
      </c>
      <c r="V368" t="s">
        <v>1004</v>
      </c>
      <c r="W368" t="s">
        <v>1008</v>
      </c>
      <c r="X368" t="s">
        <v>1015</v>
      </c>
      <c r="Y368">
        <v>22779.596477</v>
      </c>
      <c r="Z368" s="2">
        <v>45124</v>
      </c>
      <c r="AA368" t="s">
        <v>1022</v>
      </c>
    </row>
    <row r="369" spans="1:27">
      <c r="A369" s="1" t="s">
        <v>394</v>
      </c>
      <c r="B369">
        <f>HYPERLINK("https://www.suredividend.com/sure-analysis-BNS/","Bank Of Nova Scotia")</f>
        <v>0</v>
      </c>
      <c r="C369" t="s">
        <v>898</v>
      </c>
      <c r="D369">
        <v>48</v>
      </c>
      <c r="E369">
        <v>47.83</v>
      </c>
      <c r="F369">
        <v>57</v>
      </c>
      <c r="G369">
        <v>0.8391228070175438</v>
      </c>
      <c r="H369">
        <v>0.06711269077984529</v>
      </c>
      <c r="I369">
        <v>0.03570219093843341</v>
      </c>
      <c r="J369">
        <v>0.048</v>
      </c>
      <c r="K369">
        <v>0.1351561877393368</v>
      </c>
      <c r="L369" t="s">
        <v>580</v>
      </c>
      <c r="M369" t="s">
        <v>901</v>
      </c>
      <c r="N369">
        <v>8.990601503759398</v>
      </c>
      <c r="O369">
        <v>5.32</v>
      </c>
      <c r="P369">
        <v>3.21</v>
      </c>
      <c r="Q369">
        <v>0.6033834586466165</v>
      </c>
      <c r="R369">
        <v>11</v>
      </c>
      <c r="S369">
        <v>0.04024190531587957</v>
      </c>
      <c r="T369" t="s">
        <v>944</v>
      </c>
      <c r="U369">
        <v>-0.11160455976615</v>
      </c>
      <c r="V369" t="s">
        <v>1004</v>
      </c>
      <c r="W369" t="s">
        <v>1009</v>
      </c>
      <c r="X369" t="s">
        <v>1015</v>
      </c>
      <c r="Y369">
        <v>57000.759091</v>
      </c>
      <c r="Z369" s="2">
        <v>45169</v>
      </c>
      <c r="AA369" t="s">
        <v>1036</v>
      </c>
    </row>
    <row r="370" spans="1:27">
      <c r="A370" s="1" t="s">
        <v>395</v>
      </c>
      <c r="B370">
        <f>HYPERLINK("https://www.suredividend.com/sure-analysis-RGCO/","RGC Resources, Inc.")</f>
        <v>0</v>
      </c>
      <c r="C370" t="s">
        <v>899</v>
      </c>
      <c r="D370">
        <v>24</v>
      </c>
      <c r="E370">
        <v>17.94</v>
      </c>
      <c r="F370">
        <v>18</v>
      </c>
      <c r="G370">
        <v>0.9966666666666667</v>
      </c>
      <c r="H370">
        <v>0.04403567447045708</v>
      </c>
      <c r="I370">
        <v>0.0006680032679751147</v>
      </c>
      <c r="J370">
        <v>0.1</v>
      </c>
      <c r="K370">
        <v>0.1345052886233054</v>
      </c>
      <c r="L370" t="s">
        <v>580</v>
      </c>
      <c r="M370" t="s">
        <v>902</v>
      </c>
      <c r="N370">
        <v>19.93333333333333</v>
      </c>
      <c r="O370">
        <v>0.9</v>
      </c>
      <c r="P370">
        <v>0.79</v>
      </c>
      <c r="Q370">
        <v>0.8777777777777778</v>
      </c>
      <c r="R370">
        <v>18</v>
      </c>
      <c r="S370">
        <v>0.06056124915010019</v>
      </c>
      <c r="T370" t="s">
        <v>939</v>
      </c>
      <c r="U370">
        <v>-0.122400495631515</v>
      </c>
      <c r="V370" t="s">
        <v>1004</v>
      </c>
      <c r="W370" t="s">
        <v>1008</v>
      </c>
      <c r="X370" t="s">
        <v>1018</v>
      </c>
      <c r="Y370">
        <v>179.921534</v>
      </c>
      <c r="Z370" s="2">
        <v>45065</v>
      </c>
      <c r="AA370" t="s">
        <v>1024</v>
      </c>
    </row>
    <row r="371" spans="1:27">
      <c r="A371" s="1" t="s">
        <v>396</v>
      </c>
      <c r="B371">
        <f>HYPERLINK("https://www.suredividend.com/sure-analysis-IBOC/","International Bancshares Corp.")</f>
        <v>0</v>
      </c>
      <c r="C371" t="s">
        <v>898</v>
      </c>
      <c r="D371">
        <v>45</v>
      </c>
      <c r="E371">
        <v>43.73</v>
      </c>
      <c r="F371">
        <v>50</v>
      </c>
      <c r="G371">
        <v>0.8745999999999999</v>
      </c>
      <c r="H371">
        <v>0.02881317173565058</v>
      </c>
      <c r="I371">
        <v>0.02716001603939677</v>
      </c>
      <c r="J371">
        <v>0.08</v>
      </c>
      <c r="K371">
        <v>0.1337904328043942</v>
      </c>
      <c r="L371" t="s">
        <v>580</v>
      </c>
      <c r="M371" t="s">
        <v>825</v>
      </c>
      <c r="N371">
        <v>9.717777777777776</v>
      </c>
      <c r="O371">
        <v>4.5</v>
      </c>
      <c r="P371">
        <v>1.26</v>
      </c>
      <c r="Q371">
        <v>0.28</v>
      </c>
      <c r="R371">
        <v>13</v>
      </c>
      <c r="S371">
        <v>0.100082101138866</v>
      </c>
      <c r="T371" t="s">
        <v>915</v>
      </c>
      <c r="U371">
        <v>0.084016142839672</v>
      </c>
      <c r="V371" t="s">
        <v>1004</v>
      </c>
      <c r="W371" t="s">
        <v>1008</v>
      </c>
      <c r="X371" t="s">
        <v>1015</v>
      </c>
      <c r="Y371">
        <v>2750.007868</v>
      </c>
      <c r="Z371" s="2">
        <v>45169</v>
      </c>
      <c r="AA371" t="s">
        <v>1024</v>
      </c>
    </row>
    <row r="372" spans="1:27">
      <c r="A372" s="1" t="s">
        <v>397</v>
      </c>
      <c r="B372">
        <f>HYPERLINK("https://www.suredividend.com/sure-analysis-CCI/","Crown Castle Inc")</f>
        <v>0</v>
      </c>
      <c r="C372" t="s">
        <v>898</v>
      </c>
      <c r="D372">
        <v>108</v>
      </c>
      <c r="E372">
        <v>95.875</v>
      </c>
      <c r="F372">
        <v>146</v>
      </c>
      <c r="G372">
        <v>0.6566780821917808</v>
      </c>
      <c r="H372">
        <v>0.06529335071707953</v>
      </c>
      <c r="I372">
        <v>0.08775101137468133</v>
      </c>
      <c r="J372">
        <v>0</v>
      </c>
      <c r="K372">
        <v>0.1332828390323881</v>
      </c>
      <c r="L372" t="s">
        <v>580</v>
      </c>
      <c r="M372" t="s">
        <v>902</v>
      </c>
      <c r="N372">
        <v>12.4512987012987</v>
      </c>
      <c r="O372">
        <v>7.7</v>
      </c>
      <c r="P372">
        <v>6.26</v>
      </c>
      <c r="Q372">
        <v>0.8129870129870129</v>
      </c>
      <c r="R372">
        <v>8</v>
      </c>
      <c r="S372">
        <v>0.01995436952276886</v>
      </c>
      <c r="T372" t="s">
        <v>912</v>
      </c>
      <c r="U372">
        <v>-0.4204248324439011</v>
      </c>
      <c r="V372" t="s">
        <v>1005</v>
      </c>
      <c r="W372" t="s">
        <v>1008</v>
      </c>
      <c r="X372" t="s">
        <v>1019</v>
      </c>
      <c r="Y372">
        <v>42478.813385</v>
      </c>
      <c r="Z372" s="2">
        <v>45129</v>
      </c>
      <c r="AA372" t="s">
        <v>1030</v>
      </c>
    </row>
    <row r="373" spans="1:27">
      <c r="A373" s="1" t="s">
        <v>398</v>
      </c>
      <c r="B373">
        <f>HYPERLINK("https://www.suredividend.com/sure-analysis-HOMB/","Home Bancshares Inc")</f>
        <v>0</v>
      </c>
      <c r="C373" t="s">
        <v>898</v>
      </c>
      <c r="D373">
        <v>24</v>
      </c>
      <c r="E373">
        <v>21.76</v>
      </c>
      <c r="F373">
        <v>22</v>
      </c>
      <c r="G373">
        <v>0.9890909090909091</v>
      </c>
      <c r="H373">
        <v>0.03308823529411764</v>
      </c>
      <c r="I373">
        <v>0.002196214427784504</v>
      </c>
      <c r="J373">
        <v>0.1</v>
      </c>
      <c r="K373">
        <v>0.1294773236135345</v>
      </c>
      <c r="L373" t="s">
        <v>580</v>
      </c>
      <c r="M373" t="s">
        <v>825</v>
      </c>
      <c r="N373">
        <v>10.88</v>
      </c>
      <c r="O373">
        <v>2</v>
      </c>
      <c r="P373">
        <v>0.72</v>
      </c>
      <c r="Q373">
        <v>0.36</v>
      </c>
      <c r="R373">
        <v>12</v>
      </c>
      <c r="S373">
        <v>0.0804251218424088</v>
      </c>
      <c r="T373" t="s">
        <v>923</v>
      </c>
      <c r="U373">
        <v>-0.04744632709812201</v>
      </c>
      <c r="V373" t="s">
        <v>1004</v>
      </c>
      <c r="W373" t="s">
        <v>1008</v>
      </c>
      <c r="X373" t="s">
        <v>1015</v>
      </c>
      <c r="Y373">
        <v>4468.945794</v>
      </c>
      <c r="Z373" s="2">
        <v>45131</v>
      </c>
      <c r="AA373" t="s">
        <v>1024</v>
      </c>
    </row>
    <row r="374" spans="1:27">
      <c r="A374" s="1" t="s">
        <v>399</v>
      </c>
      <c r="B374">
        <f>HYPERLINK("https://www.suredividend.com/sure-analysis-ALE/","Allete, Inc.")</f>
        <v>0</v>
      </c>
      <c r="C374" t="s">
        <v>898</v>
      </c>
      <c r="D374">
        <v>57</v>
      </c>
      <c r="E374">
        <v>55.69</v>
      </c>
      <c r="F374">
        <v>65</v>
      </c>
      <c r="G374">
        <v>0.8567692307692307</v>
      </c>
      <c r="H374">
        <v>0.04866223738552702</v>
      </c>
      <c r="I374">
        <v>0.03140023910339473</v>
      </c>
      <c r="J374">
        <v>0.06</v>
      </c>
      <c r="K374">
        <v>0.1282193646981511</v>
      </c>
      <c r="L374" t="s">
        <v>580</v>
      </c>
      <c r="M374" t="s">
        <v>902</v>
      </c>
      <c r="N374">
        <v>15.05135135135135</v>
      </c>
      <c r="O374">
        <v>3.7</v>
      </c>
      <c r="P374">
        <v>2.71</v>
      </c>
      <c r="Q374">
        <v>0.7324324324324324</v>
      </c>
      <c r="R374">
        <v>12</v>
      </c>
      <c r="S374">
        <v>0.02989291725384313</v>
      </c>
      <c r="T374" t="s">
        <v>917</v>
      </c>
      <c r="U374">
        <v>-0.05046106513497901</v>
      </c>
      <c r="V374" t="s">
        <v>1004</v>
      </c>
      <c r="W374" t="s">
        <v>1008</v>
      </c>
      <c r="X374" t="s">
        <v>1018</v>
      </c>
      <c r="Y374">
        <v>3181.579898</v>
      </c>
      <c r="Z374" s="2">
        <v>45149</v>
      </c>
      <c r="AA374" t="s">
        <v>1026</v>
      </c>
    </row>
    <row r="375" spans="1:27">
      <c r="A375" s="1" t="s">
        <v>400</v>
      </c>
      <c r="B375">
        <f>HYPERLINK("https://www.suredividend.com/sure-analysis-AMT/","American Tower Corp.")</f>
        <v>0</v>
      </c>
      <c r="C375" t="s">
        <v>898</v>
      </c>
      <c r="D375">
        <v>178</v>
      </c>
      <c r="E375">
        <v>176.95</v>
      </c>
      <c r="F375">
        <v>213</v>
      </c>
      <c r="G375">
        <v>0.8307511737089202</v>
      </c>
      <c r="H375">
        <v>0.03549025148346991</v>
      </c>
      <c r="I375">
        <v>0.03778121996686523</v>
      </c>
      <c r="J375">
        <v>0.06</v>
      </c>
      <c r="K375">
        <v>0.1275890413609557</v>
      </c>
      <c r="L375" t="s">
        <v>580</v>
      </c>
      <c r="M375" t="s">
        <v>902</v>
      </c>
      <c r="N375">
        <v>18.24226804123711</v>
      </c>
      <c r="O375">
        <v>9.699999999999999</v>
      </c>
      <c r="P375">
        <v>6.28</v>
      </c>
      <c r="Q375">
        <v>0.6474226804123712</v>
      </c>
      <c r="R375">
        <v>11</v>
      </c>
      <c r="S375">
        <v>0.05989764810863263</v>
      </c>
      <c r="T375" t="s">
        <v>904</v>
      </c>
      <c r="U375">
        <v>-0.3084214804234141</v>
      </c>
      <c r="V375" t="s">
        <v>1005</v>
      </c>
      <c r="W375" t="s">
        <v>1008</v>
      </c>
      <c r="X375" t="s">
        <v>1019</v>
      </c>
      <c r="Y375">
        <v>83530.407808</v>
      </c>
      <c r="Z375" s="2">
        <v>45156</v>
      </c>
      <c r="AA375" t="s">
        <v>1022</v>
      </c>
    </row>
    <row r="376" spans="1:27">
      <c r="A376" s="1" t="s">
        <v>401</v>
      </c>
      <c r="B376">
        <f>HYPERLINK("https://www.suredividend.com/sure-analysis-SNY/","Sanofi")</f>
        <v>0</v>
      </c>
      <c r="C376" t="s">
        <v>898</v>
      </c>
      <c r="D376">
        <v>53</v>
      </c>
      <c r="E376">
        <v>54.28</v>
      </c>
      <c r="F376">
        <v>72</v>
      </c>
      <c r="G376">
        <v>0.7538888888888889</v>
      </c>
      <c r="H376">
        <v>0.03500368459837878</v>
      </c>
      <c r="I376">
        <v>0.05812879116773706</v>
      </c>
      <c r="J376">
        <v>0.04</v>
      </c>
      <c r="K376">
        <v>0.1261080736771467</v>
      </c>
      <c r="L376" t="s">
        <v>580</v>
      </c>
      <c r="M376" t="s">
        <v>580</v>
      </c>
      <c r="N376">
        <v>12.11607142857143</v>
      </c>
      <c r="O376">
        <v>4.48</v>
      </c>
      <c r="P376">
        <v>1.9</v>
      </c>
      <c r="Q376">
        <v>0.4241071428571428</v>
      </c>
      <c r="R376">
        <v>27</v>
      </c>
      <c r="S376">
        <v>0.03985234558237916</v>
      </c>
      <c r="T376" t="s">
        <v>946</v>
      </c>
      <c r="U376">
        <v>0.317907929621595</v>
      </c>
      <c r="V376" t="s">
        <v>1004</v>
      </c>
      <c r="W376" t="s">
        <v>1009</v>
      </c>
      <c r="X376" t="s">
        <v>1014</v>
      </c>
      <c r="Y376">
        <v>138287.733755</v>
      </c>
      <c r="Z376" s="2">
        <v>45137</v>
      </c>
      <c r="AA376" t="s">
        <v>1021</v>
      </c>
    </row>
    <row r="377" spans="1:27">
      <c r="A377" s="1" t="s">
        <v>402</v>
      </c>
      <c r="B377">
        <f>HYPERLINK("https://www.suredividend.com/sure-analysis-HOG/","Harley-Davidson, Inc.")</f>
        <v>0</v>
      </c>
      <c r="C377" t="s">
        <v>899</v>
      </c>
      <c r="D377">
        <v>38.3</v>
      </c>
      <c r="E377">
        <v>33.65</v>
      </c>
      <c r="F377">
        <v>47.1</v>
      </c>
      <c r="G377">
        <v>0.7144373673036093</v>
      </c>
      <c r="H377">
        <v>0.01961367013372957</v>
      </c>
      <c r="I377">
        <v>0.0695649628103836</v>
      </c>
      <c r="J377">
        <v>0.033</v>
      </c>
      <c r="K377">
        <v>0.1256017795488387</v>
      </c>
      <c r="L377" t="s">
        <v>580</v>
      </c>
      <c r="M377" t="s">
        <v>825</v>
      </c>
      <c r="N377">
        <v>7.144373673036093</v>
      </c>
      <c r="O377">
        <v>4.71</v>
      </c>
      <c r="P377">
        <v>0.66</v>
      </c>
      <c r="Q377">
        <v>0.1401273885350318</v>
      </c>
      <c r="R377">
        <v>3</v>
      </c>
      <c r="S377">
        <v>0.168863268921301</v>
      </c>
      <c r="T377" t="s">
        <v>975</v>
      </c>
      <c r="U377">
        <v>-0.202823818585851</v>
      </c>
      <c r="V377" t="s">
        <v>1004</v>
      </c>
      <c r="W377" t="s">
        <v>1008</v>
      </c>
      <c r="X377" t="s">
        <v>1013</v>
      </c>
      <c r="Y377">
        <v>4742.256225</v>
      </c>
      <c r="Z377" s="2">
        <v>45146</v>
      </c>
      <c r="AA377" t="s">
        <v>1033</v>
      </c>
    </row>
    <row r="378" spans="1:27">
      <c r="A378" s="1" t="s">
        <v>403</v>
      </c>
      <c r="B378">
        <f>HYPERLINK("https://www.suredividend.com/sure-analysis-ILPT/","Industrial Logistics Properties Trust")</f>
        <v>0</v>
      </c>
      <c r="C378" t="s">
        <v>898</v>
      </c>
      <c r="D378">
        <v>3.76</v>
      </c>
      <c r="E378">
        <v>3.63</v>
      </c>
      <c r="F378">
        <v>3.91</v>
      </c>
      <c r="G378">
        <v>0.928388746803069</v>
      </c>
      <c r="H378">
        <v>0.01101928374655647</v>
      </c>
      <c r="I378">
        <v>0.01497191802858633</v>
      </c>
      <c r="J378">
        <v>0.08</v>
      </c>
      <c r="K378">
        <v>0.1245729869628232</v>
      </c>
      <c r="L378" t="s">
        <v>580</v>
      </c>
      <c r="M378" t="s">
        <v>642</v>
      </c>
      <c r="N378">
        <v>7.891304347826086</v>
      </c>
      <c r="O378">
        <v>0.46</v>
      </c>
      <c r="P378">
        <v>0.04</v>
      </c>
      <c r="Q378">
        <v>0.08695652173913043</v>
      </c>
      <c r="R378">
        <v>0</v>
      </c>
      <c r="S378">
        <v>0.4962778697388448</v>
      </c>
      <c r="T378" t="s">
        <v>973</v>
      </c>
      <c r="U378">
        <v>-0.492070502822597</v>
      </c>
      <c r="V378" t="s">
        <v>1005</v>
      </c>
      <c r="W378" t="s">
        <v>1008</v>
      </c>
      <c r="X378" t="s">
        <v>1019</v>
      </c>
      <c r="Y378">
        <v>241.764747</v>
      </c>
      <c r="Z378" s="2">
        <v>45133</v>
      </c>
      <c r="AA378" t="s">
        <v>1032</v>
      </c>
    </row>
    <row r="379" spans="1:27">
      <c r="A379" s="1" t="s">
        <v>404</v>
      </c>
      <c r="B379">
        <f>HYPERLINK("https://www.suredividend.com/sure-analysis-DFS/","Discover Financial Services")</f>
        <v>0</v>
      </c>
      <c r="C379" t="s">
        <v>899</v>
      </c>
      <c r="D379">
        <v>103</v>
      </c>
      <c r="E379">
        <v>88.67</v>
      </c>
      <c r="F379">
        <v>117</v>
      </c>
      <c r="G379">
        <v>0.7578632478632479</v>
      </c>
      <c r="H379">
        <v>0.03157776023457765</v>
      </c>
      <c r="I379">
        <v>0.05701665569569725</v>
      </c>
      <c r="J379">
        <v>0.04</v>
      </c>
      <c r="K379">
        <v>0.124014444891029</v>
      </c>
      <c r="L379" t="s">
        <v>580</v>
      </c>
      <c r="M379" t="s">
        <v>580</v>
      </c>
      <c r="N379">
        <v>6.820769230769231</v>
      </c>
      <c r="O379">
        <v>13</v>
      </c>
      <c r="P379">
        <v>2.8</v>
      </c>
      <c r="Q379">
        <v>0.2153846153846154</v>
      </c>
      <c r="R379">
        <v>11</v>
      </c>
      <c r="S379">
        <v>0.06016789231717445</v>
      </c>
      <c r="T379" t="s">
        <v>959</v>
      </c>
      <c r="U379">
        <v>-0.114379558997979</v>
      </c>
      <c r="V379" t="s">
        <v>1004</v>
      </c>
      <c r="W379" t="s">
        <v>1008</v>
      </c>
      <c r="X379" t="s">
        <v>1015</v>
      </c>
      <c r="Y379">
        <v>22280.364363</v>
      </c>
      <c r="Z379" s="2">
        <v>45141</v>
      </c>
      <c r="AA379" t="s">
        <v>1028</v>
      </c>
    </row>
    <row r="380" spans="1:27">
      <c r="A380" s="1" t="s">
        <v>405</v>
      </c>
      <c r="B380">
        <f>HYPERLINK("https://www.suredividend.com/sure-analysis-TRN/","Trinity Industries, Inc.")</f>
        <v>0</v>
      </c>
      <c r="C380" t="s">
        <v>898</v>
      </c>
      <c r="D380">
        <v>26</v>
      </c>
      <c r="E380">
        <v>23.58</v>
      </c>
      <c r="F380">
        <v>24</v>
      </c>
      <c r="G380">
        <v>0.9824999999999999</v>
      </c>
      <c r="H380">
        <v>0.04410517387616625</v>
      </c>
      <c r="I380">
        <v>0.003537228326305764</v>
      </c>
      <c r="J380">
        <v>0.08</v>
      </c>
      <c r="K380">
        <v>0.1236361777311108</v>
      </c>
      <c r="L380" t="s">
        <v>580</v>
      </c>
      <c r="M380" t="s">
        <v>902</v>
      </c>
      <c r="N380">
        <v>14.7375</v>
      </c>
      <c r="O380">
        <v>1.6</v>
      </c>
      <c r="P380">
        <v>1.04</v>
      </c>
      <c r="Q380">
        <v>0.65</v>
      </c>
      <c r="R380">
        <v>13</v>
      </c>
      <c r="S380">
        <v>0.09935163429189564</v>
      </c>
      <c r="T380" t="s">
        <v>908</v>
      </c>
      <c r="U380">
        <v>-0.004689964480108001</v>
      </c>
      <c r="V380" t="s">
        <v>1004</v>
      </c>
      <c r="W380" t="s">
        <v>1008</v>
      </c>
      <c r="X380" t="s">
        <v>1012</v>
      </c>
      <c r="Y380">
        <v>1947.295978</v>
      </c>
      <c r="Z380" s="2">
        <v>45147</v>
      </c>
      <c r="AA380" t="s">
        <v>1024</v>
      </c>
    </row>
    <row r="381" spans="1:27">
      <c r="A381" s="1" t="s">
        <v>406</v>
      </c>
      <c r="B381">
        <f>HYPERLINK("https://www.suredividend.com/sure-analysis-GROW/","U.S. Global Investors, Inc.")</f>
        <v>0</v>
      </c>
      <c r="C381" t="s">
        <v>898</v>
      </c>
      <c r="D381">
        <v>2.8</v>
      </c>
      <c r="E381">
        <v>2.97</v>
      </c>
      <c r="F381">
        <v>4.5</v>
      </c>
      <c r="G381">
        <v>0.6599999999999999</v>
      </c>
      <c r="H381">
        <v>0.0303030303030303</v>
      </c>
      <c r="I381">
        <v>0.08665382460480164</v>
      </c>
      <c r="J381">
        <v>0.014</v>
      </c>
      <c r="K381">
        <v>0.1229530556365326</v>
      </c>
      <c r="L381" t="s">
        <v>580</v>
      </c>
      <c r="M381" t="s">
        <v>825</v>
      </c>
      <c r="N381">
        <v>8.027027027027026</v>
      </c>
      <c r="O381">
        <v>0.37</v>
      </c>
      <c r="P381">
        <v>0.09</v>
      </c>
      <c r="Q381">
        <v>0.2432432432432432</v>
      </c>
      <c r="R381">
        <v>0</v>
      </c>
      <c r="S381">
        <v>0.02129568760013512</v>
      </c>
      <c r="T381" t="s">
        <v>962</v>
      </c>
      <c r="U381">
        <v>-0.135329619312906</v>
      </c>
      <c r="V381" t="s">
        <v>1004</v>
      </c>
      <c r="W381" t="s">
        <v>1008</v>
      </c>
      <c r="X381" t="s">
        <v>1015</v>
      </c>
      <c r="Y381">
        <v>41.323657</v>
      </c>
      <c r="Z381" s="2">
        <v>45091</v>
      </c>
      <c r="AA381" t="s">
        <v>1033</v>
      </c>
    </row>
    <row r="382" spans="1:27">
      <c r="A382" s="1" t="s">
        <v>407</v>
      </c>
      <c r="B382">
        <f>HYPERLINK("https://www.suredividend.com/sure-analysis-POR/","Portland General Electric Co")</f>
        <v>0</v>
      </c>
      <c r="C382" t="s">
        <v>898</v>
      </c>
      <c r="D382">
        <v>48</v>
      </c>
      <c r="E382">
        <v>43.72</v>
      </c>
      <c r="F382">
        <v>51</v>
      </c>
      <c r="G382">
        <v>0.8572549019607842</v>
      </c>
      <c r="H382">
        <v>0.0434583714547118</v>
      </c>
      <c r="I382">
        <v>0.03128334623108375</v>
      </c>
      <c r="J382">
        <v>0.055</v>
      </c>
      <c r="K382">
        <v>0.1227517075737412</v>
      </c>
      <c r="L382" t="s">
        <v>580</v>
      </c>
      <c r="M382" t="s">
        <v>902</v>
      </c>
      <c r="N382">
        <v>16.31343283582089</v>
      </c>
      <c r="O382">
        <v>2.68</v>
      </c>
      <c r="P382">
        <v>1.9</v>
      </c>
      <c r="Q382">
        <v>0.708955223880597</v>
      </c>
      <c r="R382">
        <v>16</v>
      </c>
      <c r="S382">
        <v>0.059780741378197</v>
      </c>
      <c r="T382" t="s">
        <v>909</v>
      </c>
      <c r="U382">
        <v>-0.143290905462669</v>
      </c>
      <c r="V382" t="s">
        <v>1004</v>
      </c>
      <c r="W382" t="s">
        <v>1008</v>
      </c>
      <c r="X382" t="s">
        <v>1018</v>
      </c>
      <c r="Y382">
        <v>4426.928768</v>
      </c>
      <c r="Z382" s="2">
        <v>45141</v>
      </c>
      <c r="AA382" t="s">
        <v>1026</v>
      </c>
    </row>
    <row r="383" spans="1:27">
      <c r="A383" s="1" t="s">
        <v>408</v>
      </c>
      <c r="B383">
        <f>HYPERLINK("https://www.suredividend.com/sure-analysis-SYBT/","Stock Yards Bancorp Inc")</f>
        <v>0</v>
      </c>
      <c r="C383" t="s">
        <v>899</v>
      </c>
      <c r="D383">
        <v>48</v>
      </c>
      <c r="E383">
        <v>42.4</v>
      </c>
      <c r="F383">
        <v>56</v>
      </c>
      <c r="G383">
        <v>0.7571428571428571</v>
      </c>
      <c r="H383">
        <v>0.02830188679245283</v>
      </c>
      <c r="I383">
        <v>0.05721772088359112</v>
      </c>
      <c r="J383">
        <v>0.04</v>
      </c>
      <c r="K383">
        <v>0.1200771351097059</v>
      </c>
      <c r="L383" t="s">
        <v>580</v>
      </c>
      <c r="M383" t="s">
        <v>825</v>
      </c>
      <c r="N383">
        <v>11.45945945945946</v>
      </c>
      <c r="O383">
        <v>3.7</v>
      </c>
      <c r="P383">
        <v>1.2</v>
      </c>
      <c r="Q383">
        <v>0.3243243243243243</v>
      </c>
      <c r="R383">
        <v>15</v>
      </c>
      <c r="S383">
        <v>0.03277941543624618</v>
      </c>
      <c r="T383" t="s">
        <v>951</v>
      </c>
      <c r="U383">
        <v>-0.370162133697805</v>
      </c>
      <c r="V383" t="s">
        <v>1004</v>
      </c>
      <c r="W383" t="s">
        <v>1008</v>
      </c>
      <c r="X383" t="s">
        <v>1015</v>
      </c>
      <c r="Y383">
        <v>1248.558905</v>
      </c>
      <c r="Z383" s="2">
        <v>45138</v>
      </c>
      <c r="AA383" t="s">
        <v>1023</v>
      </c>
    </row>
    <row r="384" spans="1:27">
      <c r="A384" s="1" t="s">
        <v>409</v>
      </c>
      <c r="B384">
        <f>HYPERLINK("https://www.suredividend.com/sure-analysis-M/","Macy`s Inc")</f>
        <v>0</v>
      </c>
      <c r="C384" t="s">
        <v>898</v>
      </c>
      <c r="D384">
        <v>11</v>
      </c>
      <c r="E384">
        <v>11.1946</v>
      </c>
      <c r="F384">
        <v>18</v>
      </c>
      <c r="G384">
        <v>0.6219222222222222</v>
      </c>
      <c r="H384">
        <v>0.05895699712361318</v>
      </c>
      <c r="I384">
        <v>0.09964571180060999</v>
      </c>
      <c r="J384">
        <v>-0.02</v>
      </c>
      <c r="K384">
        <v>0.1192192405724977</v>
      </c>
      <c r="L384" t="s">
        <v>580</v>
      </c>
      <c r="M384" t="s">
        <v>902</v>
      </c>
      <c r="N384">
        <v>3.794779661016949</v>
      </c>
      <c r="O384">
        <v>2.95</v>
      </c>
      <c r="P384">
        <v>0.66</v>
      </c>
      <c r="Q384">
        <v>0.223728813559322</v>
      </c>
      <c r="R384">
        <v>3</v>
      </c>
      <c r="S384">
        <v>0.008929989071996269</v>
      </c>
      <c r="T384" t="s">
        <v>912</v>
      </c>
      <c r="U384">
        <v>-0.347154531233234</v>
      </c>
      <c r="V384" t="s">
        <v>1004</v>
      </c>
      <c r="W384" t="s">
        <v>1008</v>
      </c>
      <c r="X384" t="s">
        <v>1013</v>
      </c>
      <c r="Y384">
        <v>3163.211479</v>
      </c>
      <c r="Z384" s="2">
        <v>45180</v>
      </c>
      <c r="AA384" t="s">
        <v>1028</v>
      </c>
    </row>
    <row r="385" spans="1:27">
      <c r="A385" s="1" t="s">
        <v>410</v>
      </c>
      <c r="B385">
        <f>HYPERLINK("https://www.suredividend.com/sure-analysis-SR/","Spire Inc.")</f>
        <v>0</v>
      </c>
      <c r="C385" t="s">
        <v>899</v>
      </c>
      <c r="D385">
        <v>60</v>
      </c>
      <c r="E385">
        <v>60.37</v>
      </c>
      <c r="F385">
        <v>68</v>
      </c>
      <c r="G385">
        <v>0.8877941176470587</v>
      </c>
      <c r="H385">
        <v>0.04770581414609906</v>
      </c>
      <c r="I385">
        <v>0.02408863703275976</v>
      </c>
      <c r="J385">
        <v>0.055</v>
      </c>
      <c r="K385">
        <v>0.1183155719297264</v>
      </c>
      <c r="L385" t="s">
        <v>580</v>
      </c>
      <c r="M385" t="s">
        <v>902</v>
      </c>
      <c r="N385">
        <v>14.30568720379147</v>
      </c>
      <c r="O385">
        <v>4.22</v>
      </c>
      <c r="P385">
        <v>2.88</v>
      </c>
      <c r="Q385">
        <v>0.6824644549763034</v>
      </c>
      <c r="R385">
        <v>20</v>
      </c>
      <c r="S385">
        <v>0.05024607263868264</v>
      </c>
      <c r="T385" t="s">
        <v>962</v>
      </c>
      <c r="U385">
        <v>-0.128834033919649</v>
      </c>
      <c r="V385" t="s">
        <v>1004</v>
      </c>
      <c r="W385" t="s">
        <v>1008</v>
      </c>
      <c r="X385" t="s">
        <v>1018</v>
      </c>
      <c r="Y385">
        <v>3144.089558</v>
      </c>
      <c r="Z385" s="2">
        <v>45155</v>
      </c>
      <c r="AA385" t="s">
        <v>1027</v>
      </c>
    </row>
    <row r="386" spans="1:27">
      <c r="A386" s="1" t="s">
        <v>411</v>
      </c>
      <c r="B386">
        <f>HYPERLINK("https://www.suredividend.com/sure-analysis-BTI/","British American Tobacco Plc")</f>
        <v>0</v>
      </c>
      <c r="C386" t="s">
        <v>898</v>
      </c>
      <c r="D386">
        <v>33</v>
      </c>
      <c r="E386">
        <v>33.49</v>
      </c>
      <c r="F386">
        <v>38</v>
      </c>
      <c r="G386">
        <v>0.8813157894736843</v>
      </c>
      <c r="H386">
        <v>0.0800238877276799</v>
      </c>
      <c r="I386">
        <v>0.0255897926640154</v>
      </c>
      <c r="J386">
        <v>0.03</v>
      </c>
      <c r="K386">
        <v>0.117959879486963</v>
      </c>
      <c r="L386" t="s">
        <v>580</v>
      </c>
      <c r="M386" t="s">
        <v>901</v>
      </c>
      <c r="N386">
        <v>7.880000000000001</v>
      </c>
      <c r="O386">
        <v>4.25</v>
      </c>
      <c r="P386">
        <v>2.68</v>
      </c>
      <c r="Q386">
        <v>0.6305882352941177</v>
      </c>
      <c r="R386">
        <v>0</v>
      </c>
      <c r="S386">
        <v>0.02485297676488085</v>
      </c>
      <c r="T386" t="s">
        <v>908</v>
      </c>
      <c r="U386">
        <v>-0.116137290349823</v>
      </c>
      <c r="V386" t="s">
        <v>1004</v>
      </c>
      <c r="W386" t="s">
        <v>1009</v>
      </c>
      <c r="X386" t="s">
        <v>1011</v>
      </c>
      <c r="Y386">
        <v>74896.21810699999</v>
      </c>
      <c r="Z386" s="2">
        <v>45099</v>
      </c>
      <c r="AA386" t="s">
        <v>1028</v>
      </c>
    </row>
    <row r="387" spans="1:27">
      <c r="A387" s="1" t="s">
        <v>412</v>
      </c>
      <c r="B387">
        <f>HYPERLINK("https://www.suredividend.com/sure-analysis-GEL/","Genesis Energy L.P.")</f>
        <v>0</v>
      </c>
      <c r="C387" t="s">
        <v>899</v>
      </c>
      <c r="D387">
        <v>9.4</v>
      </c>
      <c r="E387">
        <v>10.9</v>
      </c>
      <c r="F387">
        <v>12.5</v>
      </c>
      <c r="G387">
        <v>0.872</v>
      </c>
      <c r="H387">
        <v>0.05504587155963302</v>
      </c>
      <c r="I387">
        <v>0.02777181342233748</v>
      </c>
      <c r="J387">
        <v>0.05</v>
      </c>
      <c r="K387">
        <v>0.1169987158652779</v>
      </c>
      <c r="L387" t="s">
        <v>580</v>
      </c>
      <c r="M387" t="s">
        <v>902</v>
      </c>
      <c r="N387">
        <v>4.36</v>
      </c>
      <c r="O387">
        <v>2.5</v>
      </c>
      <c r="P387">
        <v>0.6</v>
      </c>
      <c r="Q387">
        <v>0.24</v>
      </c>
      <c r="R387">
        <v>0</v>
      </c>
      <c r="S387">
        <v>0</v>
      </c>
      <c r="T387" t="s">
        <v>918</v>
      </c>
      <c r="U387">
        <v>-0.07368457199763001</v>
      </c>
      <c r="V387" t="s">
        <v>1006</v>
      </c>
      <c r="W387" t="s">
        <v>1008</v>
      </c>
      <c r="X387" t="s">
        <v>1020</v>
      </c>
      <c r="Y387">
        <v>1322.198195</v>
      </c>
      <c r="Z387" s="2">
        <v>45166</v>
      </c>
      <c r="AA387" t="s">
        <v>1022</v>
      </c>
    </row>
    <row r="388" spans="1:27">
      <c r="A388" s="1" t="s">
        <v>413</v>
      </c>
      <c r="B388">
        <f>HYPERLINK("https://www.suredividend.com/sure-analysis-PSA/","Public Storage.")</f>
        <v>0</v>
      </c>
      <c r="C388" t="s">
        <v>898</v>
      </c>
      <c r="D388">
        <v>287</v>
      </c>
      <c r="E388">
        <v>271.99</v>
      </c>
      <c r="F388">
        <v>332</v>
      </c>
      <c r="G388">
        <v>0.8192469879518073</v>
      </c>
      <c r="H388">
        <v>0.0441192690907754</v>
      </c>
      <c r="I388">
        <v>0.04067957119578347</v>
      </c>
      <c r="J388">
        <v>0.04</v>
      </c>
      <c r="K388">
        <v>0.1163242171673922</v>
      </c>
      <c r="L388" t="s">
        <v>580</v>
      </c>
      <c r="M388" t="s">
        <v>902</v>
      </c>
      <c r="N388">
        <v>16.38493975903614</v>
      </c>
      <c r="O388">
        <v>16.6</v>
      </c>
      <c r="P388">
        <v>12</v>
      </c>
      <c r="Q388">
        <v>0.7228915662650601</v>
      </c>
      <c r="R388">
        <v>1</v>
      </c>
      <c r="S388">
        <v>0.04000235313991807</v>
      </c>
      <c r="T388" t="s">
        <v>976</v>
      </c>
      <c r="U388">
        <v>0.011373451010798</v>
      </c>
      <c r="V388" t="s">
        <v>1005</v>
      </c>
      <c r="W388" t="s">
        <v>1008</v>
      </c>
      <c r="X388" t="s">
        <v>1019</v>
      </c>
      <c r="Y388">
        <v>0</v>
      </c>
      <c r="Z388" s="2">
        <v>45143</v>
      </c>
      <c r="AA388" t="s">
        <v>1021</v>
      </c>
    </row>
    <row r="389" spans="1:27">
      <c r="A389" s="1" t="s">
        <v>414</v>
      </c>
      <c r="B389">
        <f>HYPERLINK("https://www.suredividend.com/sure-analysis-NWE/","Northwestern Corp.")</f>
        <v>0</v>
      </c>
      <c r="C389" t="s">
        <v>899</v>
      </c>
      <c r="D389">
        <v>56</v>
      </c>
      <c r="E389">
        <v>50.49</v>
      </c>
      <c r="F389">
        <v>59</v>
      </c>
      <c r="G389">
        <v>0.8557627118644068</v>
      </c>
      <c r="H389">
        <v>0.05070310952663894</v>
      </c>
      <c r="I389">
        <v>0.03164274459393712</v>
      </c>
      <c r="J389">
        <v>0.045</v>
      </c>
      <c r="K389">
        <v>0.1152863695731474</v>
      </c>
      <c r="L389" t="s">
        <v>580</v>
      </c>
      <c r="M389" t="s">
        <v>902</v>
      </c>
      <c r="N389">
        <v>14.63478260869565</v>
      </c>
      <c r="O389">
        <v>3.45</v>
      </c>
      <c r="P389">
        <v>2.56</v>
      </c>
      <c r="Q389">
        <v>0.7420289855072464</v>
      </c>
      <c r="R389">
        <v>18</v>
      </c>
      <c r="S389">
        <v>0.02025632080394812</v>
      </c>
      <c r="T389" t="s">
        <v>912</v>
      </c>
      <c r="U389">
        <v>-0.025877270406371</v>
      </c>
      <c r="V389" t="s">
        <v>1004</v>
      </c>
      <c r="W389" t="s">
        <v>1008</v>
      </c>
      <c r="X389" t="s">
        <v>1018</v>
      </c>
      <c r="Y389">
        <v>3081.345638</v>
      </c>
      <c r="Z389" s="2">
        <v>45141</v>
      </c>
      <c r="AA389" t="s">
        <v>1034</v>
      </c>
    </row>
    <row r="390" spans="1:27">
      <c r="A390" s="1" t="s">
        <v>415</v>
      </c>
      <c r="B390">
        <f>HYPERLINK("https://www.suredividend.com/sure-analysis-WOR/","Worthington Industries, Inc.")</f>
        <v>0</v>
      </c>
      <c r="C390" t="s">
        <v>898</v>
      </c>
      <c r="D390">
        <v>69</v>
      </c>
      <c r="E390">
        <v>69.41</v>
      </c>
      <c r="F390">
        <v>68</v>
      </c>
      <c r="G390">
        <v>1.020735294117647</v>
      </c>
      <c r="H390">
        <v>0.01844114680881717</v>
      </c>
      <c r="I390">
        <v>-0.004096236278180787</v>
      </c>
      <c r="J390">
        <v>0.1</v>
      </c>
      <c r="K390">
        <v>0.1131578193513409</v>
      </c>
      <c r="L390" t="s">
        <v>580</v>
      </c>
      <c r="M390" t="s">
        <v>825</v>
      </c>
      <c r="N390">
        <v>12.17719298245614</v>
      </c>
      <c r="O390">
        <v>5.7</v>
      </c>
      <c r="P390">
        <v>1.28</v>
      </c>
      <c r="Q390">
        <v>0.2245614035087719</v>
      </c>
      <c r="R390">
        <v>12</v>
      </c>
      <c r="S390">
        <v>0.1204170107889244</v>
      </c>
      <c r="T390" t="s">
        <v>912</v>
      </c>
      <c r="U390">
        <v>0.373367597466492</v>
      </c>
      <c r="V390" t="s">
        <v>1004</v>
      </c>
      <c r="W390" t="s">
        <v>1008</v>
      </c>
      <c r="X390" t="s">
        <v>1010</v>
      </c>
      <c r="Y390">
        <v>3591.940422</v>
      </c>
      <c r="Z390" s="2">
        <v>45110</v>
      </c>
      <c r="AA390" t="s">
        <v>1024</v>
      </c>
    </row>
    <row r="391" spans="1:27">
      <c r="A391" s="1" t="s">
        <v>416</v>
      </c>
      <c r="B391">
        <f>HYPERLINK("https://www.suredividend.com/sure-analysis-MCHP/","Microchip Technology, Inc.")</f>
        <v>0</v>
      </c>
      <c r="C391" t="s">
        <v>898</v>
      </c>
      <c r="D391">
        <v>83</v>
      </c>
      <c r="E391">
        <v>78.67</v>
      </c>
      <c r="F391">
        <v>82</v>
      </c>
      <c r="G391">
        <v>0.9593902439024391</v>
      </c>
      <c r="H391">
        <v>0.02084657429769925</v>
      </c>
      <c r="I391">
        <v>0.008325941238437107</v>
      </c>
      <c r="J391">
        <v>0.08</v>
      </c>
      <c r="K391">
        <v>0.1129343445017623</v>
      </c>
      <c r="L391" t="s">
        <v>580</v>
      </c>
      <c r="M391" t="s">
        <v>825</v>
      </c>
      <c r="N391">
        <v>12.2921875</v>
      </c>
      <c r="O391">
        <v>6.4</v>
      </c>
      <c r="P391">
        <v>1.64</v>
      </c>
      <c r="Q391">
        <v>0.25625</v>
      </c>
      <c r="R391">
        <v>22</v>
      </c>
      <c r="S391">
        <v>0.1798790339597252</v>
      </c>
      <c r="T391" t="s">
        <v>949</v>
      </c>
      <c r="U391">
        <v>0.196417312556962</v>
      </c>
      <c r="V391" t="s">
        <v>1004</v>
      </c>
      <c r="W391" t="s">
        <v>1008</v>
      </c>
      <c r="X391" t="s">
        <v>1016</v>
      </c>
      <c r="Y391">
        <v>42659.477994</v>
      </c>
      <c r="Z391" s="2">
        <v>45143</v>
      </c>
      <c r="AA391" t="s">
        <v>1032</v>
      </c>
    </row>
    <row r="392" spans="1:27">
      <c r="A392" s="1" t="s">
        <v>417</v>
      </c>
      <c r="B392">
        <f>HYPERLINK("https://www.suredividend.com/sure-analysis-GIS/","General Mills, Inc.")</f>
        <v>0</v>
      </c>
      <c r="C392" t="s">
        <v>899</v>
      </c>
      <c r="D392">
        <v>77</v>
      </c>
      <c r="E392">
        <v>65.26000000000001</v>
      </c>
      <c r="F392">
        <v>77</v>
      </c>
      <c r="G392">
        <v>0.8475324675324676</v>
      </c>
      <c r="H392">
        <v>0.03616304014710389</v>
      </c>
      <c r="I392">
        <v>0.03363862851558563</v>
      </c>
      <c r="J392">
        <v>0.05</v>
      </c>
      <c r="K392">
        <v>0.1125755922495584</v>
      </c>
      <c r="L392" t="s">
        <v>580</v>
      </c>
      <c r="M392" t="s">
        <v>902</v>
      </c>
      <c r="N392">
        <v>14.50222222222222</v>
      </c>
      <c r="O392">
        <v>4.5</v>
      </c>
      <c r="P392">
        <v>2.36</v>
      </c>
      <c r="Q392">
        <v>0.5244444444444444</v>
      </c>
      <c r="R392">
        <v>4</v>
      </c>
      <c r="S392">
        <v>0.03180924735278889</v>
      </c>
      <c r="T392" t="s">
        <v>921</v>
      </c>
      <c r="U392">
        <v>-0.116231304763228</v>
      </c>
      <c r="V392" t="s">
        <v>1004</v>
      </c>
      <c r="W392" t="s">
        <v>1008</v>
      </c>
      <c r="X392" t="s">
        <v>1011</v>
      </c>
      <c r="Y392">
        <v>38061.5357</v>
      </c>
      <c r="Z392" s="2">
        <v>45106</v>
      </c>
      <c r="AA392" t="s">
        <v>1022</v>
      </c>
    </row>
    <row r="393" spans="1:27">
      <c r="A393" s="1" t="s">
        <v>418</v>
      </c>
      <c r="B393">
        <f>HYPERLINK("https://www.suredividend.com/sure-analysis-TS/","Tenaris S.A.")</f>
        <v>0</v>
      </c>
      <c r="C393" t="s">
        <v>898</v>
      </c>
      <c r="D393">
        <v>34</v>
      </c>
      <c r="E393">
        <v>32.24</v>
      </c>
      <c r="F393">
        <v>78</v>
      </c>
      <c r="G393">
        <v>0.4133333333333334</v>
      </c>
      <c r="H393">
        <v>0.02109181141439206</v>
      </c>
      <c r="I393">
        <v>0.1932732744565011</v>
      </c>
      <c r="J393">
        <v>-0.08</v>
      </c>
      <c r="K393">
        <v>0.1119630418627033</v>
      </c>
      <c r="L393" t="s">
        <v>580</v>
      </c>
      <c r="M393" t="s">
        <v>825</v>
      </c>
      <c r="N393">
        <v>5.373333333333334</v>
      </c>
      <c r="O393">
        <v>6</v>
      </c>
      <c r="P393">
        <v>0.68</v>
      </c>
      <c r="Q393">
        <v>0.1133333333333333</v>
      </c>
      <c r="R393">
        <v>2</v>
      </c>
      <c r="S393">
        <v>0</v>
      </c>
      <c r="T393" t="s">
        <v>977</v>
      </c>
      <c r="U393">
        <v>0.168983311532435</v>
      </c>
      <c r="V393" t="s">
        <v>1004</v>
      </c>
      <c r="W393" t="s">
        <v>1009</v>
      </c>
      <c r="X393" t="s">
        <v>1020</v>
      </c>
      <c r="Y393">
        <v>19201.43154</v>
      </c>
      <c r="Z393" s="2">
        <v>45149</v>
      </c>
      <c r="AA393" t="s">
        <v>1030</v>
      </c>
    </row>
    <row r="394" spans="1:27">
      <c r="A394" s="1" t="s">
        <v>419</v>
      </c>
      <c r="B394">
        <f>HYPERLINK("https://www.suredividend.com/sure-analysis-TRSWF/","TransAlta Renewables Inc")</f>
        <v>0</v>
      </c>
      <c r="C394" t="s">
        <v>899</v>
      </c>
      <c r="D394">
        <v>10</v>
      </c>
      <c r="E394">
        <v>9.5122</v>
      </c>
      <c r="F394">
        <v>11.3</v>
      </c>
      <c r="G394">
        <v>0.8417876106194689</v>
      </c>
      <c r="H394">
        <v>0.07358970585143289</v>
      </c>
      <c r="I394">
        <v>0.03504562523222066</v>
      </c>
      <c r="J394">
        <v>0.02</v>
      </c>
      <c r="K394">
        <v>0.1109210871112756</v>
      </c>
      <c r="L394" t="s">
        <v>580</v>
      </c>
      <c r="M394" t="s">
        <v>902</v>
      </c>
      <c r="N394">
        <v>9.706326530612245</v>
      </c>
      <c r="O394">
        <v>0.98</v>
      </c>
      <c r="P394">
        <v>0.7</v>
      </c>
      <c r="Q394">
        <v>0.7142857142857143</v>
      </c>
      <c r="R394">
        <v>0</v>
      </c>
      <c r="S394">
        <v>0.0111759598354646</v>
      </c>
      <c r="T394" t="s">
        <v>917</v>
      </c>
      <c r="U394">
        <v>-0.2092235644896</v>
      </c>
      <c r="V394" t="s">
        <v>1004</v>
      </c>
      <c r="W394" t="s">
        <v>1009</v>
      </c>
      <c r="X394" t="s">
        <v>1018</v>
      </c>
      <c r="Y394">
        <v>2604.590112</v>
      </c>
      <c r="Z394" s="2">
        <v>45148</v>
      </c>
      <c r="AA394" t="s">
        <v>1026</v>
      </c>
    </row>
    <row r="395" spans="1:27">
      <c r="A395" s="1" t="s">
        <v>420</v>
      </c>
      <c r="B395">
        <f>HYPERLINK("https://www.suredividend.com/sure-analysis-CPB/","Campbell Soup Co.")</f>
        <v>0</v>
      </c>
      <c r="C395" t="s">
        <v>899</v>
      </c>
      <c r="D395">
        <v>46</v>
      </c>
      <c r="E395">
        <v>42.72</v>
      </c>
      <c r="F395">
        <v>50</v>
      </c>
      <c r="G395">
        <v>0.8543999999999999</v>
      </c>
      <c r="H395">
        <v>0.03464419475655431</v>
      </c>
      <c r="I395">
        <v>0.03197161532929882</v>
      </c>
      <c r="J395">
        <v>0.05</v>
      </c>
      <c r="K395">
        <v>0.1089884814415851</v>
      </c>
      <c r="L395" t="s">
        <v>580</v>
      </c>
      <c r="M395" t="s">
        <v>902</v>
      </c>
      <c r="N395">
        <v>14.19269102990033</v>
      </c>
      <c r="O395">
        <v>3.01</v>
      </c>
      <c r="P395">
        <v>1.48</v>
      </c>
      <c r="Q395">
        <v>0.4916943521594685</v>
      </c>
      <c r="R395">
        <v>0</v>
      </c>
      <c r="S395">
        <v>0.01949518223787505</v>
      </c>
      <c r="T395" t="s">
        <v>919</v>
      </c>
      <c r="U395">
        <v>-0.103537426996618</v>
      </c>
      <c r="V395" t="s">
        <v>1004</v>
      </c>
      <c r="W395" t="s">
        <v>1008</v>
      </c>
      <c r="X395" t="s">
        <v>1011</v>
      </c>
      <c r="Y395">
        <v>12692.752889</v>
      </c>
      <c r="Z395" s="2">
        <v>45092</v>
      </c>
      <c r="AA395" t="s">
        <v>1026</v>
      </c>
    </row>
    <row r="396" spans="1:27">
      <c r="A396" s="1" t="s">
        <v>421</v>
      </c>
      <c r="B396">
        <f>HYPERLINK("https://www.suredividend.com/sure-analysis-WPC/","W. P. Carey Inc")</f>
        <v>0</v>
      </c>
      <c r="C396" t="s">
        <v>898</v>
      </c>
      <c r="D396">
        <v>64</v>
      </c>
      <c r="E396">
        <v>63.17</v>
      </c>
      <c r="F396">
        <v>70</v>
      </c>
      <c r="G396">
        <v>0.9024285714285715</v>
      </c>
      <c r="H396">
        <v>0.06775368054456229</v>
      </c>
      <c r="I396">
        <v>0.02074540276691605</v>
      </c>
      <c r="J396">
        <v>0.035</v>
      </c>
      <c r="K396">
        <v>0.1087980356281961</v>
      </c>
      <c r="L396" t="s">
        <v>580</v>
      </c>
      <c r="M396" t="s">
        <v>901</v>
      </c>
      <c r="N396">
        <v>11.80747663551402</v>
      </c>
      <c r="O396">
        <v>5.35</v>
      </c>
      <c r="P396">
        <v>4.28</v>
      </c>
      <c r="Q396">
        <v>0.8</v>
      </c>
      <c r="R396">
        <v>28</v>
      </c>
      <c r="S396">
        <v>0.02019566627646463</v>
      </c>
      <c r="T396" t="s">
        <v>911</v>
      </c>
      <c r="U396">
        <v>-0.229092403709946</v>
      </c>
      <c r="V396" t="s">
        <v>1005</v>
      </c>
      <c r="W396" t="s">
        <v>1008</v>
      </c>
      <c r="X396" t="s">
        <v>1019</v>
      </c>
      <c r="Y396">
        <v>13481.604987</v>
      </c>
      <c r="Z396" s="2">
        <v>45180</v>
      </c>
      <c r="AA396" t="s">
        <v>1028</v>
      </c>
    </row>
    <row r="397" spans="1:27">
      <c r="A397" s="1" t="s">
        <v>422</v>
      </c>
      <c r="B397">
        <f>HYPERLINK("https://www.suredividend.com/sure-analysis-O/","Realty Income Corp.")</f>
        <v>0</v>
      </c>
      <c r="C397" t="s">
        <v>898</v>
      </c>
      <c r="D397">
        <v>57</v>
      </c>
      <c r="E397">
        <v>55.06</v>
      </c>
      <c r="F397">
        <v>62</v>
      </c>
      <c r="G397">
        <v>0.8880645161290323</v>
      </c>
      <c r="H397">
        <v>0.05575735561205956</v>
      </c>
      <c r="I397">
        <v>0.02402626639645233</v>
      </c>
      <c r="J397">
        <v>0.04</v>
      </c>
      <c r="K397">
        <v>0.1085279103183925</v>
      </c>
      <c r="L397" t="s">
        <v>580</v>
      </c>
      <c r="M397" t="s">
        <v>901</v>
      </c>
      <c r="N397">
        <v>14.11794871794872</v>
      </c>
      <c r="O397">
        <v>3.9</v>
      </c>
      <c r="P397">
        <v>3.07</v>
      </c>
      <c r="Q397">
        <v>0.7871794871794872</v>
      </c>
      <c r="R397">
        <v>26</v>
      </c>
      <c r="S397">
        <v>0.02889955007209632</v>
      </c>
      <c r="T397" t="s">
        <v>916</v>
      </c>
      <c r="U397">
        <v>-0.143002769118885</v>
      </c>
      <c r="V397" t="s">
        <v>1005</v>
      </c>
      <c r="W397" t="s">
        <v>1008</v>
      </c>
      <c r="X397" t="s">
        <v>1019</v>
      </c>
      <c r="Y397">
        <v>39089.634375</v>
      </c>
      <c r="Z397" s="2">
        <v>45164</v>
      </c>
      <c r="AA397" t="s">
        <v>1033</v>
      </c>
    </row>
    <row r="398" spans="1:27">
      <c r="A398" s="1" t="s">
        <v>423</v>
      </c>
      <c r="B398">
        <f>HYPERLINK("https://www.suredividend.com/sure-analysis-CUBE/","CubeSmart")</f>
        <v>0</v>
      </c>
      <c r="C398" t="s">
        <v>898</v>
      </c>
      <c r="D398">
        <v>41</v>
      </c>
      <c r="E398">
        <v>40.13</v>
      </c>
      <c r="F398">
        <v>41</v>
      </c>
      <c r="G398">
        <v>0.9787804878048781</v>
      </c>
      <c r="H398">
        <v>0.04884126588587091</v>
      </c>
      <c r="I398">
        <v>0.004298789887461352</v>
      </c>
      <c r="J398">
        <v>0.06</v>
      </c>
      <c r="K398">
        <v>0.1077223314372537</v>
      </c>
      <c r="L398" t="s">
        <v>580</v>
      </c>
      <c r="M398" t="s">
        <v>902</v>
      </c>
      <c r="N398">
        <v>15.08646616541353</v>
      </c>
      <c r="O398">
        <v>2.66</v>
      </c>
      <c r="P398">
        <v>1.96</v>
      </c>
      <c r="Q398">
        <v>0.7368421052631579</v>
      </c>
      <c r="R398">
        <v>13</v>
      </c>
      <c r="S398">
        <v>0.07007772678130575</v>
      </c>
      <c r="T398" t="s">
        <v>938</v>
      </c>
      <c r="U398">
        <v>-0.095173740445778</v>
      </c>
      <c r="V398" t="s">
        <v>1005</v>
      </c>
      <c r="W398" t="s">
        <v>1008</v>
      </c>
      <c r="X398" t="s">
        <v>1019</v>
      </c>
      <c r="Y398">
        <v>9136.220529</v>
      </c>
      <c r="Z398" s="2">
        <v>45143</v>
      </c>
      <c r="AA398" t="s">
        <v>1032</v>
      </c>
    </row>
    <row r="399" spans="1:27">
      <c r="A399" s="1" t="s">
        <v>424</v>
      </c>
      <c r="B399">
        <f>HYPERLINK("https://www.suredividend.com/sure-analysis-BMRC/","Bank of Marin Bancorp")</f>
        <v>0</v>
      </c>
      <c r="C399" t="s">
        <v>899</v>
      </c>
      <c r="D399">
        <v>21</v>
      </c>
      <c r="E399">
        <v>18.81</v>
      </c>
      <c r="F399">
        <v>21</v>
      </c>
      <c r="G399">
        <v>0.8957142857142857</v>
      </c>
      <c r="H399">
        <v>0.05316321105794791</v>
      </c>
      <c r="I399">
        <v>0.02227113893732691</v>
      </c>
      <c r="J399">
        <v>0.04</v>
      </c>
      <c r="K399">
        <v>0.107651768366348</v>
      </c>
      <c r="L399" t="s">
        <v>580</v>
      </c>
      <c r="M399" t="s">
        <v>901</v>
      </c>
      <c r="N399">
        <v>12.375</v>
      </c>
      <c r="O399">
        <v>1.52</v>
      </c>
      <c r="P399">
        <v>1</v>
      </c>
      <c r="Q399">
        <v>0.6578947368421053</v>
      </c>
      <c r="R399">
        <v>17</v>
      </c>
      <c r="S399">
        <v>0.05061112176150684</v>
      </c>
      <c r="T399" t="s">
        <v>955</v>
      </c>
      <c r="U399">
        <v>-0.339338923631178</v>
      </c>
      <c r="V399" t="s">
        <v>1004</v>
      </c>
      <c r="W399" t="s">
        <v>1008</v>
      </c>
      <c r="X399" t="s">
        <v>1015</v>
      </c>
      <c r="Y399">
        <v>307.732556</v>
      </c>
      <c r="Z399" s="2">
        <v>45138</v>
      </c>
      <c r="AA399" t="s">
        <v>1023</v>
      </c>
    </row>
    <row r="400" spans="1:27">
      <c r="A400" s="1" t="s">
        <v>425</v>
      </c>
      <c r="B400">
        <f>HYPERLINK("https://www.suredividend.com/sure-analysis-UPS/","United Parcel Service, Inc.")</f>
        <v>0</v>
      </c>
      <c r="C400" t="s">
        <v>899</v>
      </c>
      <c r="D400">
        <v>180</v>
      </c>
      <c r="E400">
        <v>157.84</v>
      </c>
      <c r="F400">
        <v>145</v>
      </c>
      <c r="G400">
        <v>1.088551724137931</v>
      </c>
      <c r="H400">
        <v>0.04105423213380639</v>
      </c>
      <c r="I400">
        <v>-0.01682645080008105</v>
      </c>
      <c r="J400">
        <v>0.09</v>
      </c>
      <c r="K400">
        <v>0.1055629160062033</v>
      </c>
      <c r="L400" t="s">
        <v>580</v>
      </c>
      <c r="M400" t="s">
        <v>902</v>
      </c>
      <c r="N400">
        <v>16.32264736297828</v>
      </c>
      <c r="O400">
        <v>9.67</v>
      </c>
      <c r="P400">
        <v>6.48</v>
      </c>
      <c r="Q400">
        <v>0.6701137538779731</v>
      </c>
      <c r="R400">
        <v>14</v>
      </c>
      <c r="S400">
        <v>0.04999226737156715</v>
      </c>
      <c r="T400" t="s">
        <v>947</v>
      </c>
      <c r="U400">
        <v>-0.181383841415274</v>
      </c>
      <c r="V400" t="s">
        <v>1004</v>
      </c>
      <c r="W400" t="s">
        <v>1008</v>
      </c>
      <c r="X400" t="s">
        <v>1012</v>
      </c>
      <c r="Y400">
        <v>135420.235998</v>
      </c>
      <c r="Z400" s="2">
        <v>45148</v>
      </c>
      <c r="AA400" t="s">
        <v>1026</v>
      </c>
    </row>
    <row r="401" spans="1:27">
      <c r="A401" s="1" t="s">
        <v>426</v>
      </c>
      <c r="B401">
        <f>HYPERLINK("https://www.suredividend.com/sure-analysis-RGA/","Reinsurance Group Of America, Inc.")</f>
        <v>0</v>
      </c>
      <c r="C401" t="s">
        <v>898</v>
      </c>
      <c r="D401">
        <v>141</v>
      </c>
      <c r="E401">
        <v>142.96</v>
      </c>
      <c r="F401">
        <v>207</v>
      </c>
      <c r="G401">
        <v>0.6906280193236716</v>
      </c>
      <c r="H401">
        <v>0.02238388360380526</v>
      </c>
      <c r="I401">
        <v>0.07683995494708662</v>
      </c>
      <c r="J401">
        <v>0.01</v>
      </c>
      <c r="K401">
        <v>0.1055574393734739</v>
      </c>
      <c r="L401" t="s">
        <v>580</v>
      </c>
      <c r="M401" t="s">
        <v>825</v>
      </c>
      <c r="N401">
        <v>7.942222222222223</v>
      </c>
      <c r="O401">
        <v>18</v>
      </c>
      <c r="P401">
        <v>3.2</v>
      </c>
      <c r="Q401">
        <v>0.1777777777777778</v>
      </c>
      <c r="R401">
        <v>14</v>
      </c>
      <c r="S401">
        <v>0.04978904632428516</v>
      </c>
      <c r="T401" t="s">
        <v>917</v>
      </c>
      <c r="U401">
        <v>0.121585803343833</v>
      </c>
      <c r="V401" t="s">
        <v>1004</v>
      </c>
      <c r="W401" t="s">
        <v>1008</v>
      </c>
      <c r="X401" t="s">
        <v>1015</v>
      </c>
      <c r="Y401">
        <v>9511.987044</v>
      </c>
      <c r="Z401" s="2">
        <v>45155</v>
      </c>
      <c r="AA401" t="s">
        <v>1026</v>
      </c>
    </row>
    <row r="402" spans="1:27">
      <c r="A402" s="1" t="s">
        <v>427</v>
      </c>
      <c r="B402">
        <f>HYPERLINK("https://www.suredividend.com/sure-analysis-SAN/","Banco Santander S.A.")</f>
        <v>0</v>
      </c>
      <c r="C402" t="s">
        <v>899</v>
      </c>
      <c r="D402">
        <v>3.88</v>
      </c>
      <c r="E402">
        <v>3.65</v>
      </c>
      <c r="F402">
        <v>4.88</v>
      </c>
      <c r="G402">
        <v>0.7479508196721312</v>
      </c>
      <c r="H402">
        <v>0.03287671232876712</v>
      </c>
      <c r="I402">
        <v>0.05980360266651075</v>
      </c>
      <c r="J402">
        <v>0.02</v>
      </c>
      <c r="K402">
        <v>0.105162159563752</v>
      </c>
      <c r="L402" t="s">
        <v>580</v>
      </c>
      <c r="M402" t="s">
        <v>580</v>
      </c>
      <c r="N402">
        <v>4.866666666666666</v>
      </c>
      <c r="O402">
        <v>0.75</v>
      </c>
      <c r="P402">
        <v>0.12</v>
      </c>
      <c r="Q402">
        <v>0.16</v>
      </c>
      <c r="R402">
        <v>2</v>
      </c>
      <c r="S402">
        <v>0.01613736474159566</v>
      </c>
      <c r="T402" t="s">
        <v>978</v>
      </c>
      <c r="U402">
        <v>0.445394037257296</v>
      </c>
      <c r="V402" t="s">
        <v>1004</v>
      </c>
      <c r="W402" t="s">
        <v>1009</v>
      </c>
      <c r="X402" t="s">
        <v>1015</v>
      </c>
      <c r="Y402">
        <v>59395.816037</v>
      </c>
      <c r="Z402" s="2">
        <v>45143</v>
      </c>
      <c r="AA402" t="s">
        <v>1030</v>
      </c>
    </row>
    <row r="403" spans="1:27">
      <c r="A403" s="1" t="s">
        <v>428</v>
      </c>
      <c r="B403">
        <f>HYPERLINK("https://www.suredividend.com/sure-analysis-SKM/","SK Telecom Co Ltd")</f>
        <v>0</v>
      </c>
      <c r="C403" t="s">
        <v>898</v>
      </c>
      <c r="D403">
        <v>20</v>
      </c>
      <c r="E403">
        <v>20.63</v>
      </c>
      <c r="F403">
        <v>21</v>
      </c>
      <c r="G403">
        <v>0.9823809523809524</v>
      </c>
      <c r="H403">
        <v>0.06737760542898691</v>
      </c>
      <c r="I403">
        <v>0.00356154942633724</v>
      </c>
      <c r="J403">
        <v>0.05</v>
      </c>
      <c r="K403">
        <v>0.1048289982757955</v>
      </c>
      <c r="L403" t="s">
        <v>580</v>
      </c>
      <c r="M403" t="s">
        <v>902</v>
      </c>
      <c r="N403">
        <v>10.21287128712871</v>
      </c>
      <c r="O403">
        <v>2.02</v>
      </c>
      <c r="P403">
        <v>1.39</v>
      </c>
      <c r="Q403">
        <v>0.6881188118811881</v>
      </c>
      <c r="R403">
        <v>0</v>
      </c>
      <c r="S403">
        <v>0.009874976669659308</v>
      </c>
      <c r="T403" t="s">
        <v>911</v>
      </c>
      <c r="U403">
        <v>0.03628266154569</v>
      </c>
      <c r="V403" t="s">
        <v>1004</v>
      </c>
      <c r="W403" t="s">
        <v>1009</v>
      </c>
      <c r="X403" t="s">
        <v>1017</v>
      </c>
      <c r="Y403">
        <v>7992.224081</v>
      </c>
      <c r="Z403" s="2">
        <v>45098</v>
      </c>
      <c r="AA403" t="s">
        <v>1026</v>
      </c>
    </row>
    <row r="404" spans="1:27">
      <c r="A404" s="1" t="s">
        <v>429</v>
      </c>
      <c r="B404">
        <f>HYPERLINK("https://www.suredividend.com/sure-analysis-SBUX/","Starbucks Corp.")</f>
        <v>0</v>
      </c>
      <c r="C404" t="s">
        <v>898</v>
      </c>
      <c r="D404">
        <v>100</v>
      </c>
      <c r="E404">
        <v>96.93000000000001</v>
      </c>
      <c r="F404">
        <v>79</v>
      </c>
      <c r="G404">
        <v>1.226962025316456</v>
      </c>
      <c r="H404">
        <v>0.02187145362632828</v>
      </c>
      <c r="I404">
        <v>-0.04008279516921553</v>
      </c>
      <c r="J404">
        <v>0.13</v>
      </c>
      <c r="K404">
        <v>0.1040450756888687</v>
      </c>
      <c r="L404" t="s">
        <v>580</v>
      </c>
      <c r="M404" t="s">
        <v>825</v>
      </c>
      <c r="N404">
        <v>28.25947521865889</v>
      </c>
      <c r="O404">
        <v>3.43</v>
      </c>
      <c r="P404">
        <v>2.12</v>
      </c>
      <c r="Q404">
        <v>0.6180758017492711</v>
      </c>
      <c r="R404">
        <v>12</v>
      </c>
      <c r="S404">
        <v>0.08034818492488416</v>
      </c>
      <c r="T404" t="s">
        <v>915</v>
      </c>
      <c r="U404">
        <v>0.115779515289796</v>
      </c>
      <c r="V404" t="s">
        <v>1004</v>
      </c>
      <c r="W404" t="s">
        <v>1008</v>
      </c>
      <c r="X404" t="s">
        <v>1013</v>
      </c>
      <c r="Y404">
        <v>110233.296</v>
      </c>
      <c r="Z404" s="2">
        <v>45155</v>
      </c>
      <c r="AA404" t="s">
        <v>1022</v>
      </c>
    </row>
    <row r="405" spans="1:27">
      <c r="A405" s="1" t="s">
        <v>430</v>
      </c>
      <c r="B405">
        <f>HYPERLINK("https://www.suredividend.com/sure-analysis-BC/","Brunswick Corp.")</f>
        <v>0</v>
      </c>
      <c r="C405" t="s">
        <v>899</v>
      </c>
      <c r="D405">
        <v>86</v>
      </c>
      <c r="E405">
        <v>76.52</v>
      </c>
      <c r="F405">
        <v>95</v>
      </c>
      <c r="G405">
        <v>0.8054736842105262</v>
      </c>
      <c r="H405">
        <v>0.02090956612650288</v>
      </c>
      <c r="I405">
        <v>0.04421452221994904</v>
      </c>
      <c r="J405">
        <v>0.04</v>
      </c>
      <c r="K405">
        <v>0.1038641690387279</v>
      </c>
      <c r="L405" t="s">
        <v>580</v>
      </c>
      <c r="M405" t="s">
        <v>825</v>
      </c>
      <c r="N405">
        <v>8.054736842105262</v>
      </c>
      <c r="O405">
        <v>9.5</v>
      </c>
      <c r="P405">
        <v>1.6</v>
      </c>
      <c r="Q405">
        <v>0.1684210526315789</v>
      </c>
      <c r="R405">
        <v>11</v>
      </c>
      <c r="S405">
        <v>0.06961037572506878</v>
      </c>
      <c r="T405" t="s">
        <v>913</v>
      </c>
      <c r="U405">
        <v>0.033378378378378</v>
      </c>
      <c r="V405" t="s">
        <v>1004</v>
      </c>
      <c r="W405" t="s">
        <v>1008</v>
      </c>
      <c r="X405" t="s">
        <v>1013</v>
      </c>
      <c r="Y405">
        <v>5407.438022</v>
      </c>
      <c r="Z405" s="2">
        <v>45135</v>
      </c>
      <c r="AA405" t="s">
        <v>1032</v>
      </c>
    </row>
    <row r="406" spans="1:27">
      <c r="A406" s="1" t="s">
        <v>431</v>
      </c>
      <c r="B406">
        <f>HYPERLINK("https://www.suredividend.com/sure-analysis-IEX/","Idex Corporation")</f>
        <v>0</v>
      </c>
      <c r="C406" t="s">
        <v>899</v>
      </c>
      <c r="D406">
        <v>226</v>
      </c>
      <c r="E406">
        <v>215.22</v>
      </c>
      <c r="F406">
        <v>229</v>
      </c>
      <c r="G406">
        <v>0.9398253275109171</v>
      </c>
      <c r="H406">
        <v>0.01189480531549113</v>
      </c>
      <c r="I406">
        <v>0.01248960021822509</v>
      </c>
      <c r="J406">
        <v>0.08</v>
      </c>
      <c r="K406">
        <v>0.1035398620325843</v>
      </c>
      <c r="L406" t="s">
        <v>580</v>
      </c>
      <c r="M406" t="s">
        <v>642</v>
      </c>
      <c r="N406">
        <v>27.24303797468354</v>
      </c>
      <c r="O406">
        <v>7.9</v>
      </c>
      <c r="P406">
        <v>2.56</v>
      </c>
      <c r="Q406">
        <v>0.3240506329113924</v>
      </c>
      <c r="R406">
        <v>15</v>
      </c>
      <c r="S406">
        <v>0.06996826462151629</v>
      </c>
      <c r="T406" t="s">
        <v>908</v>
      </c>
      <c r="U406">
        <v>0.024748220464111</v>
      </c>
      <c r="V406" t="s">
        <v>1004</v>
      </c>
      <c r="W406" t="s">
        <v>1008</v>
      </c>
      <c r="X406" t="s">
        <v>1012</v>
      </c>
      <c r="Y406">
        <v>16171.195288</v>
      </c>
      <c r="Z406" s="2">
        <v>45140</v>
      </c>
      <c r="AA406" t="s">
        <v>1023</v>
      </c>
    </row>
    <row r="407" spans="1:27">
      <c r="A407" s="1" t="s">
        <v>432</v>
      </c>
      <c r="B407">
        <f>HYPERLINK("https://www.suredividend.com/sure-analysis-MA/","Mastercard Incorporated")</f>
        <v>0</v>
      </c>
      <c r="C407" t="s">
        <v>898</v>
      </c>
      <c r="D407">
        <v>397</v>
      </c>
      <c r="E407">
        <v>416.3</v>
      </c>
      <c r="F407">
        <v>327</v>
      </c>
      <c r="G407">
        <v>1.27308868501529</v>
      </c>
      <c r="H407">
        <v>0.005476819601249098</v>
      </c>
      <c r="I407">
        <v>-0.04714181617726076</v>
      </c>
      <c r="J407">
        <v>0.15</v>
      </c>
      <c r="K407">
        <v>0.1016186401292598</v>
      </c>
      <c r="L407" t="s">
        <v>580</v>
      </c>
      <c r="M407" t="s">
        <v>642</v>
      </c>
      <c r="N407">
        <v>34.37654830718414</v>
      </c>
      <c r="O407">
        <v>12.11</v>
      </c>
      <c r="P407">
        <v>2.28</v>
      </c>
      <c r="Q407">
        <v>0.1882741535920727</v>
      </c>
      <c r="R407">
        <v>12</v>
      </c>
      <c r="S407">
        <v>0.150205838342262</v>
      </c>
      <c r="T407" t="s">
        <v>907</v>
      </c>
      <c r="U407">
        <v>0.237746894482426</v>
      </c>
      <c r="V407" t="s">
        <v>1004</v>
      </c>
      <c r="W407" t="s">
        <v>1008</v>
      </c>
      <c r="X407" t="s">
        <v>1015</v>
      </c>
      <c r="Y407">
        <v>392147.195543</v>
      </c>
      <c r="Z407" s="2">
        <v>45135</v>
      </c>
      <c r="AA407" t="s">
        <v>1021</v>
      </c>
    </row>
    <row r="408" spans="1:27">
      <c r="A408" s="1" t="s">
        <v>433</v>
      </c>
      <c r="B408">
        <f>HYPERLINK("https://www.suredividend.com/sure-analysis-PAYX/","Paychex Inc.")</f>
        <v>0</v>
      </c>
      <c r="C408" t="s">
        <v>898</v>
      </c>
      <c r="D408">
        <v>112</v>
      </c>
      <c r="E408">
        <v>119.3</v>
      </c>
      <c r="F408">
        <v>117</v>
      </c>
      <c r="G408">
        <v>1.01965811965812</v>
      </c>
      <c r="H408">
        <v>0.02984073763621123</v>
      </c>
      <c r="I408">
        <v>-0.003885909099823448</v>
      </c>
      <c r="J408">
        <v>0.08</v>
      </c>
      <c r="K408">
        <v>0.1004831446752843</v>
      </c>
      <c r="L408" t="s">
        <v>580</v>
      </c>
      <c r="M408" t="s">
        <v>580</v>
      </c>
      <c r="N408">
        <v>25.49145299145299</v>
      </c>
      <c r="O408">
        <v>4.68</v>
      </c>
      <c r="P408">
        <v>3.56</v>
      </c>
      <c r="Q408">
        <v>0.7606837606837608</v>
      </c>
      <c r="R408">
        <v>12</v>
      </c>
      <c r="S408">
        <v>0.04983529865060143</v>
      </c>
      <c r="T408" t="s">
        <v>906</v>
      </c>
      <c r="U408">
        <v>-0.023544673075809</v>
      </c>
      <c r="V408" t="s">
        <v>1004</v>
      </c>
      <c r="W408" t="s">
        <v>1008</v>
      </c>
      <c r="X408" t="s">
        <v>1012</v>
      </c>
      <c r="Y408">
        <v>43233.942393</v>
      </c>
      <c r="Z408" s="2">
        <v>45110</v>
      </c>
      <c r="AA408" t="s">
        <v>1021</v>
      </c>
    </row>
    <row r="409" spans="1:27">
      <c r="A409" s="1" t="s">
        <v>434</v>
      </c>
      <c r="B409">
        <f>HYPERLINK("https://www.suredividend.com/sure-analysis-MPLX/","MPLX LP")</f>
        <v>0</v>
      </c>
      <c r="C409" t="s">
        <v>899</v>
      </c>
      <c r="D409">
        <v>35</v>
      </c>
      <c r="E409">
        <v>34.83</v>
      </c>
      <c r="F409">
        <v>36</v>
      </c>
      <c r="G409">
        <v>0.9674999999999999</v>
      </c>
      <c r="H409">
        <v>0.08900373241458513</v>
      </c>
      <c r="I409">
        <v>0.006629851624153416</v>
      </c>
      <c r="J409">
        <v>0.02</v>
      </c>
      <c r="K409">
        <v>0.1003929889434392</v>
      </c>
      <c r="L409" t="s">
        <v>580</v>
      </c>
      <c r="M409" t="s">
        <v>901</v>
      </c>
      <c r="N409">
        <v>6.829411764705882</v>
      </c>
      <c r="O409">
        <v>5.1</v>
      </c>
      <c r="P409">
        <v>3.1</v>
      </c>
      <c r="Q409">
        <v>0.607843137254902</v>
      </c>
      <c r="R409">
        <v>10</v>
      </c>
      <c r="S409">
        <v>0.01984197407544852</v>
      </c>
      <c r="T409" t="s">
        <v>955</v>
      </c>
      <c r="U409">
        <v>0.149774069065602</v>
      </c>
      <c r="V409" t="s">
        <v>1006</v>
      </c>
      <c r="W409" t="s">
        <v>1008</v>
      </c>
      <c r="X409" t="s">
        <v>1020</v>
      </c>
      <c r="Y409">
        <v>34902.419984</v>
      </c>
      <c r="Z409" s="2">
        <v>45160</v>
      </c>
      <c r="AA409" t="s">
        <v>1022</v>
      </c>
    </row>
    <row r="410" spans="1:27">
      <c r="A410" s="1" t="s">
        <v>435</v>
      </c>
      <c r="B410">
        <f>HYPERLINK("https://www.suredividend.com/sure-analysis-OSK/","Oshkosh Corp")</f>
        <v>0</v>
      </c>
      <c r="C410" t="s">
        <v>899</v>
      </c>
      <c r="D410">
        <v>102</v>
      </c>
      <c r="E410">
        <v>99.83</v>
      </c>
      <c r="F410">
        <v>112</v>
      </c>
      <c r="G410">
        <v>0.8913392857142857</v>
      </c>
      <c r="H410">
        <v>0.01642792747671041</v>
      </c>
      <c r="I410">
        <v>0.02327270616837707</v>
      </c>
      <c r="J410">
        <v>0.06</v>
      </c>
      <c r="K410">
        <v>0.09975388423345022</v>
      </c>
      <c r="L410" t="s">
        <v>580</v>
      </c>
      <c r="M410" t="s">
        <v>825</v>
      </c>
      <c r="N410">
        <v>12.47875</v>
      </c>
      <c r="O410">
        <v>8</v>
      </c>
      <c r="P410">
        <v>1.64</v>
      </c>
      <c r="Q410">
        <v>0.205</v>
      </c>
      <c r="R410">
        <v>10</v>
      </c>
      <c r="S410">
        <v>0.09057448971477933</v>
      </c>
      <c r="T410" t="s">
        <v>936</v>
      </c>
      <c r="U410">
        <v>0.244861371073742</v>
      </c>
      <c r="V410" t="s">
        <v>1004</v>
      </c>
      <c r="W410" t="s">
        <v>1008</v>
      </c>
      <c r="X410" t="s">
        <v>1012</v>
      </c>
      <c r="Y410">
        <v>6592.797542</v>
      </c>
      <c r="Z410" s="2">
        <v>45141</v>
      </c>
      <c r="AA410" t="s">
        <v>1026</v>
      </c>
    </row>
    <row r="411" spans="1:27">
      <c r="A411" s="1" t="s">
        <v>436</v>
      </c>
      <c r="B411">
        <f>HYPERLINK("https://www.suredividend.com/sure-analysis-OTEX/","Open Text Corp")</f>
        <v>0</v>
      </c>
      <c r="C411" t="s">
        <v>898</v>
      </c>
      <c r="D411">
        <v>37</v>
      </c>
      <c r="E411">
        <v>38.57</v>
      </c>
      <c r="F411">
        <v>46</v>
      </c>
      <c r="G411">
        <v>0.8384782608695652</v>
      </c>
      <c r="H411">
        <v>0.02592688618096967</v>
      </c>
      <c r="I411">
        <v>0.03586137280877622</v>
      </c>
      <c r="J411">
        <v>0.04</v>
      </c>
      <c r="K411">
        <v>0.09939341580916916</v>
      </c>
      <c r="L411" t="s">
        <v>580</v>
      </c>
      <c r="M411" t="s">
        <v>825</v>
      </c>
      <c r="N411">
        <v>9.249400479616307</v>
      </c>
      <c r="O411">
        <v>4.17</v>
      </c>
      <c r="P411">
        <v>1</v>
      </c>
      <c r="Q411">
        <v>0.2398081534772182</v>
      </c>
      <c r="R411">
        <v>10</v>
      </c>
      <c r="S411">
        <v>0.0602809527753625</v>
      </c>
      <c r="T411" t="s">
        <v>916</v>
      </c>
      <c r="U411">
        <v>0.28947792591423</v>
      </c>
      <c r="V411" t="s">
        <v>1004</v>
      </c>
      <c r="W411" t="s">
        <v>1009</v>
      </c>
      <c r="X411" t="s">
        <v>1016</v>
      </c>
      <c r="Y411">
        <v>10630.535104</v>
      </c>
      <c r="Z411" s="2">
        <v>45148</v>
      </c>
      <c r="AA411" t="s">
        <v>1036</v>
      </c>
    </row>
    <row r="412" spans="1:27">
      <c r="A412" s="1" t="s">
        <v>437</v>
      </c>
      <c r="B412">
        <f>HYPERLINK("https://www.suredividend.com/sure-analysis-WGO/","Winnebago Industries, Inc.")</f>
        <v>0</v>
      </c>
      <c r="C412" t="s">
        <v>899</v>
      </c>
      <c r="D412">
        <v>68</v>
      </c>
      <c r="E412">
        <v>61.92</v>
      </c>
      <c r="F412">
        <v>76</v>
      </c>
      <c r="G412">
        <v>0.8147368421052632</v>
      </c>
      <c r="H412">
        <v>0.02002583979328165</v>
      </c>
      <c r="I412">
        <v>0.04182920818090463</v>
      </c>
      <c r="J412">
        <v>0.04</v>
      </c>
      <c r="K412">
        <v>0.09857746679903445</v>
      </c>
      <c r="L412" t="s">
        <v>580</v>
      </c>
      <c r="M412" t="s">
        <v>825</v>
      </c>
      <c r="N412">
        <v>8.147368421052633</v>
      </c>
      <c r="O412">
        <v>7.6</v>
      </c>
      <c r="P412">
        <v>1.24</v>
      </c>
      <c r="Q412">
        <v>0.1631578947368421</v>
      </c>
      <c r="R412">
        <v>5</v>
      </c>
      <c r="S412">
        <v>0.02162492547887163</v>
      </c>
      <c r="T412" t="s">
        <v>976</v>
      </c>
      <c r="U412">
        <v>0.040129348773251</v>
      </c>
      <c r="V412" t="s">
        <v>1004</v>
      </c>
      <c r="W412" t="s">
        <v>1008</v>
      </c>
      <c r="X412" t="s">
        <v>1013</v>
      </c>
      <c r="Y412">
        <v>1871.546794</v>
      </c>
      <c r="Z412" s="2">
        <v>45123</v>
      </c>
      <c r="AA412" t="s">
        <v>1034</v>
      </c>
    </row>
    <row r="413" spans="1:27">
      <c r="A413" s="1" t="s">
        <v>438</v>
      </c>
      <c r="B413">
        <f>HYPERLINK("https://www.suredividend.com/sure-analysis-PM/","Philip Morris International Inc")</f>
        <v>0</v>
      </c>
      <c r="C413" t="s">
        <v>899</v>
      </c>
      <c r="D413">
        <v>100</v>
      </c>
      <c r="E413">
        <v>95.25</v>
      </c>
      <c r="F413">
        <v>107</v>
      </c>
      <c r="G413">
        <v>0.8901869158878505</v>
      </c>
      <c r="H413">
        <v>0.05459317585301837</v>
      </c>
      <c r="I413">
        <v>0.02353749965110086</v>
      </c>
      <c r="J413">
        <v>0.03</v>
      </c>
      <c r="K413">
        <v>0.09809585183997704</v>
      </c>
      <c r="L413" t="s">
        <v>580</v>
      </c>
      <c r="M413" t="s">
        <v>902</v>
      </c>
      <c r="N413">
        <v>14.65384615384615</v>
      </c>
      <c r="O413">
        <v>6.5</v>
      </c>
      <c r="P413">
        <v>5.2</v>
      </c>
      <c r="Q413">
        <v>0.8</v>
      </c>
      <c r="R413">
        <v>16</v>
      </c>
      <c r="S413">
        <v>0.02523255974893956</v>
      </c>
      <c r="T413" t="s">
        <v>934</v>
      </c>
      <c r="U413">
        <v>0.020000431974772</v>
      </c>
      <c r="V413" t="s">
        <v>1004</v>
      </c>
      <c r="W413" t="s">
        <v>1008</v>
      </c>
      <c r="X413" t="s">
        <v>1011</v>
      </c>
      <c r="Y413">
        <v>146619.003479</v>
      </c>
      <c r="Z413" s="2">
        <v>45127</v>
      </c>
      <c r="AA413" t="s">
        <v>1032</v>
      </c>
    </row>
    <row r="414" spans="1:27">
      <c r="A414" s="1" t="s">
        <v>439</v>
      </c>
      <c r="B414">
        <f>HYPERLINK("https://www.suredividend.com/sure-analysis-RPRX/","Royalty Pharma plc")</f>
        <v>0</v>
      </c>
      <c r="C414" t="s">
        <v>899</v>
      </c>
      <c r="D414">
        <v>29.6</v>
      </c>
      <c r="E414">
        <v>28.77</v>
      </c>
      <c r="F414">
        <v>29.1</v>
      </c>
      <c r="G414">
        <v>0.9886597938144329</v>
      </c>
      <c r="H414">
        <v>0.02780674313521029</v>
      </c>
      <c r="I414">
        <v>0.002283602780872362</v>
      </c>
      <c r="J414">
        <v>0.07000000000000001</v>
      </c>
      <c r="K414">
        <v>0.09790745383559796</v>
      </c>
      <c r="L414" t="s">
        <v>580</v>
      </c>
      <c r="M414" t="s">
        <v>825</v>
      </c>
      <c r="N414">
        <v>6.932530120481927</v>
      </c>
      <c r="O414">
        <v>4.15</v>
      </c>
      <c r="P414">
        <v>0.8</v>
      </c>
      <c r="Q414">
        <v>0.1927710843373494</v>
      </c>
      <c r="R414">
        <v>3</v>
      </c>
      <c r="S414">
        <v>0.08083252207959757</v>
      </c>
      <c r="T414" t="s">
        <v>932</v>
      </c>
      <c r="U414">
        <v>-0.31676698355553</v>
      </c>
      <c r="V414" t="s">
        <v>1004</v>
      </c>
      <c r="W414" t="s">
        <v>1008</v>
      </c>
      <c r="X414" t="s">
        <v>1014</v>
      </c>
      <c r="Y414">
        <v>13086.210507</v>
      </c>
      <c r="Z414" s="2">
        <v>45163</v>
      </c>
      <c r="AA414" t="s">
        <v>1024</v>
      </c>
    </row>
    <row r="415" spans="1:27">
      <c r="A415" s="1" t="s">
        <v>440</v>
      </c>
      <c r="B415">
        <f>HYPERLINK("https://www.suredividend.com/sure-analysis-TKR/","Timken Co.")</f>
        <v>0</v>
      </c>
      <c r="C415" t="s">
        <v>899</v>
      </c>
      <c r="D415">
        <v>76</v>
      </c>
      <c r="E415">
        <v>71.54000000000001</v>
      </c>
      <c r="F415">
        <v>92</v>
      </c>
      <c r="G415">
        <v>0.7776086956521739</v>
      </c>
      <c r="H415">
        <v>0.01845121610287951</v>
      </c>
      <c r="I415">
        <v>0.0515932222180211</v>
      </c>
      <c r="J415">
        <v>0.03</v>
      </c>
      <c r="K415">
        <v>0.09741957103341492</v>
      </c>
      <c r="L415" t="s">
        <v>580</v>
      </c>
      <c r="M415" t="s">
        <v>825</v>
      </c>
      <c r="N415">
        <v>10.07605633802817</v>
      </c>
      <c r="O415">
        <v>7.1</v>
      </c>
      <c r="P415">
        <v>1.32</v>
      </c>
      <c r="Q415">
        <v>0.1859154929577465</v>
      </c>
      <c r="R415">
        <v>10</v>
      </c>
      <c r="S415">
        <v>0.02996744995959233</v>
      </c>
      <c r="T415" t="s">
        <v>917</v>
      </c>
      <c r="U415">
        <v>0.069467449163054</v>
      </c>
      <c r="V415" t="s">
        <v>1004</v>
      </c>
      <c r="W415" t="s">
        <v>1008</v>
      </c>
      <c r="X415" t="s">
        <v>1012</v>
      </c>
      <c r="Y415">
        <v>5151.184578</v>
      </c>
      <c r="Z415" s="2">
        <v>45161</v>
      </c>
      <c r="AA415" t="s">
        <v>1034</v>
      </c>
    </row>
    <row r="416" spans="1:27">
      <c r="A416" s="1" t="s">
        <v>441</v>
      </c>
      <c r="B416">
        <f>HYPERLINK("https://www.suredividend.com/sure-analysis-VST/","Vistra Corp")</f>
        <v>0</v>
      </c>
      <c r="C416" t="s">
        <v>898</v>
      </c>
      <c r="D416">
        <v>30</v>
      </c>
      <c r="E416">
        <v>33.18</v>
      </c>
      <c r="F416">
        <v>41</v>
      </c>
      <c r="G416">
        <v>0.8092682926829268</v>
      </c>
      <c r="H416">
        <v>0.02471368294153104</v>
      </c>
      <c r="I416">
        <v>0.04323342904311112</v>
      </c>
      <c r="J416">
        <v>0.03</v>
      </c>
      <c r="K416">
        <v>0.09711525970463386</v>
      </c>
      <c r="L416" t="s">
        <v>580</v>
      </c>
      <c r="M416" t="s">
        <v>825</v>
      </c>
      <c r="N416">
        <v>7.592677345537757</v>
      </c>
      <c r="O416">
        <v>4.37</v>
      </c>
      <c r="P416">
        <v>0.82</v>
      </c>
      <c r="Q416">
        <v>0.1876430205949657</v>
      </c>
      <c r="R416">
        <v>5</v>
      </c>
      <c r="S416">
        <v>0.08092186923483036</v>
      </c>
      <c r="T416" t="s">
        <v>914</v>
      </c>
      <c r="U416">
        <v>0.337322814647851</v>
      </c>
      <c r="V416" t="s">
        <v>1004</v>
      </c>
      <c r="W416" t="s">
        <v>1008</v>
      </c>
      <c r="X416" t="s">
        <v>1018</v>
      </c>
      <c r="Y416">
        <v>12387.117358</v>
      </c>
      <c r="Z416" s="2">
        <v>45155</v>
      </c>
      <c r="AA416" t="s">
        <v>1026</v>
      </c>
    </row>
    <row r="417" spans="1:27">
      <c r="A417" s="1" t="s">
        <v>442</v>
      </c>
      <c r="B417">
        <f>HYPERLINK("https://www.suredividend.com/sure-analysis-WU/","Western Union Company")</f>
        <v>0</v>
      </c>
      <c r="C417" t="s">
        <v>898</v>
      </c>
      <c r="D417">
        <v>12</v>
      </c>
      <c r="E417">
        <v>12.445</v>
      </c>
      <c r="F417">
        <v>15</v>
      </c>
      <c r="G417">
        <v>0.8296666666666667</v>
      </c>
      <c r="H417">
        <v>0.07553234230614704</v>
      </c>
      <c r="I417">
        <v>0.0380523874306633</v>
      </c>
      <c r="J417">
        <v>0</v>
      </c>
      <c r="K417">
        <v>0.09621127596034351</v>
      </c>
      <c r="L417" t="s">
        <v>580</v>
      </c>
      <c r="M417" t="s">
        <v>901</v>
      </c>
      <c r="N417">
        <v>7.407738095238096</v>
      </c>
      <c r="O417">
        <v>1.68</v>
      </c>
      <c r="P417">
        <v>0.9399999999999999</v>
      </c>
      <c r="Q417">
        <v>0.5595238095238095</v>
      </c>
      <c r="R417">
        <v>0</v>
      </c>
      <c r="S417">
        <v>0</v>
      </c>
      <c r="T417" t="s">
        <v>904</v>
      </c>
      <c r="U417">
        <v>-0.08055209147978201</v>
      </c>
      <c r="V417" t="s">
        <v>1004</v>
      </c>
      <c r="W417" t="s">
        <v>1008</v>
      </c>
      <c r="X417" t="s">
        <v>1016</v>
      </c>
      <c r="Y417">
        <v>4887.679205</v>
      </c>
      <c r="Z417" s="2">
        <v>45155</v>
      </c>
      <c r="AA417" t="s">
        <v>1029</v>
      </c>
    </row>
    <row r="418" spans="1:27">
      <c r="A418" s="1" t="s">
        <v>443</v>
      </c>
      <c r="B418">
        <f>HYPERLINK("https://www.suredividend.com/sure-analysis-WEC/","WEC Energy Group Inc")</f>
        <v>0</v>
      </c>
      <c r="C418" t="s">
        <v>899</v>
      </c>
      <c r="D418">
        <v>90</v>
      </c>
      <c r="E418">
        <v>85.70999999999999</v>
      </c>
      <c r="F418">
        <v>87</v>
      </c>
      <c r="G418">
        <v>0.9851724137931034</v>
      </c>
      <c r="H418">
        <v>0.03640182009100455</v>
      </c>
      <c r="I418">
        <v>0.00299219044067045</v>
      </c>
      <c r="J418">
        <v>0.06</v>
      </c>
      <c r="K418">
        <v>0.09524950986073444</v>
      </c>
      <c r="L418" t="s">
        <v>580</v>
      </c>
      <c r="M418" t="s">
        <v>902</v>
      </c>
      <c r="N418">
        <v>18.63260869565217</v>
      </c>
      <c r="O418">
        <v>4.6</v>
      </c>
      <c r="P418">
        <v>3.12</v>
      </c>
      <c r="Q418">
        <v>0.6782608695652175</v>
      </c>
      <c r="R418">
        <v>20</v>
      </c>
      <c r="S418">
        <v>0.0602403725183247</v>
      </c>
      <c r="T418" t="s">
        <v>947</v>
      </c>
      <c r="U418">
        <v>-0.179192605443862</v>
      </c>
      <c r="V418" t="s">
        <v>1004</v>
      </c>
      <c r="W418" t="s">
        <v>1008</v>
      </c>
      <c r="X418" t="s">
        <v>1018</v>
      </c>
      <c r="Y418">
        <v>26638.446143</v>
      </c>
      <c r="Z418" s="2">
        <v>45141</v>
      </c>
      <c r="AA418" t="s">
        <v>1021</v>
      </c>
    </row>
    <row r="419" spans="1:27">
      <c r="A419" s="1" t="s">
        <v>444</v>
      </c>
      <c r="B419">
        <f>HYPERLINK("https://www.suredividend.com/sure-analysis-FLO/","Flowers Foods, Inc.")</f>
        <v>0</v>
      </c>
      <c r="C419" t="s">
        <v>899</v>
      </c>
      <c r="D419">
        <v>25</v>
      </c>
      <c r="E419">
        <v>22.91</v>
      </c>
      <c r="F419">
        <v>24</v>
      </c>
      <c r="G419">
        <v>0.9545833333333333</v>
      </c>
      <c r="H419">
        <v>0.04015713662156264</v>
      </c>
      <c r="I419">
        <v>0.009339409406485366</v>
      </c>
      <c r="J419">
        <v>0.05</v>
      </c>
      <c r="K419">
        <v>0.09433691994043913</v>
      </c>
      <c r="L419" t="s">
        <v>580</v>
      </c>
      <c r="M419" t="s">
        <v>902</v>
      </c>
      <c r="N419">
        <v>18.77868852459017</v>
      </c>
      <c r="O419">
        <v>1.22</v>
      </c>
      <c r="P419">
        <v>0.92</v>
      </c>
      <c r="Q419">
        <v>0.7540983606557378</v>
      </c>
      <c r="R419">
        <v>21</v>
      </c>
      <c r="S419">
        <v>0.04925151964895069</v>
      </c>
      <c r="T419" t="s">
        <v>916</v>
      </c>
      <c r="U419">
        <v>-0.108280746742463</v>
      </c>
      <c r="V419" t="s">
        <v>1004</v>
      </c>
      <c r="W419" t="s">
        <v>1008</v>
      </c>
      <c r="X419" t="s">
        <v>1011</v>
      </c>
      <c r="Y419">
        <v>4879.374367</v>
      </c>
      <c r="Z419" s="2">
        <v>45155</v>
      </c>
      <c r="AA419" t="s">
        <v>1021</v>
      </c>
    </row>
    <row r="420" spans="1:27">
      <c r="A420" s="1" t="s">
        <v>445</v>
      </c>
      <c r="B420">
        <f>HYPERLINK("https://www.suredividend.com/sure-analysis-SYF/","Synchrony Financial")</f>
        <v>0</v>
      </c>
      <c r="C420" t="s">
        <v>899</v>
      </c>
      <c r="D420">
        <v>34</v>
      </c>
      <c r="E420">
        <v>31.8</v>
      </c>
      <c r="F420">
        <v>38</v>
      </c>
      <c r="G420">
        <v>0.8368421052631579</v>
      </c>
      <c r="H420">
        <v>0.03144654088050314</v>
      </c>
      <c r="I420">
        <v>0.03626611020728654</v>
      </c>
      <c r="J420">
        <v>0.03</v>
      </c>
      <c r="K420">
        <v>0.0941412327301332</v>
      </c>
      <c r="L420" t="s">
        <v>580</v>
      </c>
      <c r="M420" t="s">
        <v>580</v>
      </c>
      <c r="N420">
        <v>6.36</v>
      </c>
      <c r="O420">
        <v>5</v>
      </c>
      <c r="P420">
        <v>1</v>
      </c>
      <c r="Q420">
        <v>0.2</v>
      </c>
      <c r="R420">
        <v>2</v>
      </c>
      <c r="S420">
        <v>0.05061112176150684</v>
      </c>
      <c r="T420" t="s">
        <v>918</v>
      </c>
      <c r="U420">
        <v>-0.032614787088344</v>
      </c>
      <c r="V420" t="s">
        <v>1004</v>
      </c>
      <c r="W420" t="s">
        <v>1008</v>
      </c>
      <c r="X420" t="s">
        <v>1015</v>
      </c>
      <c r="Y420">
        <v>13498.949177</v>
      </c>
      <c r="Z420" s="2">
        <v>45141</v>
      </c>
      <c r="AA420" t="s">
        <v>1028</v>
      </c>
    </row>
    <row r="421" spans="1:27">
      <c r="A421" s="1" t="s">
        <v>446</v>
      </c>
      <c r="B421">
        <f>HYPERLINK("https://www.suredividend.com/sure-analysis-OGS/","ONE Gas Inc")</f>
        <v>0</v>
      </c>
      <c r="C421" t="s">
        <v>899</v>
      </c>
      <c r="D421">
        <v>80</v>
      </c>
      <c r="E421">
        <v>74.06999999999999</v>
      </c>
      <c r="F421">
        <v>79</v>
      </c>
      <c r="G421">
        <v>0.9375949367088606</v>
      </c>
      <c r="H421">
        <v>0.03510193060618334</v>
      </c>
      <c r="I421">
        <v>0.01297085318982716</v>
      </c>
      <c r="J421">
        <v>0.05</v>
      </c>
      <c r="K421">
        <v>0.09370486424005242</v>
      </c>
      <c r="L421" t="s">
        <v>580</v>
      </c>
      <c r="M421" t="s">
        <v>902</v>
      </c>
      <c r="N421">
        <v>17.89130434782609</v>
      </c>
      <c r="O421">
        <v>4.14</v>
      </c>
      <c r="P421">
        <v>2.6</v>
      </c>
      <c r="Q421">
        <v>0.6280193236714977</v>
      </c>
      <c r="R421">
        <v>9</v>
      </c>
      <c r="S421">
        <v>0.05010553388446692</v>
      </c>
      <c r="T421" t="s">
        <v>923</v>
      </c>
      <c r="U421">
        <v>-0.06745266004273001</v>
      </c>
      <c r="V421" t="s">
        <v>1004</v>
      </c>
      <c r="W421" t="s">
        <v>1008</v>
      </c>
      <c r="X421" t="s">
        <v>1018</v>
      </c>
      <c r="Y421">
        <v>4099.921242</v>
      </c>
      <c r="Z421" s="2">
        <v>45140</v>
      </c>
      <c r="AA421" t="s">
        <v>1032</v>
      </c>
    </row>
    <row r="422" spans="1:27">
      <c r="A422" s="1" t="s">
        <v>447</v>
      </c>
      <c r="B422">
        <f>HYPERLINK("https://www.suredividend.com/sure-analysis-UL/","Unilever plc")</f>
        <v>0</v>
      </c>
      <c r="C422" t="s">
        <v>899</v>
      </c>
      <c r="D422">
        <v>51</v>
      </c>
      <c r="E422">
        <v>50.45</v>
      </c>
      <c r="F422">
        <v>51</v>
      </c>
      <c r="G422">
        <v>0.9892156862745098</v>
      </c>
      <c r="H422">
        <v>0.03706640237859267</v>
      </c>
      <c r="I422">
        <v>0.002170930249071334</v>
      </c>
      <c r="J422">
        <v>0.06</v>
      </c>
      <c r="K422">
        <v>0.09327576189117526</v>
      </c>
      <c r="L422" t="s">
        <v>580</v>
      </c>
      <c r="M422" t="s">
        <v>580</v>
      </c>
      <c r="N422">
        <v>17.70175438596491</v>
      </c>
      <c r="O422">
        <v>2.85</v>
      </c>
      <c r="P422">
        <v>1.87</v>
      </c>
      <c r="Q422">
        <v>0.656140350877193</v>
      </c>
      <c r="R422">
        <v>0</v>
      </c>
      <c r="S422">
        <v>0.04044385152396357</v>
      </c>
      <c r="T422" t="s">
        <v>955</v>
      </c>
      <c r="U422">
        <v>0.113952840081948</v>
      </c>
      <c r="V422" t="s">
        <v>1004</v>
      </c>
      <c r="W422" t="s">
        <v>1009</v>
      </c>
      <c r="X422" t="s">
        <v>1011</v>
      </c>
      <c r="Y422">
        <v>126638.283343</v>
      </c>
      <c r="Z422" s="2">
        <v>45155</v>
      </c>
      <c r="AA422" t="s">
        <v>1022</v>
      </c>
    </row>
    <row r="423" spans="1:27">
      <c r="A423" s="1" t="s">
        <v>448</v>
      </c>
      <c r="B423">
        <f>HYPERLINK("https://www.suredividend.com/sure-analysis-MSM/","MSC Industrial Direct Co., Inc.")</f>
        <v>0</v>
      </c>
      <c r="C423" t="s">
        <v>899</v>
      </c>
      <c r="D423">
        <v>96</v>
      </c>
      <c r="E423">
        <v>94.87</v>
      </c>
      <c r="F423">
        <v>97</v>
      </c>
      <c r="G423">
        <v>0.9780412371134021</v>
      </c>
      <c r="H423">
        <v>0.03330873827342679</v>
      </c>
      <c r="I423">
        <v>0.004450563490278281</v>
      </c>
      <c r="J423">
        <v>0.06</v>
      </c>
      <c r="K423">
        <v>0.09321298260393829</v>
      </c>
      <c r="L423" t="s">
        <v>580</v>
      </c>
      <c r="M423" t="s">
        <v>902</v>
      </c>
      <c r="N423">
        <v>15.08267090620032</v>
      </c>
      <c r="O423">
        <v>6.29</v>
      </c>
      <c r="P423">
        <v>3.16</v>
      </c>
      <c r="Q423">
        <v>0.5023847376788554</v>
      </c>
      <c r="R423">
        <v>1</v>
      </c>
      <c r="S423">
        <v>0.04984115279430545</v>
      </c>
      <c r="T423" t="s">
        <v>964</v>
      </c>
      <c r="U423">
        <v>0.241039397770518</v>
      </c>
      <c r="V423" t="s">
        <v>1004</v>
      </c>
      <c r="W423" t="s">
        <v>1008</v>
      </c>
      <c r="X423" t="s">
        <v>1012</v>
      </c>
      <c r="Y423">
        <v>4582.920839</v>
      </c>
      <c r="Z423" s="2">
        <v>45112</v>
      </c>
      <c r="AA423" t="s">
        <v>1026</v>
      </c>
    </row>
    <row r="424" spans="1:27">
      <c r="A424" s="1" t="s">
        <v>449</v>
      </c>
      <c r="B424">
        <f>HYPERLINK("https://www.suredividend.com/sure-analysis-AON/","Aon plc.")</f>
        <v>0</v>
      </c>
      <c r="C424" t="s">
        <v>898</v>
      </c>
      <c r="D424">
        <v>315</v>
      </c>
      <c r="E424">
        <v>335.34</v>
      </c>
      <c r="F424">
        <v>299</v>
      </c>
      <c r="G424">
        <v>1.121538461538461</v>
      </c>
      <c r="H424">
        <v>0.007335838253712651</v>
      </c>
      <c r="I424">
        <v>-0.0226791463323307</v>
      </c>
      <c r="J424">
        <v>0.11</v>
      </c>
      <c r="K424">
        <v>0.09205761590927763</v>
      </c>
      <c r="L424" t="s">
        <v>580</v>
      </c>
      <c r="M424" t="s">
        <v>642</v>
      </c>
      <c r="N424">
        <v>23.53263157894737</v>
      </c>
      <c r="O424">
        <v>14.25</v>
      </c>
      <c r="P424">
        <v>2.46</v>
      </c>
      <c r="Q424">
        <v>0.1726315789473684</v>
      </c>
      <c r="R424">
        <v>12</v>
      </c>
      <c r="S424">
        <v>0.1102546427083722</v>
      </c>
      <c r="T424" t="s">
        <v>957</v>
      </c>
      <c r="U424">
        <v>0.147934837846793</v>
      </c>
      <c r="V424" t="s">
        <v>1004</v>
      </c>
      <c r="W424" t="s">
        <v>1009</v>
      </c>
      <c r="X424" t="s">
        <v>1015</v>
      </c>
      <c r="Y424">
        <v>67958.346987</v>
      </c>
      <c r="Z424" s="2">
        <v>45147</v>
      </c>
      <c r="AA424" t="s">
        <v>1030</v>
      </c>
    </row>
    <row r="425" spans="1:27">
      <c r="A425" s="1" t="s">
        <v>450</v>
      </c>
      <c r="B425">
        <f>HYPERLINK("https://www.suredividend.com/sure-analysis-OGE/","Oge Energy Corp.")</f>
        <v>0</v>
      </c>
      <c r="C425" t="s">
        <v>898</v>
      </c>
      <c r="D425">
        <v>34</v>
      </c>
      <c r="E425">
        <v>35.21</v>
      </c>
      <c r="F425">
        <v>35</v>
      </c>
      <c r="G425">
        <v>1.006</v>
      </c>
      <c r="H425">
        <v>0.04714569724510082</v>
      </c>
      <c r="I425">
        <v>-0.001195698917219046</v>
      </c>
      <c r="J425">
        <v>0.05</v>
      </c>
      <c r="K425">
        <v>0.09142140586968095</v>
      </c>
      <c r="L425" t="s">
        <v>580</v>
      </c>
      <c r="M425" t="s">
        <v>902</v>
      </c>
      <c r="N425">
        <v>17.43069306930693</v>
      </c>
      <c r="O425">
        <v>2.02</v>
      </c>
      <c r="P425">
        <v>1.66</v>
      </c>
      <c r="Q425">
        <v>0.8217821782178217</v>
      </c>
      <c r="R425">
        <v>16</v>
      </c>
      <c r="S425">
        <v>0.0579445814679882</v>
      </c>
      <c r="T425" t="s">
        <v>921</v>
      </c>
      <c r="U425">
        <v>-0.132658513491012</v>
      </c>
      <c r="V425" t="s">
        <v>1004</v>
      </c>
      <c r="W425" t="s">
        <v>1008</v>
      </c>
      <c r="X425" t="s">
        <v>1018</v>
      </c>
      <c r="Y425">
        <v>6990.029004</v>
      </c>
      <c r="Z425" s="2">
        <v>45160</v>
      </c>
      <c r="AA425" t="s">
        <v>1022</v>
      </c>
    </row>
    <row r="426" spans="1:27">
      <c r="A426" s="1" t="s">
        <v>451</v>
      </c>
      <c r="B426">
        <f>HYPERLINK("https://www.suredividend.com/sure-analysis-IDA/","Idacorp, Inc.")</f>
        <v>0</v>
      </c>
      <c r="C426" t="s">
        <v>899</v>
      </c>
      <c r="D426">
        <v>99</v>
      </c>
      <c r="E426">
        <v>96.8</v>
      </c>
      <c r="F426">
        <v>107</v>
      </c>
      <c r="G426">
        <v>0.9046728971962616</v>
      </c>
      <c r="H426">
        <v>0.03264462809917355</v>
      </c>
      <c r="I426">
        <v>0.02023844342037417</v>
      </c>
      <c r="J426">
        <v>0.04</v>
      </c>
      <c r="K426">
        <v>0.08936770978064468</v>
      </c>
      <c r="L426" t="s">
        <v>580</v>
      </c>
      <c r="M426" t="s">
        <v>580</v>
      </c>
      <c r="N426">
        <v>18.98039215686275</v>
      </c>
      <c r="O426">
        <v>5.1</v>
      </c>
      <c r="P426">
        <v>3.16</v>
      </c>
      <c r="Q426">
        <v>0.6196078431372549</v>
      </c>
      <c r="R426">
        <v>12</v>
      </c>
      <c r="S426">
        <v>0.04984115279430545</v>
      </c>
      <c r="T426" t="s">
        <v>974</v>
      </c>
      <c r="U426">
        <v>-0.118227770304958</v>
      </c>
      <c r="V426" t="s">
        <v>1004</v>
      </c>
      <c r="W426" t="s">
        <v>1008</v>
      </c>
      <c r="X426" t="s">
        <v>1018</v>
      </c>
      <c r="Y426">
        <v>4850.921378</v>
      </c>
      <c r="Z426" s="2">
        <v>45143</v>
      </c>
      <c r="AA426" t="s">
        <v>1023</v>
      </c>
    </row>
    <row r="427" spans="1:27">
      <c r="A427" s="1" t="s">
        <v>452</v>
      </c>
      <c r="B427">
        <f>HYPERLINK("https://www.suredividend.com/sure-analysis-PCAR/","Paccar Inc.")</f>
        <v>0</v>
      </c>
      <c r="C427" t="s">
        <v>899</v>
      </c>
      <c r="D427">
        <v>86</v>
      </c>
      <c r="E427">
        <v>83.28</v>
      </c>
      <c r="F427">
        <v>121</v>
      </c>
      <c r="G427">
        <v>0.6882644628099174</v>
      </c>
      <c r="H427">
        <v>0.03698366954851105</v>
      </c>
      <c r="I427">
        <v>0.07757853242179946</v>
      </c>
      <c r="J427">
        <v>-0.02</v>
      </c>
      <c r="K427">
        <v>0.08837667171484997</v>
      </c>
      <c r="L427" t="s">
        <v>580</v>
      </c>
      <c r="M427" t="s">
        <v>580</v>
      </c>
      <c r="N427">
        <v>9.616628175519631</v>
      </c>
      <c r="O427">
        <v>8.66</v>
      </c>
      <c r="P427">
        <v>3.08</v>
      </c>
      <c r="Q427">
        <v>0.3556581986143187</v>
      </c>
      <c r="R427">
        <v>14</v>
      </c>
      <c r="S427">
        <v>0.04887856009154823</v>
      </c>
      <c r="T427" t="s">
        <v>936</v>
      </c>
      <c r="U427">
        <v>0.494773030239247</v>
      </c>
      <c r="V427" t="s">
        <v>1004</v>
      </c>
      <c r="W427" t="s">
        <v>1008</v>
      </c>
      <c r="X427" t="s">
        <v>1012</v>
      </c>
      <c r="Y427">
        <v>44553.450196</v>
      </c>
      <c r="Z427" s="2">
        <v>45134</v>
      </c>
      <c r="AA427" t="s">
        <v>1026</v>
      </c>
    </row>
    <row r="428" spans="1:27">
      <c r="A428" s="1" t="s">
        <v>453</v>
      </c>
      <c r="B428">
        <f>HYPERLINK("https://www.suredividend.com/sure-analysis-KKR/","KKR &amp; Co. Inc")</f>
        <v>0</v>
      </c>
      <c r="C428" t="s">
        <v>899</v>
      </c>
      <c r="D428">
        <v>61</v>
      </c>
      <c r="E428">
        <v>63.22</v>
      </c>
      <c r="F428">
        <v>63</v>
      </c>
      <c r="G428">
        <v>1.003492063492063</v>
      </c>
      <c r="H428">
        <v>0.01043973426130971</v>
      </c>
      <c r="I428">
        <v>-0.0006969530944740399</v>
      </c>
      <c r="J428">
        <v>0.08</v>
      </c>
      <c r="K428">
        <v>0.08730414044776791</v>
      </c>
      <c r="L428" t="s">
        <v>580</v>
      </c>
      <c r="M428" t="s">
        <v>642</v>
      </c>
      <c r="N428">
        <v>15.0166270783848</v>
      </c>
      <c r="O428">
        <v>4.21</v>
      </c>
      <c r="P428">
        <v>0.66</v>
      </c>
      <c r="Q428">
        <v>0.156769596199525</v>
      </c>
      <c r="R428">
        <v>4</v>
      </c>
      <c r="S428">
        <v>0.02036554426441151</v>
      </c>
      <c r="T428" t="s">
        <v>936</v>
      </c>
      <c r="U428">
        <v>0.228585460743622</v>
      </c>
      <c r="V428" t="s">
        <v>1004</v>
      </c>
      <c r="W428" t="s">
        <v>1008</v>
      </c>
      <c r="X428" t="s">
        <v>1015</v>
      </c>
      <c r="Y428">
        <v>54848.775393</v>
      </c>
      <c r="Z428" s="2">
        <v>45145</v>
      </c>
      <c r="AA428" t="s">
        <v>1031</v>
      </c>
    </row>
    <row r="429" spans="1:27">
      <c r="A429" s="1" t="s">
        <v>454</v>
      </c>
      <c r="B429">
        <f>HYPERLINK("https://www.suredividend.com/sure-analysis-AGM/","Federal Agricultural Mortgage Corp.")</f>
        <v>0</v>
      </c>
      <c r="C429" t="s">
        <v>899</v>
      </c>
      <c r="D429">
        <v>176</v>
      </c>
      <c r="E429">
        <v>165.31</v>
      </c>
      <c r="F429">
        <v>158</v>
      </c>
      <c r="G429">
        <v>1.04626582278481</v>
      </c>
      <c r="H429">
        <v>0.02661665960921904</v>
      </c>
      <c r="I429">
        <v>-0.009004705807269864</v>
      </c>
      <c r="J429">
        <v>0.07000000000000001</v>
      </c>
      <c r="K429">
        <v>0.08725373703360417</v>
      </c>
      <c r="L429" t="s">
        <v>580</v>
      </c>
      <c r="M429" t="s">
        <v>825</v>
      </c>
      <c r="N429">
        <v>11.02066666666667</v>
      </c>
      <c r="O429">
        <v>15</v>
      </c>
      <c r="P429">
        <v>4.4</v>
      </c>
      <c r="Q429">
        <v>0.2933333333333333</v>
      </c>
      <c r="R429">
        <v>12</v>
      </c>
      <c r="S429">
        <v>0.1001165843093035</v>
      </c>
      <c r="T429" t="s">
        <v>904</v>
      </c>
      <c r="U429">
        <v>0.6078356413332571</v>
      </c>
      <c r="V429" t="s">
        <v>1004</v>
      </c>
      <c r="W429" t="s">
        <v>1008</v>
      </c>
      <c r="X429" t="s">
        <v>1015</v>
      </c>
      <c r="Y429">
        <v>1703.412992</v>
      </c>
      <c r="Z429" s="2">
        <v>45155</v>
      </c>
      <c r="AA429" t="s">
        <v>1026</v>
      </c>
    </row>
    <row r="430" spans="1:27">
      <c r="A430" s="1" t="s">
        <v>455</v>
      </c>
      <c r="B430">
        <f>HYPERLINK("https://www.suredividend.com/sure-analysis-LEN/","Lennar Corp.")</f>
        <v>0</v>
      </c>
      <c r="C430" t="s">
        <v>899</v>
      </c>
      <c r="D430">
        <v>115</v>
      </c>
      <c r="E430">
        <v>115.97</v>
      </c>
      <c r="F430">
        <v>114</v>
      </c>
      <c r="G430">
        <v>1.017280701754386</v>
      </c>
      <c r="H430">
        <v>0.0129343795809261</v>
      </c>
      <c r="I430">
        <v>-0.003420753560325673</v>
      </c>
      <c r="J430">
        <v>0.08</v>
      </c>
      <c r="K430">
        <v>0.0872489551798834</v>
      </c>
      <c r="L430" t="s">
        <v>580</v>
      </c>
      <c r="M430" t="s">
        <v>642</v>
      </c>
      <c r="N430">
        <v>11.65527638190955</v>
      </c>
      <c r="O430">
        <v>9.949999999999999</v>
      </c>
      <c r="P430">
        <v>1.5</v>
      </c>
      <c r="Q430">
        <v>0.1507537688442211</v>
      </c>
      <c r="R430">
        <v>3</v>
      </c>
      <c r="S430">
        <v>0.04951444805329408</v>
      </c>
      <c r="T430" t="s">
        <v>907</v>
      </c>
      <c r="U430">
        <v>0.4671604633562471</v>
      </c>
      <c r="V430" t="s">
        <v>1004</v>
      </c>
      <c r="W430" t="s">
        <v>1008</v>
      </c>
      <c r="X430" t="s">
        <v>1019</v>
      </c>
      <c r="Y430">
        <v>33066.065465</v>
      </c>
      <c r="Z430" s="2">
        <v>45092</v>
      </c>
      <c r="AA430" t="s">
        <v>1024</v>
      </c>
    </row>
    <row r="431" spans="1:27">
      <c r="A431" s="1" t="s">
        <v>456</v>
      </c>
      <c r="B431">
        <f>HYPERLINK("https://www.suredividend.com/sure-analysis-DGICA/","Donegal Group Inc.")</f>
        <v>0</v>
      </c>
      <c r="C431" t="s">
        <v>899</v>
      </c>
      <c r="D431">
        <v>15</v>
      </c>
      <c r="E431">
        <v>14.48</v>
      </c>
      <c r="F431">
        <v>14</v>
      </c>
      <c r="G431">
        <v>1.034285714285714</v>
      </c>
      <c r="H431">
        <v>0.04696132596685083</v>
      </c>
      <c r="I431">
        <v>-0.006719533755321194</v>
      </c>
      <c r="J431">
        <v>0.05</v>
      </c>
      <c r="K431">
        <v>0.08318399764809881</v>
      </c>
      <c r="L431" t="s">
        <v>580</v>
      </c>
      <c r="M431" t="s">
        <v>902</v>
      </c>
      <c r="N431">
        <v>19.30666666666667</v>
      </c>
      <c r="O431">
        <v>0.75</v>
      </c>
      <c r="P431">
        <v>0.68</v>
      </c>
      <c r="Q431">
        <v>0.9066666666666667</v>
      </c>
      <c r="R431">
        <v>21</v>
      </c>
      <c r="S431">
        <v>0.03044219892825617</v>
      </c>
      <c r="T431" t="s">
        <v>957</v>
      </c>
      <c r="U431">
        <v>0.06121069147724301</v>
      </c>
      <c r="V431" t="s">
        <v>1004</v>
      </c>
      <c r="W431" t="s">
        <v>1008</v>
      </c>
      <c r="X431" t="s">
        <v>1015</v>
      </c>
      <c r="Y431">
        <v>476.06626</v>
      </c>
      <c r="Z431" s="2">
        <v>45140</v>
      </c>
      <c r="AA431" t="s">
        <v>1023</v>
      </c>
    </row>
    <row r="432" spans="1:27">
      <c r="A432" s="1" t="s">
        <v>457</v>
      </c>
      <c r="B432">
        <f>HYPERLINK("https://www.suredividend.com/sure-analysis-DLR/","Digital Realty Trust Inc")</f>
        <v>0</v>
      </c>
      <c r="C432" t="s">
        <v>899</v>
      </c>
      <c r="D432">
        <v>123</v>
      </c>
      <c r="E432">
        <v>126.99</v>
      </c>
      <c r="F432">
        <v>109</v>
      </c>
      <c r="G432">
        <v>1.165045871559633</v>
      </c>
      <c r="H432">
        <v>0.03842822269470037</v>
      </c>
      <c r="I432">
        <v>-0.03009009398411999</v>
      </c>
      <c r="J432">
        <v>0.08</v>
      </c>
      <c r="K432">
        <v>0.08313605631454668</v>
      </c>
      <c r="L432" t="s">
        <v>580</v>
      </c>
      <c r="M432" t="s">
        <v>902</v>
      </c>
      <c r="N432">
        <v>19.24090909090909</v>
      </c>
      <c r="O432">
        <v>6.6</v>
      </c>
      <c r="P432">
        <v>4.88</v>
      </c>
      <c r="Q432">
        <v>0.7393939393939394</v>
      </c>
      <c r="R432">
        <v>17</v>
      </c>
      <c r="S432">
        <v>0.05998244289972532</v>
      </c>
      <c r="T432" t="s">
        <v>912</v>
      </c>
      <c r="U432">
        <v>0.080006071064449</v>
      </c>
      <c r="V432" t="s">
        <v>1005</v>
      </c>
      <c r="W432" t="s">
        <v>1008</v>
      </c>
      <c r="X432" t="s">
        <v>1019</v>
      </c>
      <c r="Y432">
        <v>39633.727994</v>
      </c>
      <c r="Z432" s="2">
        <v>45138</v>
      </c>
      <c r="AA432" t="s">
        <v>1026</v>
      </c>
    </row>
    <row r="433" spans="1:27">
      <c r="A433" s="1" t="s">
        <v>458</v>
      </c>
      <c r="B433">
        <f>HYPERLINK("https://www.suredividend.com/sure-analysis-PFG/","Principal Financial Group Inc")</f>
        <v>0</v>
      </c>
      <c r="C433" t="s">
        <v>898</v>
      </c>
      <c r="D433">
        <v>65</v>
      </c>
      <c r="E433">
        <v>75.56999999999999</v>
      </c>
      <c r="F433">
        <v>76</v>
      </c>
      <c r="G433">
        <v>0.9943421052631578</v>
      </c>
      <c r="H433">
        <v>0.03440518724361519</v>
      </c>
      <c r="I433">
        <v>0.001135436371091147</v>
      </c>
      <c r="J433">
        <v>0.05</v>
      </c>
      <c r="K433">
        <v>0.08262968685591066</v>
      </c>
      <c r="L433" t="s">
        <v>580</v>
      </c>
      <c r="M433" t="s">
        <v>825</v>
      </c>
      <c r="N433">
        <v>11.27910447761194</v>
      </c>
      <c r="O433">
        <v>6.7</v>
      </c>
      <c r="P433">
        <v>2.6</v>
      </c>
      <c r="Q433">
        <v>0.3880597014925373</v>
      </c>
      <c r="R433">
        <v>15</v>
      </c>
      <c r="S433">
        <v>0.05697363488229734</v>
      </c>
      <c r="T433" t="s">
        <v>956</v>
      </c>
      <c r="U433">
        <v>-0.004799945547386</v>
      </c>
      <c r="V433" t="s">
        <v>1004</v>
      </c>
      <c r="W433" t="s">
        <v>1008</v>
      </c>
      <c r="X433" t="s">
        <v>1015</v>
      </c>
      <c r="Y433">
        <v>18377.583999</v>
      </c>
      <c r="Z433" s="2">
        <v>45079</v>
      </c>
      <c r="AA433" t="s">
        <v>1028</v>
      </c>
    </row>
    <row r="434" spans="1:27">
      <c r="A434" s="1" t="s">
        <v>459</v>
      </c>
      <c r="B434">
        <f>HYPERLINK("https://www.suredividend.com/sure-analysis-TEL/","TE Connectivity Ltd")</f>
        <v>0</v>
      </c>
      <c r="C434" t="s">
        <v>899</v>
      </c>
      <c r="D434">
        <v>140</v>
      </c>
      <c r="E434">
        <v>128.25</v>
      </c>
      <c r="F434">
        <v>120</v>
      </c>
      <c r="G434">
        <v>1.06875</v>
      </c>
      <c r="H434">
        <v>0.01840155945419103</v>
      </c>
      <c r="I434">
        <v>-0.01320992116512354</v>
      </c>
      <c r="J434">
        <v>0.08</v>
      </c>
      <c r="K434">
        <v>0.08178778008032483</v>
      </c>
      <c r="L434" t="s">
        <v>580</v>
      </c>
      <c r="M434" t="s">
        <v>825</v>
      </c>
      <c r="N434">
        <v>19.19910179640719</v>
      </c>
      <c r="O434">
        <v>6.68</v>
      </c>
      <c r="P434">
        <v>2.36</v>
      </c>
      <c r="Q434">
        <v>0.3532934131736527</v>
      </c>
      <c r="R434">
        <v>15</v>
      </c>
      <c r="S434">
        <v>0.04985881365701572</v>
      </c>
      <c r="T434" t="s">
        <v>932</v>
      </c>
      <c r="U434">
        <v>-0.001787101787101</v>
      </c>
      <c r="V434" t="s">
        <v>1004</v>
      </c>
      <c r="W434" t="s">
        <v>1009</v>
      </c>
      <c r="X434" t="s">
        <v>1017</v>
      </c>
      <c r="Y434">
        <v>40331.694768</v>
      </c>
      <c r="Z434" s="2">
        <v>45143</v>
      </c>
      <c r="AA434" t="s">
        <v>1026</v>
      </c>
    </row>
    <row r="435" spans="1:27">
      <c r="A435" s="1" t="s">
        <v>460</v>
      </c>
      <c r="B435">
        <f>HYPERLINK("https://www.suredividend.com/sure-analysis-SXI/","Standex International Corp.")</f>
        <v>0</v>
      </c>
      <c r="C435" t="s">
        <v>899</v>
      </c>
      <c r="D435">
        <v>165</v>
      </c>
      <c r="E435">
        <v>144.34</v>
      </c>
      <c r="F435">
        <v>140</v>
      </c>
      <c r="G435">
        <v>1.031</v>
      </c>
      <c r="H435">
        <v>0.007759456838021339</v>
      </c>
      <c r="I435">
        <v>-0.006087238240864434</v>
      </c>
      <c r="J435">
        <v>0.08</v>
      </c>
      <c r="K435">
        <v>0.08074367070563149</v>
      </c>
      <c r="L435" t="s">
        <v>580</v>
      </c>
      <c r="M435" t="s">
        <v>642</v>
      </c>
      <c r="N435">
        <v>18.60051546391753</v>
      </c>
      <c r="O435">
        <v>7.76</v>
      </c>
      <c r="P435">
        <v>1.12</v>
      </c>
      <c r="Q435">
        <v>0.1443298969072165</v>
      </c>
      <c r="R435">
        <v>13</v>
      </c>
      <c r="S435">
        <v>0.08057069246502624</v>
      </c>
      <c r="T435" t="s">
        <v>954</v>
      </c>
      <c r="U435">
        <v>0.6582309099601741</v>
      </c>
      <c r="V435" t="s">
        <v>1004</v>
      </c>
      <c r="W435" t="s">
        <v>1008</v>
      </c>
      <c r="X435" t="s">
        <v>1012</v>
      </c>
      <c r="Y435">
        <v>1727.438941</v>
      </c>
      <c r="Z435" s="2">
        <v>45149</v>
      </c>
      <c r="AA435" t="s">
        <v>1026</v>
      </c>
    </row>
    <row r="436" spans="1:27">
      <c r="A436" s="1" t="s">
        <v>461</v>
      </c>
      <c r="B436">
        <f>HYPERLINK("https://www.suredividend.com/sure-analysis-NXST/","Nexstar Media Group Inc")</f>
        <v>0</v>
      </c>
      <c r="C436" t="s">
        <v>899</v>
      </c>
      <c r="D436">
        <v>157</v>
      </c>
      <c r="E436">
        <v>149.61</v>
      </c>
      <c r="F436">
        <v>128</v>
      </c>
      <c r="G436">
        <v>1.168828125</v>
      </c>
      <c r="H436">
        <v>0.0360938439943854</v>
      </c>
      <c r="I436">
        <v>-0.03071862140956161</v>
      </c>
      <c r="J436">
        <v>0.08</v>
      </c>
      <c r="K436">
        <v>0.0805148875801589</v>
      </c>
      <c r="L436" t="s">
        <v>580</v>
      </c>
      <c r="M436" t="s">
        <v>580</v>
      </c>
      <c r="N436">
        <v>9.350625000000001</v>
      </c>
      <c r="O436">
        <v>16</v>
      </c>
      <c r="P436">
        <v>5.4</v>
      </c>
      <c r="Q436">
        <v>0.3375</v>
      </c>
      <c r="R436">
        <v>10</v>
      </c>
      <c r="S436">
        <v>0.06010506010596317</v>
      </c>
      <c r="T436" t="s">
        <v>906</v>
      </c>
      <c r="U436">
        <v>-0.232298017478058</v>
      </c>
      <c r="V436" t="s">
        <v>1004</v>
      </c>
      <c r="W436" t="s">
        <v>1008</v>
      </c>
      <c r="X436" t="s">
        <v>1017</v>
      </c>
      <c r="Y436">
        <v>5165.911967</v>
      </c>
      <c r="Z436" s="2">
        <v>45161</v>
      </c>
      <c r="AA436" t="s">
        <v>1034</v>
      </c>
    </row>
    <row r="437" spans="1:27">
      <c r="A437" s="1" t="s">
        <v>462</v>
      </c>
      <c r="B437">
        <f>HYPERLINK("https://www.suredividend.com/sure-analysis-HNI/","HNI Corp.")</f>
        <v>0</v>
      </c>
      <c r="C437" t="s">
        <v>899</v>
      </c>
      <c r="D437">
        <v>32</v>
      </c>
      <c r="E437">
        <v>31.73</v>
      </c>
      <c r="F437">
        <v>30</v>
      </c>
      <c r="G437">
        <v>1.057666666666667</v>
      </c>
      <c r="H437">
        <v>0.04034037188780334</v>
      </c>
      <c r="I437">
        <v>-0.01115041291646723</v>
      </c>
      <c r="J437">
        <v>0.055</v>
      </c>
      <c r="K437">
        <v>0.07922679226572349</v>
      </c>
      <c r="L437" t="s">
        <v>580</v>
      </c>
      <c r="M437" t="s">
        <v>902</v>
      </c>
      <c r="N437">
        <v>14.75813953488372</v>
      </c>
      <c r="O437">
        <v>2.15</v>
      </c>
      <c r="P437">
        <v>1.28</v>
      </c>
      <c r="Q437">
        <v>0.5953488372093023</v>
      </c>
      <c r="R437">
        <v>11</v>
      </c>
      <c r="S437">
        <v>0.04168866040456276</v>
      </c>
      <c r="T437" t="s">
        <v>922</v>
      </c>
      <c r="U437">
        <v>0.004266470856332001</v>
      </c>
      <c r="V437" t="s">
        <v>1004</v>
      </c>
      <c r="W437" t="s">
        <v>1008</v>
      </c>
      <c r="X437" t="s">
        <v>1012</v>
      </c>
      <c r="Y437">
        <v>1476.992853</v>
      </c>
      <c r="Z437" s="2">
        <v>45150</v>
      </c>
      <c r="AA437" t="s">
        <v>1021</v>
      </c>
    </row>
    <row r="438" spans="1:27">
      <c r="A438" s="1" t="s">
        <v>463</v>
      </c>
      <c r="B438">
        <f>HYPERLINK("https://www.suredividend.com/sure-analysis-OKE/","Oneok Inc.")</f>
        <v>0</v>
      </c>
      <c r="C438" t="s">
        <v>899</v>
      </c>
      <c r="D438">
        <v>65</v>
      </c>
      <c r="E438">
        <v>67</v>
      </c>
      <c r="F438">
        <v>67</v>
      </c>
      <c r="G438">
        <v>1</v>
      </c>
      <c r="H438">
        <v>0.05701492537313432</v>
      </c>
      <c r="I438">
        <v>0</v>
      </c>
      <c r="J438">
        <v>0.03</v>
      </c>
      <c r="K438">
        <v>0.07892372831897121</v>
      </c>
      <c r="L438" t="s">
        <v>580</v>
      </c>
      <c r="M438" t="s">
        <v>902</v>
      </c>
      <c r="N438">
        <v>12.07207207207207</v>
      </c>
      <c r="O438">
        <v>5.55</v>
      </c>
      <c r="P438">
        <v>3.82</v>
      </c>
      <c r="Q438">
        <v>0.6882882882882883</v>
      </c>
      <c r="R438">
        <v>1</v>
      </c>
      <c r="S438">
        <v>0.02011660673025339</v>
      </c>
      <c r="T438" t="s">
        <v>957</v>
      </c>
      <c r="U438">
        <v>0.101081324286048</v>
      </c>
      <c r="V438" t="s">
        <v>1004</v>
      </c>
      <c r="W438" t="s">
        <v>1008</v>
      </c>
      <c r="X438" t="s">
        <v>1020</v>
      </c>
      <c r="Y438">
        <v>29689.794394</v>
      </c>
      <c r="Z438" s="2">
        <v>45170</v>
      </c>
      <c r="AA438" t="s">
        <v>1028</v>
      </c>
    </row>
    <row r="439" spans="1:27">
      <c r="A439" s="1" t="s">
        <v>464</v>
      </c>
      <c r="B439">
        <f>HYPERLINK("https://www.suredividend.com/sure-analysis-CF/","CF Industries Holdings Inc")</f>
        <v>0</v>
      </c>
      <c r="C439" t="s">
        <v>899</v>
      </c>
      <c r="D439">
        <v>83</v>
      </c>
      <c r="E439">
        <v>80.87</v>
      </c>
      <c r="F439">
        <v>109</v>
      </c>
      <c r="G439">
        <v>0.7419266055045872</v>
      </c>
      <c r="H439">
        <v>0.01978483986645233</v>
      </c>
      <c r="I439">
        <v>0.06151909534994138</v>
      </c>
      <c r="J439">
        <v>0</v>
      </c>
      <c r="K439">
        <v>0.07758714541474365</v>
      </c>
      <c r="L439" t="s">
        <v>580</v>
      </c>
      <c r="M439" t="s">
        <v>825</v>
      </c>
      <c r="N439">
        <v>9.922699386503067</v>
      </c>
      <c r="O439">
        <v>8.15</v>
      </c>
      <c r="P439">
        <v>1.6</v>
      </c>
      <c r="Q439">
        <v>0.196319018404908</v>
      </c>
      <c r="R439">
        <v>0</v>
      </c>
      <c r="S439">
        <v>0.0204004858967195</v>
      </c>
      <c r="T439" t="s">
        <v>917</v>
      </c>
      <c r="U439">
        <v>-0.162757896808475</v>
      </c>
      <c r="V439" t="s">
        <v>1004</v>
      </c>
      <c r="W439" t="s">
        <v>1008</v>
      </c>
      <c r="X439" t="s">
        <v>1010</v>
      </c>
      <c r="Y439">
        <v>15759.961602</v>
      </c>
      <c r="Z439" s="2">
        <v>45149</v>
      </c>
      <c r="AA439" t="s">
        <v>1030</v>
      </c>
    </row>
    <row r="440" spans="1:27">
      <c r="A440" s="1" t="s">
        <v>465</v>
      </c>
      <c r="B440">
        <f>HYPERLINK("https://www.suredividend.com/sure-analysis-LEG/","Leggett &amp; Platt, Inc.")</f>
        <v>0</v>
      </c>
      <c r="C440" t="s">
        <v>899</v>
      </c>
      <c r="D440">
        <v>27</v>
      </c>
      <c r="E440">
        <v>25.83</v>
      </c>
      <c r="F440">
        <v>23</v>
      </c>
      <c r="G440">
        <v>1.12304347826087</v>
      </c>
      <c r="H440">
        <v>0.07123499806426636</v>
      </c>
      <c r="I440">
        <v>-0.02294123294918593</v>
      </c>
      <c r="J440">
        <v>0.04</v>
      </c>
      <c r="K440">
        <v>0.07713091988024989</v>
      </c>
      <c r="L440" t="s">
        <v>580</v>
      </c>
      <c r="M440" t="s">
        <v>901</v>
      </c>
      <c r="N440">
        <v>16.66451612903226</v>
      </c>
      <c r="O440">
        <v>1.55</v>
      </c>
      <c r="P440">
        <v>1.84</v>
      </c>
      <c r="Q440">
        <v>1.187096774193548</v>
      </c>
      <c r="R440">
        <v>52</v>
      </c>
      <c r="S440">
        <v>0.009596641525116301</v>
      </c>
      <c r="T440" t="s">
        <v>912</v>
      </c>
      <c r="U440">
        <v>-0.279865359096352</v>
      </c>
      <c r="V440" t="s">
        <v>1004</v>
      </c>
      <c r="W440" t="s">
        <v>1008</v>
      </c>
      <c r="X440" t="s">
        <v>1013</v>
      </c>
      <c r="Y440">
        <v>3556.292616</v>
      </c>
      <c r="Z440" s="2">
        <v>45159</v>
      </c>
      <c r="AA440" t="s">
        <v>1028</v>
      </c>
    </row>
    <row r="441" spans="1:27">
      <c r="A441" s="1" t="s">
        <v>466</v>
      </c>
      <c r="B441">
        <f>HYPERLINK("https://www.suredividend.com/sure-analysis-HPQ/","HP Inc")</f>
        <v>0</v>
      </c>
      <c r="C441" t="s">
        <v>899</v>
      </c>
      <c r="D441">
        <v>31</v>
      </c>
      <c r="E441">
        <v>28.33</v>
      </c>
      <c r="F441">
        <v>30</v>
      </c>
      <c r="G441">
        <v>0.9443333333333332</v>
      </c>
      <c r="H441">
        <v>0.03706318390398871</v>
      </c>
      <c r="I441">
        <v>0.01152107577113926</v>
      </c>
      <c r="J441">
        <v>0.03</v>
      </c>
      <c r="K441">
        <v>0.0770771598438833</v>
      </c>
      <c r="L441" t="s">
        <v>580</v>
      </c>
      <c r="M441" t="s">
        <v>580</v>
      </c>
      <c r="N441">
        <v>8.584848484848484</v>
      </c>
      <c r="O441">
        <v>3.3</v>
      </c>
      <c r="P441">
        <v>1.05</v>
      </c>
      <c r="Q441">
        <v>0.3181818181818182</v>
      </c>
      <c r="R441">
        <v>12</v>
      </c>
      <c r="S441">
        <v>0.06073271303853334</v>
      </c>
      <c r="T441" t="s">
        <v>976</v>
      </c>
      <c r="U441">
        <v>0.061492471619564</v>
      </c>
      <c r="V441" t="s">
        <v>1004</v>
      </c>
      <c r="W441" t="s">
        <v>1008</v>
      </c>
      <c r="X441" t="s">
        <v>1016</v>
      </c>
      <c r="Y441">
        <v>28600.498233</v>
      </c>
      <c r="Z441" s="2">
        <v>45170</v>
      </c>
      <c r="AA441" t="s">
        <v>1028</v>
      </c>
    </row>
    <row r="442" spans="1:27">
      <c r="A442" s="1" t="s">
        <v>467</v>
      </c>
      <c r="B442">
        <f>HYPERLINK("https://www.suredividend.com/sure-analysis-ROST/","Ross Stores, Inc.")</f>
        <v>0</v>
      </c>
      <c r="C442" t="s">
        <v>899</v>
      </c>
      <c r="D442">
        <v>119</v>
      </c>
      <c r="E442">
        <v>116.82</v>
      </c>
      <c r="F442">
        <v>99</v>
      </c>
      <c r="G442">
        <v>1.18</v>
      </c>
      <c r="H442">
        <v>0.01147063858928266</v>
      </c>
      <c r="I442">
        <v>-0.03256098310273881</v>
      </c>
      <c r="J442">
        <v>0.1</v>
      </c>
      <c r="K442">
        <v>0.07674372529792595</v>
      </c>
      <c r="L442" t="s">
        <v>580</v>
      </c>
      <c r="M442" t="s">
        <v>642</v>
      </c>
      <c r="N442">
        <v>22.20912547528517</v>
      </c>
      <c r="O442">
        <v>5.26</v>
      </c>
      <c r="P442">
        <v>1.34</v>
      </c>
      <c r="Q442">
        <v>0.2547528517110266</v>
      </c>
      <c r="R442">
        <v>3</v>
      </c>
      <c r="S442">
        <v>0.1236247289443668</v>
      </c>
      <c r="T442" t="s">
        <v>920</v>
      </c>
      <c r="U442">
        <v>0.260793682401386</v>
      </c>
      <c r="V442" t="s">
        <v>1004</v>
      </c>
      <c r="W442" t="s">
        <v>1008</v>
      </c>
      <c r="X442" t="s">
        <v>1013</v>
      </c>
      <c r="Y442">
        <v>40333.651101</v>
      </c>
      <c r="Z442" s="2">
        <v>45160</v>
      </c>
      <c r="AA442" t="s">
        <v>1022</v>
      </c>
    </row>
    <row r="443" spans="1:27">
      <c r="A443" s="1" t="s">
        <v>468</v>
      </c>
      <c r="B443">
        <f>HYPERLINK("https://www.suredividend.com/sure-analysis-AVA/","Avista Corp.")</f>
        <v>0</v>
      </c>
      <c r="C443" t="s">
        <v>899</v>
      </c>
      <c r="D443">
        <v>36</v>
      </c>
      <c r="E443">
        <v>34.25</v>
      </c>
      <c r="F443">
        <v>34</v>
      </c>
      <c r="G443">
        <v>1.007352941176471</v>
      </c>
      <c r="H443">
        <v>0.05372262773722628</v>
      </c>
      <c r="I443">
        <v>-0.001464135125213817</v>
      </c>
      <c r="J443">
        <v>0.03</v>
      </c>
      <c r="K443">
        <v>0.07630006223315844</v>
      </c>
      <c r="L443" t="s">
        <v>580</v>
      </c>
      <c r="M443" t="s">
        <v>902</v>
      </c>
      <c r="N443">
        <v>15.08810572687225</v>
      </c>
      <c r="O443">
        <v>2.27</v>
      </c>
      <c r="P443">
        <v>1.84</v>
      </c>
      <c r="Q443">
        <v>0.8105726872246697</v>
      </c>
      <c r="R443">
        <v>20</v>
      </c>
      <c r="S443">
        <v>0.02970389632989523</v>
      </c>
      <c r="T443" t="s">
        <v>932</v>
      </c>
      <c r="U443">
        <v>-0.140136191170188</v>
      </c>
      <c r="V443" t="s">
        <v>1004</v>
      </c>
      <c r="W443" t="s">
        <v>1008</v>
      </c>
      <c r="X443" t="s">
        <v>1018</v>
      </c>
      <c r="Y443">
        <v>2618.690496</v>
      </c>
      <c r="Z443" s="2">
        <v>45153</v>
      </c>
      <c r="AA443" t="s">
        <v>1025</v>
      </c>
    </row>
    <row r="444" spans="1:27">
      <c r="A444" s="1" t="s">
        <v>469</v>
      </c>
      <c r="B444">
        <f>HYPERLINK("https://www.suredividend.com/sure-analysis-ACI/","Albertsons Companies Inc")</f>
        <v>0</v>
      </c>
      <c r="C444" t="s">
        <v>899</v>
      </c>
      <c r="D444">
        <v>21</v>
      </c>
      <c r="E444">
        <v>23.72</v>
      </c>
      <c r="F444">
        <v>27</v>
      </c>
      <c r="G444">
        <v>0.8785185185185185</v>
      </c>
      <c r="H444">
        <v>0.02023608768971332</v>
      </c>
      <c r="I444">
        <v>0.02624207388156785</v>
      </c>
      <c r="J444">
        <v>0.03</v>
      </c>
      <c r="K444">
        <v>0.07425611560208334</v>
      </c>
      <c r="L444" t="s">
        <v>580</v>
      </c>
      <c r="M444" t="s">
        <v>825</v>
      </c>
      <c r="N444">
        <v>10.54222222222222</v>
      </c>
      <c r="O444">
        <v>2.25</v>
      </c>
      <c r="P444">
        <v>0.48</v>
      </c>
      <c r="Q444">
        <v>0.2133333333333333</v>
      </c>
      <c r="R444">
        <v>1</v>
      </c>
      <c r="S444">
        <v>0.03131030647754507</v>
      </c>
      <c r="T444" t="s">
        <v>933</v>
      </c>
      <c r="U444">
        <v>0.097480751234608</v>
      </c>
      <c r="V444" t="s">
        <v>1004</v>
      </c>
      <c r="W444" t="s">
        <v>1008</v>
      </c>
      <c r="X444" t="s">
        <v>1011</v>
      </c>
      <c r="Y444">
        <v>13637.844986</v>
      </c>
      <c r="Z444" s="2">
        <v>45138</v>
      </c>
      <c r="AA444" t="s">
        <v>1025</v>
      </c>
    </row>
    <row r="445" spans="1:27">
      <c r="A445" s="1" t="s">
        <v>470</v>
      </c>
      <c r="B445">
        <f>HYPERLINK("https://www.suredividend.com/sure-analysis-TDS/","Telephone And Data Systems, Inc.")</f>
        <v>0</v>
      </c>
      <c r="C445" t="s">
        <v>899</v>
      </c>
      <c r="D445">
        <v>17</v>
      </c>
      <c r="E445">
        <v>17.365</v>
      </c>
      <c r="F445">
        <v>19</v>
      </c>
      <c r="G445">
        <v>0.9139473684210525</v>
      </c>
      <c r="H445">
        <v>0.04261445436222287</v>
      </c>
      <c r="I445">
        <v>0.01815937066778694</v>
      </c>
      <c r="J445">
        <v>0.02</v>
      </c>
      <c r="K445">
        <v>0.07410611565989544</v>
      </c>
      <c r="L445" t="s">
        <v>580</v>
      </c>
      <c r="M445" t="s">
        <v>902</v>
      </c>
      <c r="N445">
        <v>23.15333333333333</v>
      </c>
      <c r="O445">
        <v>0.75</v>
      </c>
      <c r="P445">
        <v>0.74</v>
      </c>
      <c r="Q445">
        <v>0.9866666666666667</v>
      </c>
      <c r="R445">
        <v>49</v>
      </c>
      <c r="S445">
        <v>0.01316242385172517</v>
      </c>
      <c r="T445" t="s">
        <v>912</v>
      </c>
      <c r="U445">
        <v>0.152064688334118</v>
      </c>
      <c r="V445" t="s">
        <v>1004</v>
      </c>
      <c r="W445" t="s">
        <v>1008</v>
      </c>
      <c r="X445" t="s">
        <v>1017</v>
      </c>
      <c r="Y445">
        <v>1853.899794</v>
      </c>
      <c r="Z445" s="2">
        <v>45148</v>
      </c>
      <c r="AA445" t="s">
        <v>1026</v>
      </c>
    </row>
    <row r="446" spans="1:27">
      <c r="A446" s="1" t="s">
        <v>471</v>
      </c>
      <c r="B446">
        <f>HYPERLINK("https://www.suredividend.com/sure-analysis-PNW/","Pinnacle West Capital Corp.")</f>
        <v>0</v>
      </c>
      <c r="C446" t="s">
        <v>899</v>
      </c>
      <c r="D446">
        <v>77</v>
      </c>
      <c r="E446">
        <v>77.42</v>
      </c>
      <c r="F446">
        <v>72</v>
      </c>
      <c r="G446">
        <v>1.075277777777778</v>
      </c>
      <c r="H446">
        <v>0.04494962541978817</v>
      </c>
      <c r="I446">
        <v>-0.01441095884893884</v>
      </c>
      <c r="J446">
        <v>0.05</v>
      </c>
      <c r="K446">
        <v>0.07347073497357259</v>
      </c>
      <c r="L446" t="s">
        <v>580</v>
      </c>
      <c r="M446" t="s">
        <v>902</v>
      </c>
      <c r="N446">
        <v>18.43333333333333</v>
      </c>
      <c r="O446">
        <v>4.2</v>
      </c>
      <c r="P446">
        <v>3.48</v>
      </c>
      <c r="Q446">
        <v>0.8285714285714285</v>
      </c>
      <c r="R446">
        <v>11</v>
      </c>
      <c r="S446">
        <v>0.01988310171094443</v>
      </c>
      <c r="T446" t="s">
        <v>957</v>
      </c>
      <c r="U446">
        <v>0.02976461369016</v>
      </c>
      <c r="V446" t="s">
        <v>1004</v>
      </c>
      <c r="W446" t="s">
        <v>1008</v>
      </c>
      <c r="X446" t="s">
        <v>1018</v>
      </c>
      <c r="Y446">
        <v>8666.117285</v>
      </c>
      <c r="Z446" s="2">
        <v>45155</v>
      </c>
      <c r="AA446" t="s">
        <v>1027</v>
      </c>
    </row>
    <row r="447" spans="1:27">
      <c r="A447" s="1" t="s">
        <v>472</v>
      </c>
      <c r="B447">
        <f>HYPERLINK("https://www.suredividend.com/sure-analysis-CE/","Celanese Corp")</f>
        <v>0</v>
      </c>
      <c r="C447" t="s">
        <v>899</v>
      </c>
      <c r="D447">
        <v>119</v>
      </c>
      <c r="E447">
        <v>124.17</v>
      </c>
      <c r="F447">
        <v>102</v>
      </c>
      <c r="G447">
        <v>1.217352941176471</v>
      </c>
      <c r="H447">
        <v>0.022549730208585</v>
      </c>
      <c r="I447">
        <v>-0.03857215044078244</v>
      </c>
      <c r="J447">
        <v>0.09</v>
      </c>
      <c r="K447">
        <v>0.07194671236800576</v>
      </c>
      <c r="L447" t="s">
        <v>580</v>
      </c>
      <c r="M447" t="s">
        <v>825</v>
      </c>
      <c r="N447">
        <v>10.97877984084881</v>
      </c>
      <c r="O447">
        <v>11.31</v>
      </c>
      <c r="P447">
        <v>2.8</v>
      </c>
      <c r="Q447">
        <v>0.2475685234305924</v>
      </c>
      <c r="R447">
        <v>12</v>
      </c>
      <c r="S447">
        <v>0.1000279045625294</v>
      </c>
      <c r="T447" t="s">
        <v>918</v>
      </c>
      <c r="U447">
        <v>0.104923438514023</v>
      </c>
      <c r="V447" t="s">
        <v>1004</v>
      </c>
      <c r="W447" t="s">
        <v>1008</v>
      </c>
      <c r="X447" t="s">
        <v>1012</v>
      </c>
      <c r="Y447">
        <v>13714.291954</v>
      </c>
      <c r="Z447" s="2">
        <v>45155</v>
      </c>
      <c r="AA447" t="s">
        <v>1026</v>
      </c>
    </row>
    <row r="448" spans="1:27">
      <c r="A448" s="1" t="s">
        <v>473</v>
      </c>
      <c r="B448">
        <f>HYPERLINK("https://www.suredividend.com/sure-analysis-KNOP/","KNOT Offshore Partners LP")</f>
        <v>0</v>
      </c>
      <c r="C448" t="s">
        <v>898</v>
      </c>
      <c r="D448">
        <v>5.41</v>
      </c>
      <c r="E448">
        <v>6.21</v>
      </c>
      <c r="F448">
        <v>6.75</v>
      </c>
      <c r="G448">
        <v>0.92</v>
      </c>
      <c r="H448">
        <v>0.01610305958132045</v>
      </c>
      <c r="I448">
        <v>0.01681614782195462</v>
      </c>
      <c r="J448">
        <v>0</v>
      </c>
      <c r="K448">
        <v>0.07191088497353237</v>
      </c>
      <c r="L448" t="s">
        <v>580</v>
      </c>
      <c r="M448" t="s">
        <v>825</v>
      </c>
      <c r="N448">
        <v>4.6</v>
      </c>
      <c r="O448">
        <v>1.35</v>
      </c>
      <c r="P448">
        <v>0.1</v>
      </c>
      <c r="Q448">
        <v>0.07407407407407407</v>
      </c>
      <c r="R448">
        <v>0</v>
      </c>
      <c r="S448">
        <v>0.51190818528332</v>
      </c>
      <c r="T448" t="s">
        <v>958</v>
      </c>
      <c r="U448">
        <v>-0.576859633452212</v>
      </c>
      <c r="V448" t="s">
        <v>1006</v>
      </c>
      <c r="W448" t="s">
        <v>1009</v>
      </c>
      <c r="X448" t="s">
        <v>1012</v>
      </c>
      <c r="Y448">
        <v>220.952576</v>
      </c>
      <c r="Z448" s="2">
        <v>45172</v>
      </c>
      <c r="AA448" t="s">
        <v>1032</v>
      </c>
    </row>
    <row r="449" spans="1:27">
      <c r="A449" s="1" t="s">
        <v>474</v>
      </c>
      <c r="B449">
        <f>HYPERLINK("https://www.suredividend.com/sure-analysis-STN/","Stantec Inc")</f>
        <v>0</v>
      </c>
      <c r="C449" t="s">
        <v>899</v>
      </c>
      <c r="D449">
        <v>67</v>
      </c>
      <c r="E449">
        <v>66.02</v>
      </c>
      <c r="F449">
        <v>53</v>
      </c>
      <c r="G449">
        <v>1.24566037735849</v>
      </c>
      <c r="H449">
        <v>0.008785216601029992</v>
      </c>
      <c r="I449">
        <v>-0.04298208005067539</v>
      </c>
      <c r="J449">
        <v>0.11</v>
      </c>
      <c r="K449">
        <v>0.07043402350254957</v>
      </c>
      <c r="L449" t="s">
        <v>580</v>
      </c>
      <c r="M449" t="s">
        <v>642</v>
      </c>
      <c r="N449">
        <v>25.10266159695817</v>
      </c>
      <c r="O449">
        <v>2.63</v>
      </c>
      <c r="P449">
        <v>0.58</v>
      </c>
      <c r="Q449">
        <v>0.220532319391635</v>
      </c>
      <c r="R449">
        <v>11</v>
      </c>
      <c r="S449">
        <v>0.06104382402123121</v>
      </c>
      <c r="T449" t="s">
        <v>911</v>
      </c>
      <c r="U449">
        <v>0.348727464883929</v>
      </c>
      <c r="V449" t="s">
        <v>1004</v>
      </c>
      <c r="W449" t="s">
        <v>1009</v>
      </c>
      <c r="X449" t="s">
        <v>1012</v>
      </c>
      <c r="Y449">
        <v>7306.620188</v>
      </c>
      <c r="Z449" s="2">
        <v>45152</v>
      </c>
      <c r="AA449" t="s">
        <v>1032</v>
      </c>
    </row>
    <row r="450" spans="1:27">
      <c r="A450" s="1" t="s">
        <v>475</v>
      </c>
      <c r="B450">
        <f>HYPERLINK("https://www.suredividend.com/sure-analysis-DDS/","Dillard`s Inc.")</f>
        <v>0</v>
      </c>
      <c r="C450" t="s">
        <v>899</v>
      </c>
      <c r="D450">
        <v>346</v>
      </c>
      <c r="E450">
        <v>318.02</v>
      </c>
      <c r="F450">
        <v>418</v>
      </c>
      <c r="G450">
        <v>0.7608133971291866</v>
      </c>
      <c r="H450">
        <v>0.003144456323501667</v>
      </c>
      <c r="I450">
        <v>0.05619563836499331</v>
      </c>
      <c r="J450">
        <v>0.01</v>
      </c>
      <c r="K450">
        <v>0.06956548659428674</v>
      </c>
      <c r="L450" t="s">
        <v>580</v>
      </c>
      <c r="M450" t="s">
        <v>642</v>
      </c>
      <c r="N450">
        <v>7.608133971291866</v>
      </c>
      <c r="O450">
        <v>41.8</v>
      </c>
      <c r="P450">
        <v>1</v>
      </c>
      <c r="Q450">
        <v>0.02392344497607655</v>
      </c>
      <c r="R450">
        <v>1</v>
      </c>
      <c r="S450">
        <v>0.05061112176150684</v>
      </c>
      <c r="T450" t="s">
        <v>911</v>
      </c>
      <c r="U450">
        <v>0.07721864504501601</v>
      </c>
      <c r="V450" t="s">
        <v>1004</v>
      </c>
      <c r="W450" t="s">
        <v>1008</v>
      </c>
      <c r="X450" t="s">
        <v>1013</v>
      </c>
      <c r="Y450">
        <v>3987.92063</v>
      </c>
      <c r="Z450" s="2">
        <v>45170</v>
      </c>
      <c r="AA450" t="s">
        <v>1028</v>
      </c>
    </row>
    <row r="451" spans="1:27">
      <c r="A451" s="1" t="s">
        <v>476</v>
      </c>
      <c r="B451">
        <f>HYPERLINK("https://www.suredividend.com/sure-analysis-R/","Ryder System, Inc.")</f>
        <v>0</v>
      </c>
      <c r="C451" t="s">
        <v>899</v>
      </c>
      <c r="D451">
        <v>99</v>
      </c>
      <c r="E451">
        <v>100.37</v>
      </c>
      <c r="F451">
        <v>152</v>
      </c>
      <c r="G451">
        <v>0.6603289473684211</v>
      </c>
      <c r="H451">
        <v>0.02829530736275779</v>
      </c>
      <c r="I451">
        <v>0.08654553822252087</v>
      </c>
      <c r="J451">
        <v>-0.04</v>
      </c>
      <c r="K451">
        <v>0.06934631418604109</v>
      </c>
      <c r="L451" t="s">
        <v>580</v>
      </c>
      <c r="M451" t="s">
        <v>580</v>
      </c>
      <c r="N451">
        <v>7.903149606299213</v>
      </c>
      <c r="O451">
        <v>12.7</v>
      </c>
      <c r="P451">
        <v>2.84</v>
      </c>
      <c r="Q451">
        <v>0.2236220472440945</v>
      </c>
      <c r="R451">
        <v>19</v>
      </c>
      <c r="S451">
        <v>0.04856856082338212</v>
      </c>
      <c r="T451" t="s">
        <v>905</v>
      </c>
      <c r="U451">
        <v>0.268109159125621</v>
      </c>
      <c r="V451" t="s">
        <v>1004</v>
      </c>
      <c r="W451" t="s">
        <v>1008</v>
      </c>
      <c r="X451" t="s">
        <v>1012</v>
      </c>
      <c r="Y451">
        <v>4471.687674</v>
      </c>
      <c r="Z451" s="2">
        <v>45156</v>
      </c>
      <c r="AA451" t="s">
        <v>1022</v>
      </c>
    </row>
    <row r="452" spans="1:27">
      <c r="A452" s="1" t="s">
        <v>477</v>
      </c>
      <c r="B452">
        <f>HYPERLINK("https://www.suredividend.com/sure-analysis-NAVI/","Navient Corp")</f>
        <v>0</v>
      </c>
      <c r="C452" t="s">
        <v>899</v>
      </c>
      <c r="D452">
        <v>17</v>
      </c>
      <c r="E452">
        <v>17.33</v>
      </c>
      <c r="F452">
        <v>19</v>
      </c>
      <c r="G452">
        <v>0.9121052631578946</v>
      </c>
      <c r="H452">
        <v>0.03693017888055396</v>
      </c>
      <c r="I452">
        <v>0.01857029766940688</v>
      </c>
      <c r="J452">
        <v>0.02</v>
      </c>
      <c r="K452">
        <v>0.06886459686646718</v>
      </c>
      <c r="L452" t="s">
        <v>580</v>
      </c>
      <c r="M452" t="s">
        <v>580</v>
      </c>
      <c r="N452">
        <v>5.365325077399381</v>
      </c>
      <c r="O452">
        <v>3.23</v>
      </c>
      <c r="P452">
        <v>0.64</v>
      </c>
      <c r="Q452">
        <v>0.1981424148606811</v>
      </c>
      <c r="R452">
        <v>0</v>
      </c>
      <c r="S452">
        <v>0</v>
      </c>
      <c r="T452" t="s">
        <v>916</v>
      </c>
      <c r="U452">
        <v>0.253846042728993</v>
      </c>
      <c r="V452" t="s">
        <v>1004</v>
      </c>
      <c r="W452" t="s">
        <v>1008</v>
      </c>
      <c r="X452" t="s">
        <v>1015</v>
      </c>
      <c r="Y452">
        <v>2111.008359</v>
      </c>
      <c r="Z452" s="2">
        <v>45159</v>
      </c>
      <c r="AA452" t="s">
        <v>1028</v>
      </c>
    </row>
    <row r="453" spans="1:27">
      <c r="A453" s="1" t="s">
        <v>478</v>
      </c>
      <c r="B453">
        <f>HYPERLINK("https://www.suredividend.com/sure-analysis-AVT/","Avnet Inc.")</f>
        <v>0</v>
      </c>
      <c r="C453" t="s">
        <v>899</v>
      </c>
      <c r="D453">
        <v>51</v>
      </c>
      <c r="E453">
        <v>47.46</v>
      </c>
      <c r="F453">
        <v>46</v>
      </c>
      <c r="G453">
        <v>1.031739130434783</v>
      </c>
      <c r="H453">
        <v>0.02612726506531816</v>
      </c>
      <c r="I453">
        <v>-0.006229685445660493</v>
      </c>
      <c r="J453">
        <v>0.05</v>
      </c>
      <c r="K453">
        <v>0.06784029347578491</v>
      </c>
      <c r="L453" t="s">
        <v>580</v>
      </c>
      <c r="M453" t="s">
        <v>825</v>
      </c>
      <c r="N453">
        <v>8.282722513089006</v>
      </c>
      <c r="O453">
        <v>5.73</v>
      </c>
      <c r="P453">
        <v>1.24</v>
      </c>
      <c r="Q453">
        <v>0.2164048865619546</v>
      </c>
      <c r="R453">
        <v>10</v>
      </c>
      <c r="S453">
        <v>0.04965621207400783</v>
      </c>
      <c r="T453" t="s">
        <v>976</v>
      </c>
      <c r="U453">
        <v>0.166304070396343</v>
      </c>
      <c r="V453" t="s">
        <v>1004</v>
      </c>
      <c r="W453" t="s">
        <v>1008</v>
      </c>
      <c r="X453" t="s">
        <v>1016</v>
      </c>
      <c r="Y453">
        <v>4389.7472</v>
      </c>
      <c r="Z453" s="2">
        <v>45174</v>
      </c>
      <c r="AA453" t="s">
        <v>1024</v>
      </c>
    </row>
    <row r="454" spans="1:27">
      <c r="A454" s="1" t="s">
        <v>479</v>
      </c>
      <c r="B454">
        <f>HYPERLINK("https://www.suredividend.com/sure-analysis-TRTN/","Triton International Ltd")</f>
        <v>0</v>
      </c>
      <c r="C454" t="s">
        <v>899</v>
      </c>
      <c r="D454">
        <v>84</v>
      </c>
      <c r="E454">
        <v>82.75</v>
      </c>
      <c r="F454">
        <v>84</v>
      </c>
      <c r="G454">
        <v>0.9851190476190477</v>
      </c>
      <c r="H454">
        <v>0.0338368580060423</v>
      </c>
      <c r="I454">
        <v>0.003003057085900984</v>
      </c>
      <c r="J454">
        <v>0.03</v>
      </c>
      <c r="K454">
        <v>0.0673221368318524</v>
      </c>
      <c r="L454" t="s">
        <v>580</v>
      </c>
      <c r="M454" t="s">
        <v>580</v>
      </c>
      <c r="N454">
        <v>8.073170731707316</v>
      </c>
      <c r="O454">
        <v>10.25</v>
      </c>
      <c r="P454">
        <v>2.8</v>
      </c>
      <c r="Q454">
        <v>0.273170731707317</v>
      </c>
      <c r="R454">
        <v>7</v>
      </c>
      <c r="S454">
        <v>0.07015553929861928</v>
      </c>
      <c r="T454" t="s">
        <v>924</v>
      </c>
      <c r="U454">
        <v>0.376699306175404</v>
      </c>
      <c r="V454" t="s">
        <v>1004</v>
      </c>
      <c r="W454" t="s">
        <v>1009</v>
      </c>
      <c r="X454" t="s">
        <v>1012</v>
      </c>
      <c r="Y454">
        <v>4568.975057</v>
      </c>
      <c r="Z454" s="2">
        <v>45140</v>
      </c>
      <c r="AA454" t="s">
        <v>1032</v>
      </c>
    </row>
    <row r="455" spans="1:27">
      <c r="A455" s="1" t="s">
        <v>480</v>
      </c>
      <c r="B455">
        <f>HYPERLINK("https://www.suredividend.com/sure-analysis-UBS/","UBS Group AG")</f>
        <v>0</v>
      </c>
      <c r="C455" t="s">
        <v>899</v>
      </c>
      <c r="D455">
        <v>26</v>
      </c>
      <c r="E455">
        <v>25.99</v>
      </c>
      <c r="F455">
        <v>27</v>
      </c>
      <c r="G455">
        <v>0.9625925925925926</v>
      </c>
      <c r="H455">
        <v>0.02116198537899192</v>
      </c>
      <c r="I455">
        <v>0.007654147837353964</v>
      </c>
      <c r="J455">
        <v>0.04</v>
      </c>
      <c r="K455">
        <v>0.06703560986425194</v>
      </c>
      <c r="L455" t="s">
        <v>580</v>
      </c>
      <c r="M455" t="s">
        <v>825</v>
      </c>
      <c r="N455">
        <v>10.82916666666667</v>
      </c>
      <c r="O455">
        <v>2.4</v>
      </c>
      <c r="P455">
        <v>0.55</v>
      </c>
      <c r="Q455">
        <v>0.2291666666666667</v>
      </c>
      <c r="R455">
        <v>2</v>
      </c>
      <c r="S455">
        <v>0.04026125343417397</v>
      </c>
      <c r="T455" t="s">
        <v>979</v>
      </c>
      <c r="U455">
        <v>0.5478055250475621</v>
      </c>
      <c r="V455" t="s">
        <v>1004</v>
      </c>
      <c r="W455" t="s">
        <v>1009</v>
      </c>
      <c r="X455" t="s">
        <v>1015</v>
      </c>
      <c r="Y455">
        <v>89287.24235</v>
      </c>
      <c r="Z455" s="2">
        <v>45170</v>
      </c>
      <c r="AA455" t="s">
        <v>1022</v>
      </c>
    </row>
    <row r="456" spans="1:27">
      <c r="A456" s="1" t="s">
        <v>481</v>
      </c>
      <c r="B456">
        <f>HYPERLINK("https://www.suredividend.com/sure-analysis-OLN/","Olin Corp.")</f>
        <v>0</v>
      </c>
      <c r="C456" t="s">
        <v>899</v>
      </c>
      <c r="D456">
        <v>58</v>
      </c>
      <c r="E456">
        <v>50.14</v>
      </c>
      <c r="F456">
        <v>56</v>
      </c>
      <c r="G456">
        <v>0.8953571428571429</v>
      </c>
      <c r="H456">
        <v>0.0159553250897487</v>
      </c>
      <c r="I456">
        <v>0.02235267927009743</v>
      </c>
      <c r="J456">
        <v>0.03</v>
      </c>
      <c r="K456">
        <v>0.06569116746179549</v>
      </c>
      <c r="L456" t="s">
        <v>580</v>
      </c>
      <c r="M456" t="s">
        <v>642</v>
      </c>
      <c r="N456">
        <v>12.14043583535109</v>
      </c>
      <c r="O456">
        <v>4.13</v>
      </c>
      <c r="P456">
        <v>0.8</v>
      </c>
      <c r="Q456">
        <v>0.1937046004842615</v>
      </c>
      <c r="R456">
        <v>0</v>
      </c>
      <c r="S456">
        <v>0</v>
      </c>
      <c r="T456" t="s">
        <v>906</v>
      </c>
      <c r="U456">
        <v>-0.087160187372382</v>
      </c>
      <c r="V456" t="s">
        <v>1004</v>
      </c>
      <c r="W456" t="s">
        <v>1008</v>
      </c>
      <c r="X456" t="s">
        <v>1010</v>
      </c>
      <c r="Y456">
        <v>6311.448362</v>
      </c>
      <c r="Z456" s="2">
        <v>45141</v>
      </c>
      <c r="AA456" t="s">
        <v>1026</v>
      </c>
    </row>
    <row r="457" spans="1:27">
      <c r="A457" s="1" t="s">
        <v>482</v>
      </c>
      <c r="B457">
        <f>HYPERLINK("https://www.suredividend.com/sure-analysis-APOG/","Apogee Enterprises Inc.")</f>
        <v>0</v>
      </c>
      <c r="C457" t="s">
        <v>899</v>
      </c>
      <c r="D457">
        <v>48</v>
      </c>
      <c r="E457">
        <v>47.81</v>
      </c>
      <c r="F457">
        <v>47</v>
      </c>
      <c r="G457">
        <v>1.017234042553192</v>
      </c>
      <c r="H457">
        <v>0.02007948128006693</v>
      </c>
      <c r="I457">
        <v>-0.003411611369542822</v>
      </c>
      <c r="J457">
        <v>0.05</v>
      </c>
      <c r="K457">
        <v>0.0656645349184326</v>
      </c>
      <c r="L457" t="s">
        <v>580</v>
      </c>
      <c r="M457" t="s">
        <v>825</v>
      </c>
      <c r="N457">
        <v>11.11860465116279</v>
      </c>
      <c r="O457">
        <v>4.3</v>
      </c>
      <c r="P457">
        <v>0.96</v>
      </c>
      <c r="Q457">
        <v>0.2232558139534884</v>
      </c>
      <c r="R457">
        <v>10</v>
      </c>
      <c r="S457">
        <v>0.05922384104881218</v>
      </c>
      <c r="T457" t="s">
        <v>953</v>
      </c>
      <c r="U457">
        <v>0.20666276885566</v>
      </c>
      <c r="V457" t="s">
        <v>1004</v>
      </c>
      <c r="W457" t="s">
        <v>1008</v>
      </c>
      <c r="X457" t="s">
        <v>1012</v>
      </c>
      <c r="Y457">
        <v>1070.7636</v>
      </c>
      <c r="Z457" s="2">
        <v>45112</v>
      </c>
      <c r="AA457" t="s">
        <v>1026</v>
      </c>
    </row>
    <row r="458" spans="1:27">
      <c r="A458" s="1" t="s">
        <v>483</v>
      </c>
      <c r="B458">
        <f>HYPERLINK("https://www.suredividend.com/sure-analysis-PACW/","Pacwest Bancorp")</f>
        <v>0</v>
      </c>
      <c r="C458" t="s">
        <v>900</v>
      </c>
      <c r="D458">
        <v>10</v>
      </c>
      <c r="E458">
        <v>8.039999999999999</v>
      </c>
      <c r="F458">
        <v>8.5</v>
      </c>
      <c r="G458">
        <v>0.9458823529411764</v>
      </c>
      <c r="H458">
        <v>0.004975124378109454</v>
      </c>
      <c r="I458">
        <v>0.01118955602704474</v>
      </c>
      <c r="J458">
        <v>0.05</v>
      </c>
      <c r="K458">
        <v>0.06563534137392391</v>
      </c>
      <c r="L458" t="s">
        <v>580</v>
      </c>
      <c r="M458" t="s">
        <v>642</v>
      </c>
      <c r="N458">
        <v>8.039999999999999</v>
      </c>
      <c r="O458">
        <v>1</v>
      </c>
      <c r="P458">
        <v>0.04</v>
      </c>
      <c r="Q458">
        <v>0.04</v>
      </c>
      <c r="R458">
        <v>0</v>
      </c>
      <c r="S458">
        <v>0</v>
      </c>
      <c r="T458" t="s">
        <v>917</v>
      </c>
      <c r="U458">
        <v>-0.6947824293668791</v>
      </c>
      <c r="V458" t="s">
        <v>1004</v>
      </c>
      <c r="W458" t="s">
        <v>1008</v>
      </c>
      <c r="X458" t="s">
        <v>1015</v>
      </c>
      <c r="Y458">
        <v>964.938205</v>
      </c>
      <c r="Z458" s="2">
        <v>45134</v>
      </c>
      <c r="AA458" t="s">
        <v>1030</v>
      </c>
    </row>
    <row r="459" spans="1:27">
      <c r="A459" s="1" t="s">
        <v>484</v>
      </c>
      <c r="B459">
        <f>HYPERLINK("https://www.suredividend.com/sure-analysis-DUK/","Duke Energy Corp.")</f>
        <v>0</v>
      </c>
      <c r="C459" t="s">
        <v>899</v>
      </c>
      <c r="D459">
        <v>90.3</v>
      </c>
      <c r="E459">
        <v>93.88</v>
      </c>
      <c r="F459">
        <v>84.90000000000001</v>
      </c>
      <c r="G459">
        <v>1.105771495877503</v>
      </c>
      <c r="H459">
        <v>0.04367277375372816</v>
      </c>
      <c r="I459">
        <v>-0.01990782491672549</v>
      </c>
      <c r="J459">
        <v>0.046</v>
      </c>
      <c r="K459">
        <v>0.06496766099963702</v>
      </c>
      <c r="L459" t="s">
        <v>580</v>
      </c>
      <c r="M459" t="s">
        <v>902</v>
      </c>
      <c r="N459">
        <v>16.58657243816254</v>
      </c>
      <c r="O459">
        <v>5.66</v>
      </c>
      <c r="P459">
        <v>4.1</v>
      </c>
      <c r="Q459">
        <v>0.724381625441696</v>
      </c>
      <c r="R459">
        <v>12</v>
      </c>
      <c r="S459">
        <v>0.02812852842003055</v>
      </c>
      <c r="T459" t="s">
        <v>932</v>
      </c>
      <c r="U459">
        <v>-0.133623442200965</v>
      </c>
      <c r="V459" t="s">
        <v>1004</v>
      </c>
      <c r="W459" t="s">
        <v>1008</v>
      </c>
      <c r="X459" t="s">
        <v>1018</v>
      </c>
      <c r="Y459">
        <v>70997.57904500001</v>
      </c>
      <c r="Z459" s="2">
        <v>45167</v>
      </c>
      <c r="AA459" t="s">
        <v>1033</v>
      </c>
    </row>
    <row r="460" spans="1:27">
      <c r="A460" s="1" t="s">
        <v>485</v>
      </c>
      <c r="B460">
        <f>HYPERLINK("https://www.suredividend.com/sure-analysis-HAL/","Halliburton Co.")</f>
        <v>0</v>
      </c>
      <c r="C460" t="s">
        <v>899</v>
      </c>
      <c r="D460">
        <v>38</v>
      </c>
      <c r="E460">
        <v>41.9</v>
      </c>
      <c r="F460">
        <v>40</v>
      </c>
      <c r="G460">
        <v>1.0475</v>
      </c>
      <c r="H460">
        <v>0.0152744630071599</v>
      </c>
      <c r="I460">
        <v>-0.00923833647681116</v>
      </c>
      <c r="J460">
        <v>0.06</v>
      </c>
      <c r="K460">
        <v>0.06421269428941212</v>
      </c>
      <c r="L460" t="s">
        <v>580</v>
      </c>
      <c r="M460" t="s">
        <v>642</v>
      </c>
      <c r="N460">
        <v>13.73770491803279</v>
      </c>
      <c r="O460">
        <v>3.05</v>
      </c>
      <c r="P460">
        <v>0.64</v>
      </c>
      <c r="Q460">
        <v>0.2098360655737705</v>
      </c>
      <c r="R460">
        <v>2</v>
      </c>
      <c r="S460">
        <v>0.04563955259127317</v>
      </c>
      <c r="T460" t="s">
        <v>940</v>
      </c>
      <c r="U460">
        <v>0.4226556911265371</v>
      </c>
      <c r="V460" t="s">
        <v>1004</v>
      </c>
      <c r="W460" t="s">
        <v>1008</v>
      </c>
      <c r="X460" t="s">
        <v>1020</v>
      </c>
      <c r="Y460">
        <v>38062.420463</v>
      </c>
      <c r="Z460" s="2">
        <v>45126</v>
      </c>
      <c r="AA460" t="s">
        <v>1022</v>
      </c>
    </row>
    <row r="461" spans="1:27">
      <c r="A461" s="1" t="s">
        <v>486</v>
      </c>
      <c r="B461">
        <f>HYPERLINK("https://www.suredividend.com/sure-analysis-SAXPY/","Sampo Plc")</f>
        <v>0</v>
      </c>
      <c r="C461" t="s">
        <v>899</v>
      </c>
      <c r="D461">
        <v>21.89</v>
      </c>
      <c r="E461">
        <v>21.9</v>
      </c>
      <c r="F461">
        <v>19.8</v>
      </c>
      <c r="G461">
        <v>1.106060606060606</v>
      </c>
      <c r="H461">
        <v>0.06347031963470319</v>
      </c>
      <c r="I461">
        <v>-0.01995906700190775</v>
      </c>
      <c r="J461">
        <v>0.025</v>
      </c>
      <c r="K461">
        <v>0.06413409170347761</v>
      </c>
      <c r="L461" t="s">
        <v>580</v>
      </c>
      <c r="M461" t="s">
        <v>901</v>
      </c>
      <c r="N461">
        <v>1.216666666666667</v>
      </c>
      <c r="O461">
        <v>18</v>
      </c>
      <c r="P461">
        <v>1.39</v>
      </c>
      <c r="Q461">
        <v>0.07722222222222222</v>
      </c>
      <c r="R461">
        <v>0</v>
      </c>
      <c r="S461">
        <v>0.02465336452545563</v>
      </c>
      <c r="T461" t="s">
        <v>980</v>
      </c>
      <c r="U461">
        <v>-0.056160208968219</v>
      </c>
      <c r="V461" t="s">
        <v>1004</v>
      </c>
      <c r="W461" t="s">
        <v>1009</v>
      </c>
      <c r="X461" t="s">
        <v>1015</v>
      </c>
      <c r="Y461">
        <v>22155.996064</v>
      </c>
      <c r="Z461" s="2">
        <v>45175</v>
      </c>
      <c r="AA461" t="s">
        <v>1021</v>
      </c>
    </row>
    <row r="462" spans="1:27">
      <c r="A462" s="1" t="s">
        <v>487</v>
      </c>
      <c r="B462">
        <f>HYPERLINK("https://www.suredividend.com/sure-analysis-SO/","Southern Company")</f>
        <v>0</v>
      </c>
      <c r="C462" t="s">
        <v>899</v>
      </c>
      <c r="D462">
        <v>68</v>
      </c>
      <c r="E462">
        <v>69.5</v>
      </c>
      <c r="F462">
        <v>62</v>
      </c>
      <c r="G462">
        <v>1.120967741935484</v>
      </c>
      <c r="H462">
        <v>0.04028776978417266</v>
      </c>
      <c r="I462">
        <v>-0.02257964969368143</v>
      </c>
      <c r="J462">
        <v>0.05</v>
      </c>
      <c r="K462">
        <v>0.06347019687450794</v>
      </c>
      <c r="L462" t="s">
        <v>580</v>
      </c>
      <c r="M462" t="s">
        <v>902</v>
      </c>
      <c r="N462">
        <v>19.19889502762431</v>
      </c>
      <c r="O462">
        <v>3.62</v>
      </c>
      <c r="P462">
        <v>2.8</v>
      </c>
      <c r="Q462">
        <v>0.7734806629834253</v>
      </c>
      <c r="R462">
        <v>22</v>
      </c>
      <c r="S462">
        <v>0.03215082129087299</v>
      </c>
      <c r="T462" t="s">
        <v>905</v>
      </c>
      <c r="U462">
        <v>-0.108605851755695</v>
      </c>
      <c r="V462" t="s">
        <v>1004</v>
      </c>
      <c r="W462" t="s">
        <v>1008</v>
      </c>
      <c r="X462" t="s">
        <v>1018</v>
      </c>
      <c r="Y462">
        <v>74811.49531899999</v>
      </c>
      <c r="Z462" s="2">
        <v>45155</v>
      </c>
      <c r="AA462" t="s">
        <v>1022</v>
      </c>
    </row>
    <row r="463" spans="1:27">
      <c r="A463" s="1" t="s">
        <v>488</v>
      </c>
      <c r="B463">
        <f>HYPERLINK("https://www.suredividend.com/sure-analysis-STZ/","Constellation Brands Inc")</f>
        <v>0</v>
      </c>
      <c r="C463" t="s">
        <v>899</v>
      </c>
      <c r="D463">
        <v>247</v>
      </c>
      <c r="E463">
        <v>260.18</v>
      </c>
      <c r="F463">
        <v>237</v>
      </c>
      <c r="G463">
        <v>1.097805907172996</v>
      </c>
      <c r="H463">
        <v>0.01368283496041202</v>
      </c>
      <c r="I463">
        <v>-0.01848964153004762</v>
      </c>
      <c r="J463">
        <v>0.07000000000000001</v>
      </c>
      <c r="K463">
        <v>0.06331946667622446</v>
      </c>
      <c r="L463" t="s">
        <v>580</v>
      </c>
      <c r="M463" t="s">
        <v>642</v>
      </c>
      <c r="N463">
        <v>21.95611814345992</v>
      </c>
      <c r="O463">
        <v>11.85</v>
      </c>
      <c r="P463">
        <v>3.56</v>
      </c>
      <c r="Q463">
        <v>0.3004219409282701</v>
      </c>
      <c r="R463">
        <v>8</v>
      </c>
      <c r="S463">
        <v>0.05981824312960904</v>
      </c>
      <c r="T463" t="s">
        <v>906</v>
      </c>
      <c r="U463">
        <v>0.06573003549980401</v>
      </c>
      <c r="V463" t="s">
        <v>1004</v>
      </c>
      <c r="W463" t="s">
        <v>1008</v>
      </c>
      <c r="X463" t="s">
        <v>1011</v>
      </c>
      <c r="Y463">
        <v>47780.811</v>
      </c>
      <c r="Z463" s="2">
        <v>45112</v>
      </c>
      <c r="AA463" t="s">
        <v>1026</v>
      </c>
    </row>
    <row r="464" spans="1:27">
      <c r="A464" s="1" t="s">
        <v>489</v>
      </c>
      <c r="B464">
        <f>HYPERLINK("https://www.suredividend.com/sure-analysis-EQNR/","Equinor ASA")</f>
        <v>0</v>
      </c>
      <c r="C464" t="s">
        <v>898</v>
      </c>
      <c r="D464">
        <v>31</v>
      </c>
      <c r="E464">
        <v>32.49</v>
      </c>
      <c r="F464">
        <v>50</v>
      </c>
      <c r="G464">
        <v>0.6498</v>
      </c>
      <c r="H464">
        <v>0.03693444136657432</v>
      </c>
      <c r="I464">
        <v>0.09004407494120592</v>
      </c>
      <c r="J464">
        <v>-0.07000000000000001</v>
      </c>
      <c r="K464">
        <v>0.0629133259958039</v>
      </c>
      <c r="L464" t="s">
        <v>580</v>
      </c>
      <c r="M464" t="s">
        <v>580</v>
      </c>
      <c r="N464">
        <v>6.498</v>
      </c>
      <c r="O464">
        <v>5</v>
      </c>
      <c r="P464">
        <v>1.2</v>
      </c>
      <c r="Q464">
        <v>0.24</v>
      </c>
      <c r="R464">
        <v>3</v>
      </c>
      <c r="S464">
        <v>0.1496540121887568</v>
      </c>
      <c r="T464" t="s">
        <v>917</v>
      </c>
      <c r="U464">
        <v>-0.039062407885583</v>
      </c>
      <c r="V464" t="s">
        <v>1004</v>
      </c>
      <c r="W464" t="s">
        <v>1009</v>
      </c>
      <c r="X464" t="s">
        <v>1020</v>
      </c>
      <c r="Y464">
        <v>97901.210123</v>
      </c>
      <c r="Z464" s="2">
        <v>45133</v>
      </c>
      <c r="AA464" t="s">
        <v>1032</v>
      </c>
    </row>
    <row r="465" spans="1:27">
      <c r="A465" s="1" t="s">
        <v>490</v>
      </c>
      <c r="B465">
        <f>HYPERLINK("https://www.suredividend.com/sure-analysis-MMC/","Marsh &amp; McLennan Cos., Inc.")</f>
        <v>0</v>
      </c>
      <c r="C465" t="s">
        <v>899</v>
      </c>
      <c r="D465">
        <v>190</v>
      </c>
      <c r="E465">
        <v>196.78</v>
      </c>
      <c r="F465">
        <v>173</v>
      </c>
      <c r="G465">
        <v>1.137456647398844</v>
      </c>
      <c r="H465">
        <v>0.014432361012298</v>
      </c>
      <c r="I465">
        <v>-0.02543002035120578</v>
      </c>
      <c r="J465">
        <v>0.075</v>
      </c>
      <c r="K465">
        <v>0.06160219098694508</v>
      </c>
      <c r="L465" t="s">
        <v>580</v>
      </c>
      <c r="M465" t="s">
        <v>642</v>
      </c>
      <c r="N465">
        <v>25.55584415584416</v>
      </c>
      <c r="O465">
        <v>7.7</v>
      </c>
      <c r="P465">
        <v>2.84</v>
      </c>
      <c r="Q465">
        <v>0.3688311688311688</v>
      </c>
      <c r="R465">
        <v>13</v>
      </c>
      <c r="S465">
        <v>0.05996872493653238</v>
      </c>
      <c r="T465" t="s">
        <v>958</v>
      </c>
      <c r="U465">
        <v>0.192874989925042</v>
      </c>
      <c r="V465" t="s">
        <v>1004</v>
      </c>
      <c r="W465" t="s">
        <v>1008</v>
      </c>
      <c r="X465" t="s">
        <v>1015</v>
      </c>
      <c r="Y465">
        <v>97229.852016</v>
      </c>
      <c r="Z465" s="2">
        <v>45134</v>
      </c>
      <c r="AA465" t="s">
        <v>1026</v>
      </c>
    </row>
    <row r="466" spans="1:27">
      <c r="A466" s="1" t="s">
        <v>491</v>
      </c>
      <c r="B466">
        <f>HYPERLINK("https://www.suredividend.com/sure-analysis-DHI/","D.R. Horton Inc.")</f>
        <v>0</v>
      </c>
      <c r="C466" t="s">
        <v>899</v>
      </c>
      <c r="D466">
        <v>127</v>
      </c>
      <c r="E466">
        <v>113.86</v>
      </c>
      <c r="F466">
        <v>119</v>
      </c>
      <c r="G466">
        <v>0.9568067226890756</v>
      </c>
      <c r="H466">
        <v>0.008782715615668365</v>
      </c>
      <c r="I466">
        <v>0.008869880229951166</v>
      </c>
      <c r="J466">
        <v>0.04</v>
      </c>
      <c r="K466">
        <v>0.05878058226933458</v>
      </c>
      <c r="L466" t="s">
        <v>580</v>
      </c>
      <c r="M466" t="s">
        <v>642</v>
      </c>
      <c r="N466">
        <v>8.593207547169811</v>
      </c>
      <c r="O466">
        <v>13.25</v>
      </c>
      <c r="P466">
        <v>1</v>
      </c>
      <c r="Q466">
        <v>0.07547169811320754</v>
      </c>
      <c r="R466">
        <v>8</v>
      </c>
      <c r="S466">
        <v>0.09993032380125255</v>
      </c>
      <c r="T466" t="s">
        <v>910</v>
      </c>
      <c r="U466">
        <v>0.563128493143587</v>
      </c>
      <c r="V466" t="s">
        <v>1004</v>
      </c>
      <c r="W466" t="s">
        <v>1008</v>
      </c>
      <c r="X466" t="s">
        <v>1013</v>
      </c>
      <c r="Y466">
        <v>38782.318097</v>
      </c>
      <c r="Z466" s="2">
        <v>45134</v>
      </c>
      <c r="AA466" t="s">
        <v>1026</v>
      </c>
    </row>
    <row r="467" spans="1:27">
      <c r="A467" s="1" t="s">
        <v>492</v>
      </c>
      <c r="B467">
        <f>HYPERLINK("https://www.suredividend.com/sure-analysis-POOL/","Pool Corporation")</f>
        <v>0</v>
      </c>
      <c r="C467" t="s">
        <v>899</v>
      </c>
      <c r="D467">
        <v>381</v>
      </c>
      <c r="E467">
        <v>348.76</v>
      </c>
      <c r="F467">
        <v>324</v>
      </c>
      <c r="G467">
        <v>1.07641975308642</v>
      </c>
      <c r="H467">
        <v>0.01261612570248882</v>
      </c>
      <c r="I467">
        <v>-0.01462017022324169</v>
      </c>
      <c r="J467">
        <v>0.06</v>
      </c>
      <c r="K467">
        <v>0.05837075307817496</v>
      </c>
      <c r="L467" t="s">
        <v>580</v>
      </c>
      <c r="M467" t="s">
        <v>642</v>
      </c>
      <c r="N467">
        <v>25.83407407407407</v>
      </c>
      <c r="O467">
        <v>13.5</v>
      </c>
      <c r="P467">
        <v>4.4</v>
      </c>
      <c r="Q467">
        <v>0.325925925925926</v>
      </c>
      <c r="R467">
        <v>13</v>
      </c>
      <c r="S467">
        <v>0.1001165843093035</v>
      </c>
      <c r="T467" t="s">
        <v>906</v>
      </c>
      <c r="U467">
        <v>-0.0105793193204</v>
      </c>
      <c r="V467" t="s">
        <v>1004</v>
      </c>
      <c r="W467" t="s">
        <v>1008</v>
      </c>
      <c r="X467" t="s">
        <v>1013</v>
      </c>
      <c r="Y467">
        <v>13597.505782</v>
      </c>
      <c r="Z467" s="2">
        <v>45143</v>
      </c>
      <c r="AA467" t="s">
        <v>1026</v>
      </c>
    </row>
    <row r="468" spans="1:27">
      <c r="A468" s="1" t="s">
        <v>493</v>
      </c>
      <c r="B468">
        <f>HYPERLINK("https://www.suredividend.com/sure-analysis-BWA/","BorgWarner Inc")</f>
        <v>0</v>
      </c>
      <c r="C468" t="s">
        <v>899</v>
      </c>
      <c r="D468">
        <v>43</v>
      </c>
      <c r="E468">
        <v>40.41</v>
      </c>
      <c r="F468">
        <v>40</v>
      </c>
      <c r="G468">
        <v>1.01025</v>
      </c>
      <c r="H468">
        <v>0.01088839396189062</v>
      </c>
      <c r="I468">
        <v>-0.002037486495922503</v>
      </c>
      <c r="J468">
        <v>0.05</v>
      </c>
      <c r="K468">
        <v>0.05674015785982278</v>
      </c>
      <c r="L468" t="s">
        <v>580</v>
      </c>
      <c r="M468" t="s">
        <v>642</v>
      </c>
      <c r="N468">
        <v>10.98097826086956</v>
      </c>
      <c r="O468">
        <v>3.68</v>
      </c>
      <c r="P468">
        <v>0.44</v>
      </c>
      <c r="Q468">
        <v>0.1195652173913043</v>
      </c>
      <c r="R468">
        <v>0</v>
      </c>
      <c r="S468">
        <v>0</v>
      </c>
      <c r="T468" t="s">
        <v>916</v>
      </c>
      <c r="U468">
        <v>0.06302006726803301</v>
      </c>
      <c r="V468" t="s">
        <v>1004</v>
      </c>
      <c r="W468" t="s">
        <v>1008</v>
      </c>
      <c r="X468" t="s">
        <v>1012</v>
      </c>
      <c r="Y468">
        <v>9717.505246999999</v>
      </c>
      <c r="Z468" s="2">
        <v>45146</v>
      </c>
      <c r="AA468" t="s">
        <v>1021</v>
      </c>
    </row>
    <row r="469" spans="1:27">
      <c r="A469" s="1" t="s">
        <v>494</v>
      </c>
      <c r="B469">
        <f>HYPERLINK("https://www.suredividend.com/sure-analysis-JPM/","JPMorgan Chase &amp; Co.")</f>
        <v>0</v>
      </c>
      <c r="C469" t="s">
        <v>899</v>
      </c>
      <c r="D469">
        <v>150</v>
      </c>
      <c r="E469">
        <v>146.41</v>
      </c>
      <c r="F469">
        <v>177</v>
      </c>
      <c r="G469">
        <v>0.8271751412429378</v>
      </c>
      <c r="H469">
        <v>0.02868656512533297</v>
      </c>
      <c r="I469">
        <v>0.03867697666161862</v>
      </c>
      <c r="J469">
        <v>-0.01</v>
      </c>
      <c r="K469">
        <v>0.05647366749217309</v>
      </c>
      <c r="L469" t="s">
        <v>580</v>
      </c>
      <c r="M469" t="s">
        <v>825</v>
      </c>
      <c r="N469">
        <v>9.507142857142856</v>
      </c>
      <c r="O469">
        <v>15.4</v>
      </c>
      <c r="P469">
        <v>4.2</v>
      </c>
      <c r="Q469">
        <v>0.2727272727272727</v>
      </c>
      <c r="R469">
        <v>12</v>
      </c>
      <c r="S469">
        <v>0.04998501218567775</v>
      </c>
      <c r="T469" t="s">
        <v>919</v>
      </c>
      <c r="U469">
        <v>0.243218537667805</v>
      </c>
      <c r="V469" t="s">
        <v>1004</v>
      </c>
      <c r="W469" t="s">
        <v>1008</v>
      </c>
      <c r="X469" t="s">
        <v>1015</v>
      </c>
      <c r="Y469">
        <v>425276.518851</v>
      </c>
      <c r="Z469" s="2">
        <v>45124</v>
      </c>
      <c r="AA469" t="s">
        <v>1030</v>
      </c>
    </row>
    <row r="470" spans="1:27">
      <c r="A470" s="1" t="s">
        <v>495</v>
      </c>
      <c r="B470">
        <f>HYPERLINK("https://www.suredividend.com/sure-analysis-BUD/","Anheuser-Busch InBev SA/NV")</f>
        <v>0</v>
      </c>
      <c r="C470" t="s">
        <v>899</v>
      </c>
      <c r="D470">
        <v>58</v>
      </c>
      <c r="E470">
        <v>56.02</v>
      </c>
      <c r="F470">
        <v>61</v>
      </c>
      <c r="G470">
        <v>0.918360655737705</v>
      </c>
      <c r="H470">
        <v>0.009460906818993217</v>
      </c>
      <c r="I470">
        <v>0.01717890786712495</v>
      </c>
      <c r="J470">
        <v>0.03</v>
      </c>
      <c r="K470">
        <v>0.05543140848974359</v>
      </c>
      <c r="L470" t="s">
        <v>580</v>
      </c>
      <c r="M470" t="s">
        <v>642</v>
      </c>
      <c r="N470">
        <v>18.30718954248366</v>
      </c>
      <c r="O470">
        <v>3.06</v>
      </c>
      <c r="P470">
        <v>0.53</v>
      </c>
      <c r="Q470">
        <v>0.173202614379085</v>
      </c>
      <c r="R470">
        <v>0</v>
      </c>
      <c r="S470">
        <v>0</v>
      </c>
      <c r="T470" t="s">
        <v>981</v>
      </c>
      <c r="U470">
        <v>0.10261503073505</v>
      </c>
      <c r="V470" t="s">
        <v>1004</v>
      </c>
      <c r="W470" t="s">
        <v>1009</v>
      </c>
      <c r="X470" t="s">
        <v>1011</v>
      </c>
      <c r="Y470">
        <v>97595.73510000001</v>
      </c>
      <c r="Z470" s="2">
        <v>45168</v>
      </c>
      <c r="AA470" t="s">
        <v>1029</v>
      </c>
    </row>
    <row r="471" spans="1:27">
      <c r="A471" s="1" t="s">
        <v>496</v>
      </c>
      <c r="B471">
        <f>HYPERLINK("https://www.suredividend.com/sure-analysis-LII/","Lennox International Inc")</f>
        <v>0</v>
      </c>
      <c r="C471" t="s">
        <v>899</v>
      </c>
      <c r="D471">
        <v>362</v>
      </c>
      <c r="E471">
        <v>378.55</v>
      </c>
      <c r="F471">
        <v>315</v>
      </c>
      <c r="G471">
        <v>1.201746031746032</v>
      </c>
      <c r="H471">
        <v>0.01162329943204332</v>
      </c>
      <c r="I471">
        <v>-0.03608783642338964</v>
      </c>
      <c r="J471">
        <v>0.08</v>
      </c>
      <c r="K471">
        <v>0.05435694624032417</v>
      </c>
      <c r="L471" t="s">
        <v>580</v>
      </c>
      <c r="M471" t="s">
        <v>642</v>
      </c>
      <c r="N471">
        <v>24.03492063492063</v>
      </c>
      <c r="O471">
        <v>15.75</v>
      </c>
      <c r="P471">
        <v>4.4</v>
      </c>
      <c r="Q471">
        <v>0.2793650793650794</v>
      </c>
      <c r="R471">
        <v>15</v>
      </c>
      <c r="S471">
        <v>0.1098725397499198</v>
      </c>
      <c r="T471" t="s">
        <v>925</v>
      </c>
      <c r="U471">
        <v>0.490328395318318</v>
      </c>
      <c r="V471" t="s">
        <v>1004</v>
      </c>
      <c r="W471" t="s">
        <v>1008</v>
      </c>
      <c r="X471" t="s">
        <v>1012</v>
      </c>
      <c r="Y471">
        <v>13700.726715</v>
      </c>
      <c r="Z471" s="2">
        <v>45135</v>
      </c>
      <c r="AA471" t="s">
        <v>1032</v>
      </c>
    </row>
    <row r="472" spans="1:27">
      <c r="A472" s="1" t="s">
        <v>497</v>
      </c>
      <c r="B472">
        <f>HYPERLINK("https://www.suredividend.com/sure-analysis-JBL/","Jabil Inc")</f>
        <v>0</v>
      </c>
      <c r="C472" t="s">
        <v>899</v>
      </c>
      <c r="D472">
        <v>105</v>
      </c>
      <c r="E472">
        <v>107.41</v>
      </c>
      <c r="F472">
        <v>94</v>
      </c>
      <c r="G472">
        <v>1.142659574468085</v>
      </c>
      <c r="H472">
        <v>0.002979238432175775</v>
      </c>
      <c r="I472">
        <v>-0.02631915255934125</v>
      </c>
      <c r="J472">
        <v>0.08</v>
      </c>
      <c r="K472">
        <v>0.05400047624510051</v>
      </c>
      <c r="L472" t="s">
        <v>580</v>
      </c>
      <c r="M472" t="s">
        <v>642</v>
      </c>
      <c r="N472">
        <v>12.63647058823529</v>
      </c>
      <c r="O472">
        <v>8.5</v>
      </c>
      <c r="P472">
        <v>0.32</v>
      </c>
      <c r="Q472">
        <v>0.03764705882352942</v>
      </c>
      <c r="R472">
        <v>0</v>
      </c>
      <c r="S472">
        <v>0</v>
      </c>
      <c r="T472" t="s">
        <v>917</v>
      </c>
      <c r="U472">
        <v>0.7512594170418231</v>
      </c>
      <c r="V472" t="s">
        <v>1004</v>
      </c>
      <c r="W472" t="s">
        <v>1008</v>
      </c>
      <c r="X472" t="s">
        <v>1016</v>
      </c>
      <c r="Y472">
        <v>14031.796717</v>
      </c>
      <c r="Z472" s="2">
        <v>45098</v>
      </c>
      <c r="AA472" t="s">
        <v>1026</v>
      </c>
    </row>
    <row r="473" spans="1:27">
      <c r="A473" s="1" t="s">
        <v>498</v>
      </c>
      <c r="B473">
        <f>HYPERLINK("https://www.suredividend.com/sure-analysis-MAR/","Marriott International, Inc.")</f>
        <v>0</v>
      </c>
      <c r="C473" t="s">
        <v>899</v>
      </c>
      <c r="D473">
        <v>209</v>
      </c>
      <c r="E473">
        <v>200.23</v>
      </c>
      <c r="F473">
        <v>155</v>
      </c>
      <c r="G473">
        <v>1.291806451612903</v>
      </c>
      <c r="H473">
        <v>0.009788742945612546</v>
      </c>
      <c r="I473">
        <v>-0.04991926878995245</v>
      </c>
      <c r="J473">
        <v>0.1</v>
      </c>
      <c r="K473">
        <v>0.05316857420535692</v>
      </c>
      <c r="L473" t="s">
        <v>580</v>
      </c>
      <c r="M473" t="s">
        <v>642</v>
      </c>
      <c r="N473">
        <v>23.2555168408827</v>
      </c>
      <c r="O473">
        <v>8.609999999999999</v>
      </c>
      <c r="P473">
        <v>1.96</v>
      </c>
      <c r="Q473">
        <v>0.2276422764227642</v>
      </c>
      <c r="R473">
        <v>1</v>
      </c>
      <c r="S473">
        <v>0</v>
      </c>
      <c r="T473" t="s">
        <v>936</v>
      </c>
      <c r="U473">
        <v>0.257443317873403</v>
      </c>
      <c r="V473" t="s">
        <v>1004</v>
      </c>
      <c r="W473" t="s">
        <v>1008</v>
      </c>
      <c r="X473" t="s">
        <v>1013</v>
      </c>
      <c r="Y473">
        <v>60781.227015</v>
      </c>
      <c r="Z473" s="2">
        <v>45155</v>
      </c>
      <c r="AA473" t="s">
        <v>1027</v>
      </c>
    </row>
    <row r="474" spans="1:27">
      <c r="A474" s="1" t="s">
        <v>499</v>
      </c>
      <c r="B474">
        <f>HYPERLINK("https://www.suredividend.com/sure-analysis-DLB/","Dolby Laboratories Inc")</f>
        <v>0</v>
      </c>
      <c r="C474" t="s">
        <v>899</v>
      </c>
      <c r="D474">
        <v>83</v>
      </c>
      <c r="E474">
        <v>81.48</v>
      </c>
      <c r="F474">
        <v>77</v>
      </c>
      <c r="G474">
        <v>1.058181818181818</v>
      </c>
      <c r="H474">
        <v>0.01325478645066274</v>
      </c>
      <c r="I474">
        <v>-0.01124671141273392</v>
      </c>
      <c r="J474">
        <v>0.05</v>
      </c>
      <c r="K474">
        <v>0.0515076333336244</v>
      </c>
      <c r="L474" t="s">
        <v>580</v>
      </c>
      <c r="M474" t="s">
        <v>642</v>
      </c>
      <c r="N474">
        <v>23.96470588235294</v>
      </c>
      <c r="O474">
        <v>3.4</v>
      </c>
      <c r="P474">
        <v>1.08</v>
      </c>
      <c r="Q474">
        <v>0.3176470588235294</v>
      </c>
      <c r="R474">
        <v>8</v>
      </c>
      <c r="S474">
        <v>0.06069091570555463</v>
      </c>
      <c r="T474" t="s">
        <v>947</v>
      </c>
      <c r="U474">
        <v>0.09586478722693501</v>
      </c>
      <c r="V474" t="s">
        <v>1004</v>
      </c>
      <c r="W474" t="s">
        <v>1008</v>
      </c>
      <c r="X474" t="s">
        <v>1013</v>
      </c>
      <c r="Y474">
        <v>4888.392</v>
      </c>
      <c r="Z474" s="2">
        <v>45162</v>
      </c>
      <c r="AA474" t="s">
        <v>1034</v>
      </c>
    </row>
    <row r="475" spans="1:27">
      <c r="A475" s="1" t="s">
        <v>500</v>
      </c>
      <c r="B475">
        <f>HYPERLINK("https://www.suredividend.com/sure-analysis-PHM/","PulteGroup Inc")</f>
        <v>0</v>
      </c>
      <c r="C475" t="s">
        <v>899</v>
      </c>
      <c r="D475">
        <v>84</v>
      </c>
      <c r="E475">
        <v>76.95999999999999</v>
      </c>
      <c r="F475">
        <v>90</v>
      </c>
      <c r="G475">
        <v>0.855111111111111</v>
      </c>
      <c r="H475">
        <v>0.008316008316008316</v>
      </c>
      <c r="I475">
        <v>0.03179992051647695</v>
      </c>
      <c r="J475">
        <v>0.01</v>
      </c>
      <c r="K475">
        <v>0.05019331140686223</v>
      </c>
      <c r="L475" t="s">
        <v>580</v>
      </c>
      <c r="M475" t="s">
        <v>642</v>
      </c>
      <c r="N475">
        <v>6.810619469026547</v>
      </c>
      <c r="O475">
        <v>11.3</v>
      </c>
      <c r="P475">
        <v>0.64</v>
      </c>
      <c r="Q475">
        <v>0.05663716814159292</v>
      </c>
      <c r="R475">
        <v>5</v>
      </c>
      <c r="S475">
        <v>0.05081623913789235</v>
      </c>
      <c r="T475" t="s">
        <v>951</v>
      </c>
      <c r="U475">
        <v>0.8833373786116121</v>
      </c>
      <c r="V475" t="s">
        <v>1004</v>
      </c>
      <c r="W475" t="s">
        <v>1008</v>
      </c>
      <c r="X475" t="s">
        <v>1013</v>
      </c>
      <c r="Y475">
        <v>17197.940465</v>
      </c>
      <c r="Z475" s="2">
        <v>45134</v>
      </c>
      <c r="AA475" t="s">
        <v>1026</v>
      </c>
    </row>
    <row r="476" spans="1:27">
      <c r="A476" s="1" t="s">
        <v>501</v>
      </c>
      <c r="B476">
        <f>HYPERLINK("https://www.suredividend.com/sure-analysis-TRGP/","Targa Resources Corp")</f>
        <v>0</v>
      </c>
      <c r="C476" t="s">
        <v>899</v>
      </c>
      <c r="D476">
        <v>84</v>
      </c>
      <c r="E476">
        <v>84.77</v>
      </c>
      <c r="F476">
        <v>82</v>
      </c>
      <c r="G476">
        <v>1.033780487804878</v>
      </c>
      <c r="H476">
        <v>0.02359325232983367</v>
      </c>
      <c r="I476">
        <v>-0.006622466045571818</v>
      </c>
      <c r="J476">
        <v>0.03</v>
      </c>
      <c r="K476">
        <v>0.04728250126541389</v>
      </c>
      <c r="L476" t="s">
        <v>580</v>
      </c>
      <c r="M476" t="s">
        <v>825</v>
      </c>
      <c r="N476">
        <v>7.245299145299145</v>
      </c>
      <c r="O476">
        <v>11.7</v>
      </c>
      <c r="P476">
        <v>2</v>
      </c>
      <c r="Q476">
        <v>0.1709401709401709</v>
      </c>
      <c r="R476">
        <v>2</v>
      </c>
      <c r="S476">
        <v>0.05387395206178347</v>
      </c>
      <c r="T476" t="s">
        <v>918</v>
      </c>
      <c r="U476">
        <v>0.198490175306797</v>
      </c>
      <c r="V476" t="s">
        <v>1004</v>
      </c>
      <c r="W476" t="s">
        <v>1008</v>
      </c>
      <c r="X476" t="s">
        <v>1020</v>
      </c>
      <c r="Y476">
        <v>19058.049474</v>
      </c>
      <c r="Z476" s="2">
        <v>45162</v>
      </c>
      <c r="AA476" t="s">
        <v>1022</v>
      </c>
    </row>
    <row r="477" spans="1:27">
      <c r="A477" s="1" t="s">
        <v>502</v>
      </c>
      <c r="B477">
        <f>HYPERLINK("https://www.suredividend.com/sure-analysis-HPE/","Hewlett Packard Enterprise Co")</f>
        <v>0</v>
      </c>
      <c r="C477" t="s">
        <v>900</v>
      </c>
      <c r="D477">
        <v>17.68</v>
      </c>
      <c r="E477">
        <v>16.77</v>
      </c>
      <c r="F477">
        <v>15.75</v>
      </c>
      <c r="G477">
        <v>1.064761904761905</v>
      </c>
      <c r="H477">
        <v>0.02862254025044723</v>
      </c>
      <c r="I477">
        <v>-0.01247181625483051</v>
      </c>
      <c r="J477">
        <v>0.03</v>
      </c>
      <c r="K477">
        <v>0.04552481692848054</v>
      </c>
      <c r="L477" t="s">
        <v>580</v>
      </c>
      <c r="M477" t="s">
        <v>825</v>
      </c>
      <c r="N477">
        <v>7.873239436619719</v>
      </c>
      <c r="O477">
        <v>2.13</v>
      </c>
      <c r="P477">
        <v>0.48</v>
      </c>
      <c r="Q477">
        <v>0.2253521126760563</v>
      </c>
      <c r="R477">
        <v>0</v>
      </c>
      <c r="S477">
        <v>0.03857377308425858</v>
      </c>
      <c r="T477" t="s">
        <v>972</v>
      </c>
      <c r="U477">
        <v>0.270493022702252</v>
      </c>
      <c r="V477" t="s">
        <v>1004</v>
      </c>
      <c r="W477" t="s">
        <v>1008</v>
      </c>
      <c r="X477" t="s">
        <v>1016</v>
      </c>
      <c r="Y477">
        <v>21911.329401</v>
      </c>
      <c r="Z477" s="2">
        <v>45172</v>
      </c>
      <c r="AA477" t="s">
        <v>1032</v>
      </c>
    </row>
    <row r="478" spans="1:27">
      <c r="A478" s="1" t="s">
        <v>503</v>
      </c>
      <c r="B478">
        <f>HYPERLINK("https://www.suredividend.com/sure-analysis-HMC/","Honda Motor")</f>
        <v>0</v>
      </c>
      <c r="C478" t="s">
        <v>899</v>
      </c>
      <c r="D478">
        <v>31</v>
      </c>
      <c r="E478">
        <v>34.5</v>
      </c>
      <c r="F478">
        <v>33</v>
      </c>
      <c r="G478">
        <v>1.045454545454545</v>
      </c>
      <c r="H478">
        <v>0.02550724637681159</v>
      </c>
      <c r="I478">
        <v>-0.008850950183580175</v>
      </c>
      <c r="J478">
        <v>0.03</v>
      </c>
      <c r="K478">
        <v>0.04536192560307128</v>
      </c>
      <c r="L478" t="s">
        <v>580</v>
      </c>
      <c r="M478" t="s">
        <v>825</v>
      </c>
      <c r="N478">
        <v>8.801020408163266</v>
      </c>
      <c r="O478">
        <v>3.92</v>
      </c>
      <c r="P478">
        <v>0.88</v>
      </c>
      <c r="Q478">
        <v>0.2244897959183673</v>
      </c>
      <c r="R478">
        <v>0</v>
      </c>
      <c r="S478">
        <v>0.02996744995959233</v>
      </c>
      <c r="T478" t="s">
        <v>982</v>
      </c>
      <c r="U478">
        <v>0.363751926652153</v>
      </c>
      <c r="V478" t="s">
        <v>1004</v>
      </c>
      <c r="W478" t="s">
        <v>1009</v>
      </c>
      <c r="X478" t="s">
        <v>1013</v>
      </c>
      <c r="Y478">
        <v>62186.338002</v>
      </c>
      <c r="Z478" s="2">
        <v>45163</v>
      </c>
      <c r="AA478" t="s">
        <v>1021</v>
      </c>
    </row>
    <row r="479" spans="1:27">
      <c r="A479" s="1" t="s">
        <v>504</v>
      </c>
      <c r="B479">
        <f>HYPERLINK("https://www.suredividend.com/sure-analysis-KLAC/","KLA Corp.")</f>
        <v>0</v>
      </c>
      <c r="C479" t="s">
        <v>899</v>
      </c>
      <c r="D479">
        <v>486</v>
      </c>
      <c r="E479">
        <v>483.6</v>
      </c>
      <c r="F479">
        <v>386</v>
      </c>
      <c r="G479">
        <v>1.252849740932642</v>
      </c>
      <c r="H479">
        <v>0.0119933829611249</v>
      </c>
      <c r="I479">
        <v>-0.04408296183182214</v>
      </c>
      <c r="J479">
        <v>0.08</v>
      </c>
      <c r="K479">
        <v>0.0452914482564537</v>
      </c>
      <c r="L479" t="s">
        <v>580</v>
      </c>
      <c r="M479" t="s">
        <v>642</v>
      </c>
      <c r="N479">
        <v>21.30396475770925</v>
      </c>
      <c r="O479">
        <v>22.7</v>
      </c>
      <c r="P479">
        <v>5.8</v>
      </c>
      <c r="Q479">
        <v>0.2555066079295154</v>
      </c>
      <c r="R479">
        <v>14</v>
      </c>
      <c r="S479">
        <v>0.07611700161639945</v>
      </c>
      <c r="T479" t="s">
        <v>917</v>
      </c>
      <c r="U479">
        <v>0.3801626478213</v>
      </c>
      <c r="V479" t="s">
        <v>1004</v>
      </c>
      <c r="W479" t="s">
        <v>1008</v>
      </c>
      <c r="X479" t="s">
        <v>1016</v>
      </c>
      <c r="Y479">
        <v>66418.611949</v>
      </c>
      <c r="Z479" s="2">
        <v>45170</v>
      </c>
      <c r="AA479" t="s">
        <v>1028</v>
      </c>
    </row>
    <row r="480" spans="1:27">
      <c r="A480" s="1" t="s">
        <v>505</v>
      </c>
      <c r="B480">
        <f>HYPERLINK("https://www.suredividend.com/sure-analysis-NSRGY/","Nestle SA")</f>
        <v>0</v>
      </c>
      <c r="C480" t="s">
        <v>899</v>
      </c>
      <c r="D480">
        <v>117</v>
      </c>
      <c r="E480">
        <v>116.56</v>
      </c>
      <c r="F480">
        <v>99</v>
      </c>
      <c r="G480">
        <v>1.177373737373737</v>
      </c>
      <c r="H480">
        <v>0.02839739190116678</v>
      </c>
      <c r="I480">
        <v>-0.03212977168479358</v>
      </c>
      <c r="J480">
        <v>0.05</v>
      </c>
      <c r="K480">
        <v>0.04451708028923762</v>
      </c>
      <c r="L480" t="s">
        <v>580</v>
      </c>
      <c r="M480" t="s">
        <v>580</v>
      </c>
      <c r="N480">
        <v>21.19272727272727</v>
      </c>
      <c r="O480">
        <v>5.5</v>
      </c>
      <c r="P480">
        <v>3.31</v>
      </c>
      <c r="Q480">
        <v>0.6018181818181818</v>
      </c>
      <c r="R480">
        <v>6</v>
      </c>
      <c r="S480">
        <v>0.03859541139027756</v>
      </c>
      <c r="T480" t="s">
        <v>983</v>
      </c>
      <c r="U480">
        <v>0.004614201486798</v>
      </c>
      <c r="V480" t="s">
        <v>1004</v>
      </c>
      <c r="W480" t="s">
        <v>1009</v>
      </c>
      <c r="X480" t="s">
        <v>1011</v>
      </c>
      <c r="Y480">
        <v>313911.9</v>
      </c>
      <c r="Z480" s="2">
        <v>45155</v>
      </c>
      <c r="AA480" t="s">
        <v>1022</v>
      </c>
    </row>
    <row r="481" spans="1:27">
      <c r="A481" s="1" t="s">
        <v>506</v>
      </c>
      <c r="B481">
        <f>HYPERLINK("https://www.suredividend.com/sure-analysis-DGX/","Quest Diagnostics, Inc.")</f>
        <v>0</v>
      </c>
      <c r="C481" t="s">
        <v>900</v>
      </c>
      <c r="D481">
        <v>135</v>
      </c>
      <c r="E481">
        <v>128.13</v>
      </c>
      <c r="F481">
        <v>122</v>
      </c>
      <c r="G481">
        <v>1.050245901639344</v>
      </c>
      <c r="H481">
        <v>0.02177476000936549</v>
      </c>
      <c r="I481">
        <v>-0.009756954776156013</v>
      </c>
      <c r="J481">
        <v>0.03</v>
      </c>
      <c r="K481">
        <v>0.04357889748139354</v>
      </c>
      <c r="L481" t="s">
        <v>580</v>
      </c>
      <c r="M481" t="s">
        <v>825</v>
      </c>
      <c r="N481">
        <v>14.71067738231917</v>
      </c>
      <c r="O481">
        <v>8.710000000000001</v>
      </c>
      <c r="P481">
        <v>2.79</v>
      </c>
      <c r="Q481">
        <v>0.3203214695752009</v>
      </c>
      <c r="R481">
        <v>12</v>
      </c>
      <c r="S481">
        <v>0.06982935626870268</v>
      </c>
      <c r="T481" t="s">
        <v>964</v>
      </c>
      <c r="U481">
        <v>-0.018496061024041</v>
      </c>
      <c r="V481" t="s">
        <v>1004</v>
      </c>
      <c r="W481" t="s">
        <v>1008</v>
      </c>
      <c r="X481" t="s">
        <v>1014</v>
      </c>
      <c r="Y481">
        <v>14279.658923</v>
      </c>
      <c r="Z481" s="2">
        <v>45148</v>
      </c>
      <c r="AA481" t="s">
        <v>1027</v>
      </c>
    </row>
    <row r="482" spans="1:27">
      <c r="A482" s="1" t="s">
        <v>507</v>
      </c>
      <c r="B482">
        <f>HYPERLINK("https://www.suredividend.com/sure-analysis-PEG/","Public Service Enterprise Group Inc.")</f>
        <v>0</v>
      </c>
      <c r="C482" t="s">
        <v>899</v>
      </c>
      <c r="D482">
        <v>61</v>
      </c>
      <c r="E482">
        <v>60.89</v>
      </c>
      <c r="F482">
        <v>52</v>
      </c>
      <c r="G482">
        <v>1.170961538461538</v>
      </c>
      <c r="H482">
        <v>0.03941533913614715</v>
      </c>
      <c r="I482">
        <v>-0.03107207223380515</v>
      </c>
      <c r="J482">
        <v>0.03</v>
      </c>
      <c r="K482">
        <v>0.03921122193133586</v>
      </c>
      <c r="L482" t="s">
        <v>580</v>
      </c>
      <c r="M482" t="s">
        <v>902</v>
      </c>
      <c r="N482">
        <v>17.64927536231884</v>
      </c>
      <c r="O482">
        <v>3.45</v>
      </c>
      <c r="P482">
        <v>2.4</v>
      </c>
      <c r="Q482">
        <v>0.6956521739130435</v>
      </c>
      <c r="R482">
        <v>12</v>
      </c>
      <c r="S482">
        <v>0.04000235313991807</v>
      </c>
      <c r="T482" t="s">
        <v>924</v>
      </c>
      <c r="U482">
        <v>-0.09005635557289801</v>
      </c>
      <c r="V482" t="s">
        <v>1004</v>
      </c>
      <c r="W482" t="s">
        <v>1008</v>
      </c>
      <c r="X482" t="s">
        <v>1018</v>
      </c>
      <c r="Y482">
        <v>30261.103325</v>
      </c>
      <c r="Z482" s="2">
        <v>45155</v>
      </c>
      <c r="AA482" t="s">
        <v>1027</v>
      </c>
    </row>
    <row r="483" spans="1:27">
      <c r="A483" s="1" t="s">
        <v>508</v>
      </c>
      <c r="B483">
        <f>HYPERLINK("https://www.suredividend.com/sure-analysis-SWX/","Southwest Gas Holdings Inc")</f>
        <v>0</v>
      </c>
      <c r="C483" t="s">
        <v>899</v>
      </c>
      <c r="D483">
        <v>64</v>
      </c>
      <c r="E483">
        <v>63.04</v>
      </c>
      <c r="F483">
        <v>54</v>
      </c>
      <c r="G483">
        <v>1.167407407407407</v>
      </c>
      <c r="H483">
        <v>0.03934010152284264</v>
      </c>
      <c r="I483">
        <v>-0.03048281594267233</v>
      </c>
      <c r="J483">
        <v>0.03</v>
      </c>
      <c r="K483">
        <v>0.03747278471534021</v>
      </c>
      <c r="L483" t="s">
        <v>580</v>
      </c>
      <c r="M483" t="s">
        <v>580</v>
      </c>
      <c r="N483">
        <v>20.94352159468439</v>
      </c>
      <c r="O483">
        <v>3.01</v>
      </c>
      <c r="P483">
        <v>2.48</v>
      </c>
      <c r="Q483">
        <v>0.823920265780731</v>
      </c>
      <c r="R483">
        <v>15</v>
      </c>
      <c r="S483">
        <v>0.02013999925026777</v>
      </c>
      <c r="T483" t="s">
        <v>917</v>
      </c>
      <c r="U483">
        <v>-0.216949259575005</v>
      </c>
      <c r="V483" t="s">
        <v>1004</v>
      </c>
      <c r="W483" t="s">
        <v>1008</v>
      </c>
      <c r="X483" t="s">
        <v>1018</v>
      </c>
      <c r="Y483">
        <v>4431.549634</v>
      </c>
      <c r="Z483" s="2">
        <v>45155</v>
      </c>
      <c r="AA483" t="s">
        <v>1026</v>
      </c>
    </row>
    <row r="484" spans="1:27">
      <c r="A484" s="1" t="s">
        <v>509</v>
      </c>
      <c r="B484">
        <f>HYPERLINK("https://www.suredividend.com/sure-analysis-TM/","Toyota Motor Corporation")</f>
        <v>0</v>
      </c>
      <c r="C484" t="s">
        <v>899</v>
      </c>
      <c r="D484">
        <v>166</v>
      </c>
      <c r="E484">
        <v>183.98</v>
      </c>
      <c r="F484">
        <v>190</v>
      </c>
      <c r="G484">
        <v>0.9683157894736841</v>
      </c>
      <c r="H484">
        <v>0.02315469072725296</v>
      </c>
      <c r="I484">
        <v>0.0064601807535829</v>
      </c>
      <c r="J484">
        <v>0.01</v>
      </c>
      <c r="K484">
        <v>0.03734006524335798</v>
      </c>
      <c r="L484" t="s">
        <v>580</v>
      </c>
      <c r="M484" t="s">
        <v>825</v>
      </c>
      <c r="N484">
        <v>9.683157894736842</v>
      </c>
      <c r="O484">
        <v>19</v>
      </c>
      <c r="P484">
        <v>4.26</v>
      </c>
      <c r="Q484">
        <v>0.2242105263157895</v>
      </c>
      <c r="R484">
        <v>0</v>
      </c>
      <c r="S484">
        <v>0</v>
      </c>
      <c r="T484" t="s">
        <v>984</v>
      </c>
      <c r="U484">
        <v>0.289198482375573</v>
      </c>
      <c r="V484" t="s">
        <v>1004</v>
      </c>
      <c r="W484" t="s">
        <v>1009</v>
      </c>
      <c r="X484" t="s">
        <v>1013</v>
      </c>
      <c r="Y484">
        <v>295758.092675</v>
      </c>
      <c r="Z484" s="2">
        <v>45170</v>
      </c>
      <c r="AA484" t="s">
        <v>1028</v>
      </c>
    </row>
    <row r="485" spans="1:27">
      <c r="A485" s="1" t="s">
        <v>510</v>
      </c>
      <c r="B485">
        <f>HYPERLINK("https://www.suredividend.com/sure-analysis-PGR/","Progressive Corp.")</f>
        <v>0</v>
      </c>
      <c r="C485" t="s">
        <v>899</v>
      </c>
      <c r="D485">
        <v>123</v>
      </c>
      <c r="E485">
        <v>139.17</v>
      </c>
      <c r="F485">
        <v>112</v>
      </c>
      <c r="G485">
        <v>1.242589285714286</v>
      </c>
      <c r="H485">
        <v>0.002874182654307682</v>
      </c>
      <c r="I485">
        <v>-0.04250948810773725</v>
      </c>
      <c r="J485">
        <v>0.08</v>
      </c>
      <c r="K485">
        <v>0.03726305827951681</v>
      </c>
      <c r="L485" t="s">
        <v>580</v>
      </c>
      <c r="M485" t="s">
        <v>642</v>
      </c>
      <c r="N485">
        <v>17.39625</v>
      </c>
      <c r="O485">
        <v>8</v>
      </c>
      <c r="P485">
        <v>0.4</v>
      </c>
      <c r="Q485">
        <v>0.05</v>
      </c>
      <c r="R485">
        <v>0</v>
      </c>
      <c r="S485">
        <v>0.08083252207959757</v>
      </c>
      <c r="T485" t="s">
        <v>907</v>
      </c>
      <c r="U485">
        <v>0.0772379200179</v>
      </c>
      <c r="V485" t="s">
        <v>1004</v>
      </c>
      <c r="W485" t="s">
        <v>1008</v>
      </c>
      <c r="X485" t="s">
        <v>1015</v>
      </c>
      <c r="Y485">
        <v>81156.50780000001</v>
      </c>
      <c r="Z485" s="2">
        <v>45132</v>
      </c>
      <c r="AA485" t="s">
        <v>1032</v>
      </c>
    </row>
    <row r="486" spans="1:27">
      <c r="A486" s="1" t="s">
        <v>511</v>
      </c>
      <c r="B486">
        <f>HYPERLINK("https://www.suredividend.com/sure-analysis-INFY/","Infosys Ltd")</f>
        <v>0</v>
      </c>
      <c r="C486" t="s">
        <v>899</v>
      </c>
      <c r="D486">
        <v>17</v>
      </c>
      <c r="E486">
        <v>18</v>
      </c>
      <c r="F486">
        <v>14</v>
      </c>
      <c r="G486">
        <v>1.285714285714286</v>
      </c>
      <c r="H486">
        <v>0.02388888888888889</v>
      </c>
      <c r="I486">
        <v>-0.04902060720441037</v>
      </c>
      <c r="J486">
        <v>0.06</v>
      </c>
      <c r="K486">
        <v>0.035737995712676</v>
      </c>
      <c r="L486" t="s">
        <v>580</v>
      </c>
      <c r="M486" t="s">
        <v>825</v>
      </c>
      <c r="N486">
        <v>24.65753424657534</v>
      </c>
      <c r="O486">
        <v>0.73</v>
      </c>
      <c r="P486">
        <v>0.43</v>
      </c>
      <c r="Q486">
        <v>0.589041095890411</v>
      </c>
      <c r="R486">
        <v>8</v>
      </c>
      <c r="S486">
        <v>0.07938012944050121</v>
      </c>
      <c r="T486" t="s">
        <v>985</v>
      </c>
      <c r="U486">
        <v>-0.038292569931466</v>
      </c>
      <c r="V486" t="s">
        <v>1004</v>
      </c>
      <c r="W486" t="s">
        <v>1009</v>
      </c>
      <c r="X486" t="s">
        <v>1016</v>
      </c>
      <c r="Y486">
        <v>74955.462807</v>
      </c>
      <c r="Z486" s="2">
        <v>45159</v>
      </c>
      <c r="AA486" t="s">
        <v>1028</v>
      </c>
    </row>
    <row r="487" spans="1:27">
      <c r="A487" s="1" t="s">
        <v>512</v>
      </c>
      <c r="B487">
        <f>HYPERLINK("https://www.suredividend.com/sure-analysis-THO/","Thor Industries, Inc.")</f>
        <v>0</v>
      </c>
      <c r="C487" t="s">
        <v>899</v>
      </c>
      <c r="D487">
        <v>95</v>
      </c>
      <c r="E487">
        <v>97.75</v>
      </c>
      <c r="F487">
        <v>65</v>
      </c>
      <c r="G487">
        <v>1.503846153846154</v>
      </c>
      <c r="H487">
        <v>0.01841432225063939</v>
      </c>
      <c r="I487">
        <v>-0.0783642382341545</v>
      </c>
      <c r="J487">
        <v>0.1</v>
      </c>
      <c r="K487">
        <v>0.03271885029968491</v>
      </c>
      <c r="L487" t="s">
        <v>580</v>
      </c>
      <c r="M487" t="s">
        <v>825</v>
      </c>
      <c r="N487">
        <v>15.89430894308943</v>
      </c>
      <c r="O487">
        <v>6.15</v>
      </c>
      <c r="P487">
        <v>1.8</v>
      </c>
      <c r="Q487">
        <v>0.2926829268292683</v>
      </c>
      <c r="R487">
        <v>12</v>
      </c>
      <c r="S487">
        <v>0.04000235313991807</v>
      </c>
      <c r="T487" t="s">
        <v>907</v>
      </c>
      <c r="U487">
        <v>0.195264102866035</v>
      </c>
      <c r="V487" t="s">
        <v>1004</v>
      </c>
      <c r="W487" t="s">
        <v>1008</v>
      </c>
      <c r="X487" t="s">
        <v>1013</v>
      </c>
      <c r="Y487">
        <v>5248.722812</v>
      </c>
      <c r="Z487" s="2">
        <v>45098</v>
      </c>
      <c r="AA487" t="s">
        <v>1026</v>
      </c>
    </row>
    <row r="488" spans="1:27">
      <c r="A488" s="1" t="s">
        <v>513</v>
      </c>
      <c r="B488">
        <f>HYPERLINK("https://www.suredividend.com/sure-analysis-KVUE/","Kenvue Inc")</f>
        <v>0</v>
      </c>
      <c r="C488" t="s">
        <v>900</v>
      </c>
      <c r="D488">
        <v>24.4</v>
      </c>
      <c r="E488">
        <v>21.6</v>
      </c>
      <c r="F488">
        <v>18.06</v>
      </c>
      <c r="G488">
        <v>1.196013289036545</v>
      </c>
      <c r="H488">
        <v>0.03703703703703703</v>
      </c>
      <c r="I488">
        <v>-0.03516555634457741</v>
      </c>
      <c r="J488">
        <v>0.03</v>
      </c>
      <c r="K488">
        <v>0.0322797397307284</v>
      </c>
      <c r="L488" t="s">
        <v>580</v>
      </c>
      <c r="M488" t="s">
        <v>580</v>
      </c>
      <c r="N488">
        <v>16.74418604651163</v>
      </c>
      <c r="O488">
        <v>1.29</v>
      </c>
      <c r="P488">
        <v>0.8</v>
      </c>
      <c r="Q488">
        <v>0.6201550387596899</v>
      </c>
      <c r="R488">
        <v>0</v>
      </c>
      <c r="S488">
        <v>0.03057260164047237</v>
      </c>
      <c r="U488">
        <v>-0.210425680286136</v>
      </c>
      <c r="V488" t="s">
        <v>1004</v>
      </c>
      <c r="W488" t="s">
        <v>1008</v>
      </c>
      <c r="X488" t="s">
        <v>1011</v>
      </c>
      <c r="Y488">
        <v>40327.676991</v>
      </c>
      <c r="Z488" s="2">
        <v>45139</v>
      </c>
      <c r="AA488" t="s">
        <v>1021</v>
      </c>
    </row>
    <row r="489" spans="1:27">
      <c r="A489" s="1" t="s">
        <v>514</v>
      </c>
      <c r="B489">
        <f>HYPERLINK("https://www.suredividend.com/sure-analysis-ERF/","Enerplus Corporation")</f>
        <v>0</v>
      </c>
      <c r="C489" t="s">
        <v>899</v>
      </c>
      <c r="D489">
        <v>17</v>
      </c>
      <c r="E489">
        <v>17.67</v>
      </c>
      <c r="F489">
        <v>16</v>
      </c>
      <c r="G489">
        <v>1.104375</v>
      </c>
      <c r="H489">
        <v>0.01245048104131296</v>
      </c>
      <c r="I489">
        <v>-0.01966008245346751</v>
      </c>
      <c r="J489">
        <v>0.04</v>
      </c>
      <c r="K489">
        <v>0.03199751254275429</v>
      </c>
      <c r="L489" t="s">
        <v>580</v>
      </c>
      <c r="M489" t="s">
        <v>825</v>
      </c>
      <c r="N489">
        <v>3.909292035398231</v>
      </c>
      <c r="O489">
        <v>4.52</v>
      </c>
      <c r="P489">
        <v>0.22</v>
      </c>
      <c r="Q489">
        <v>0.04867256637168142</v>
      </c>
      <c r="R489">
        <v>3</v>
      </c>
      <c r="S489">
        <v>0.03397522653195018</v>
      </c>
      <c r="T489" t="s">
        <v>925</v>
      </c>
      <c r="U489">
        <v>0.155442985090215</v>
      </c>
      <c r="V489" t="s">
        <v>1004</v>
      </c>
      <c r="W489" t="s">
        <v>1009</v>
      </c>
      <c r="X489" t="s">
        <v>1020</v>
      </c>
      <c r="Y489">
        <v>3729.562398</v>
      </c>
      <c r="Z489" s="2">
        <v>45168</v>
      </c>
      <c r="AA489" t="s">
        <v>1027</v>
      </c>
    </row>
    <row r="490" spans="1:27">
      <c r="A490" s="1" t="s">
        <v>515</v>
      </c>
      <c r="B490">
        <f>HYPERLINK("https://www.suredividend.com/sure-analysis-GE/","General Electric Co.")</f>
        <v>0</v>
      </c>
      <c r="C490" t="s">
        <v>900</v>
      </c>
      <c r="D490">
        <v>115</v>
      </c>
      <c r="E490">
        <v>113.6</v>
      </c>
      <c r="F490">
        <v>35</v>
      </c>
      <c r="G490">
        <v>3.245714285714286</v>
      </c>
      <c r="H490">
        <v>0.002816901408450704</v>
      </c>
      <c r="I490">
        <v>-0.2097983310600263</v>
      </c>
      <c r="J490">
        <v>0.3</v>
      </c>
      <c r="K490">
        <v>0.03065666189565608</v>
      </c>
      <c r="L490" t="s">
        <v>580</v>
      </c>
      <c r="M490" t="s">
        <v>642</v>
      </c>
      <c r="N490">
        <v>51.63636363636363</v>
      </c>
      <c r="O490">
        <v>2.2</v>
      </c>
      <c r="P490">
        <v>0.32</v>
      </c>
      <c r="Q490">
        <v>0.1454545454545454</v>
      </c>
      <c r="R490">
        <v>0</v>
      </c>
      <c r="S490">
        <v>0.1019722877214801</v>
      </c>
      <c r="T490" t="s">
        <v>964</v>
      </c>
      <c r="U490">
        <v>0.9475515889480681</v>
      </c>
      <c r="V490" t="s">
        <v>1004</v>
      </c>
      <c r="W490" t="s">
        <v>1008</v>
      </c>
      <c r="X490" t="s">
        <v>1012</v>
      </c>
      <c r="Y490">
        <v>125163.492195</v>
      </c>
      <c r="Z490" s="2">
        <v>45132</v>
      </c>
      <c r="AA490" t="s">
        <v>1032</v>
      </c>
    </row>
    <row r="491" spans="1:27">
      <c r="A491" s="1" t="s">
        <v>516</v>
      </c>
      <c r="B491">
        <f>HYPERLINK("https://www.suredividend.com/sure-analysis-HP/","Helmerich &amp; Payne, Inc.")</f>
        <v>0</v>
      </c>
      <c r="C491" t="s">
        <v>899</v>
      </c>
      <c r="D491">
        <v>45</v>
      </c>
      <c r="E491">
        <v>45.23</v>
      </c>
      <c r="F491">
        <v>72</v>
      </c>
      <c r="G491">
        <v>0.6281944444444444</v>
      </c>
      <c r="H491">
        <v>0.02210921954455008</v>
      </c>
      <c r="I491">
        <v>0.09744100123490074</v>
      </c>
      <c r="J491">
        <v>-0.08</v>
      </c>
      <c r="K491">
        <v>0.0300781832005117</v>
      </c>
      <c r="L491" t="s">
        <v>580</v>
      </c>
      <c r="M491" t="s">
        <v>825</v>
      </c>
      <c r="N491">
        <v>10.05111111111111</v>
      </c>
      <c r="O491">
        <v>4.5</v>
      </c>
      <c r="P491">
        <v>1</v>
      </c>
      <c r="Q491">
        <v>0.2222222222222222</v>
      </c>
      <c r="R491">
        <v>0</v>
      </c>
      <c r="S491">
        <v>0</v>
      </c>
      <c r="T491" t="s">
        <v>936</v>
      </c>
      <c r="U491">
        <v>-0.006958729047223</v>
      </c>
      <c r="V491" t="s">
        <v>1004</v>
      </c>
      <c r="W491" t="s">
        <v>1008</v>
      </c>
      <c r="X491" t="s">
        <v>1020</v>
      </c>
      <c r="Y491">
        <v>4511.97575</v>
      </c>
      <c r="Z491" s="2">
        <v>45139</v>
      </c>
      <c r="AA491" t="s">
        <v>1022</v>
      </c>
    </row>
    <row r="492" spans="1:27">
      <c r="A492" s="1" t="s">
        <v>517</v>
      </c>
      <c r="B492">
        <f>HYPERLINK("https://www.suredividend.com/sure-analysis-BG/","Bunge Ltd.")</f>
        <v>0</v>
      </c>
      <c r="C492" t="s">
        <v>900</v>
      </c>
      <c r="D492">
        <v>114</v>
      </c>
      <c r="E492">
        <v>113.15</v>
      </c>
      <c r="F492">
        <v>120</v>
      </c>
      <c r="G492">
        <v>0.9429166666666667</v>
      </c>
      <c r="H492">
        <v>0.02342023862129916</v>
      </c>
      <c r="I492">
        <v>0.0118248412746671</v>
      </c>
      <c r="J492">
        <v>-0.01</v>
      </c>
      <c r="K492">
        <v>0.02866465982664912</v>
      </c>
      <c r="L492" t="s">
        <v>580</v>
      </c>
      <c r="M492" t="s">
        <v>825</v>
      </c>
      <c r="N492">
        <v>9.452798663324979</v>
      </c>
      <c r="O492">
        <v>11.97</v>
      </c>
      <c r="P492">
        <v>2.65</v>
      </c>
      <c r="Q492">
        <v>0.2213868003341687</v>
      </c>
      <c r="R492">
        <v>4</v>
      </c>
      <c r="S492">
        <v>0.0678749251920443</v>
      </c>
      <c r="T492" t="s">
        <v>932</v>
      </c>
      <c r="U492">
        <v>0.23664694761896</v>
      </c>
      <c r="V492" t="s">
        <v>1004</v>
      </c>
      <c r="W492" t="s">
        <v>1009</v>
      </c>
      <c r="X492" t="s">
        <v>1011</v>
      </c>
      <c r="Y492">
        <v>17234.995497</v>
      </c>
      <c r="Z492" s="2">
        <v>45147</v>
      </c>
      <c r="AA492" t="s">
        <v>1024</v>
      </c>
    </row>
    <row r="493" spans="1:27">
      <c r="A493" s="1" t="s">
        <v>518</v>
      </c>
      <c r="B493">
        <f>HYPERLINK("https://www.suredividend.com/sure-analysis-ABBNY/","ABB Ltd.")</f>
        <v>0</v>
      </c>
      <c r="C493" t="s">
        <v>900</v>
      </c>
      <c r="D493">
        <v>40</v>
      </c>
      <c r="E493">
        <v>35.83</v>
      </c>
      <c r="F493">
        <v>27</v>
      </c>
      <c r="G493">
        <v>1.327037037037037</v>
      </c>
      <c r="H493">
        <v>0.02567680714485069</v>
      </c>
      <c r="I493">
        <v>-0.05501831541004487</v>
      </c>
      <c r="J493">
        <v>0.06</v>
      </c>
      <c r="K493">
        <v>0.02833341079129981</v>
      </c>
      <c r="L493" t="s">
        <v>580</v>
      </c>
      <c r="M493" t="s">
        <v>580</v>
      </c>
      <c r="N493">
        <v>21.07647058823529</v>
      </c>
      <c r="O493">
        <v>1.7</v>
      </c>
      <c r="P493">
        <v>0.92</v>
      </c>
      <c r="Q493">
        <v>0.5411764705882354</v>
      </c>
      <c r="R493">
        <v>4</v>
      </c>
      <c r="S493">
        <v>0.03258826616987576</v>
      </c>
      <c r="U493">
        <v>0.004641004641004001</v>
      </c>
      <c r="V493" t="s">
        <v>1004</v>
      </c>
      <c r="W493" t="s">
        <v>1009</v>
      </c>
      <c r="X493" t="s">
        <v>1012</v>
      </c>
      <c r="Y493">
        <v>69257.69476</v>
      </c>
      <c r="Z493" s="2">
        <v>45129</v>
      </c>
      <c r="AA493" t="s">
        <v>1022</v>
      </c>
    </row>
    <row r="494" spans="1:27">
      <c r="A494" s="1" t="s">
        <v>519</v>
      </c>
      <c r="B494">
        <f>HYPERLINK("https://www.suredividend.com/sure-analysis-PGRE/","Paramount Group Inc")</f>
        <v>0</v>
      </c>
      <c r="C494" t="s">
        <v>899</v>
      </c>
      <c r="D494">
        <v>4.8</v>
      </c>
      <c r="E494">
        <v>5.01</v>
      </c>
      <c r="F494">
        <v>6.5</v>
      </c>
      <c r="G494">
        <v>0.7707692307692308</v>
      </c>
      <c r="H494">
        <v>0.02794411177644711</v>
      </c>
      <c r="I494">
        <v>0.05345290759971344</v>
      </c>
      <c r="J494">
        <v>-0.05</v>
      </c>
      <c r="K494">
        <v>0.02720459426028299</v>
      </c>
      <c r="L494" t="s">
        <v>580</v>
      </c>
      <c r="M494" t="s">
        <v>825</v>
      </c>
      <c r="N494">
        <v>5.825581395348837</v>
      </c>
      <c r="O494">
        <v>0.86</v>
      </c>
      <c r="P494">
        <v>0.14</v>
      </c>
      <c r="Q494">
        <v>0.1627906976744186</v>
      </c>
      <c r="R494">
        <v>0</v>
      </c>
      <c r="S494">
        <v>0</v>
      </c>
      <c r="T494" t="s">
        <v>911</v>
      </c>
      <c r="U494">
        <v>-0.281309741127768</v>
      </c>
      <c r="V494" t="s">
        <v>1005</v>
      </c>
      <c r="W494" t="s">
        <v>1008</v>
      </c>
      <c r="X494" t="s">
        <v>1019</v>
      </c>
      <c r="Y494">
        <v>1086.53249</v>
      </c>
      <c r="Z494" s="2">
        <v>45141</v>
      </c>
      <c r="AA494" t="s">
        <v>1026</v>
      </c>
    </row>
    <row r="495" spans="1:27">
      <c r="A495" s="1" t="s">
        <v>520</v>
      </c>
      <c r="B495">
        <f>HYPERLINK("https://www.suredividend.com/sure-analysis-MLM/","Martin Marietta Materials, Inc.")</f>
        <v>0</v>
      </c>
      <c r="C495" t="s">
        <v>900</v>
      </c>
      <c r="D495">
        <v>436</v>
      </c>
      <c r="E495">
        <v>434.04</v>
      </c>
      <c r="F495">
        <v>352</v>
      </c>
      <c r="G495">
        <v>1.233068181818182</v>
      </c>
      <c r="H495">
        <v>0.006819647958713483</v>
      </c>
      <c r="I495">
        <v>-0.04103538638198623</v>
      </c>
      <c r="J495">
        <v>0.06</v>
      </c>
      <c r="K495">
        <v>0.0242426498116739</v>
      </c>
      <c r="L495" t="s">
        <v>580</v>
      </c>
      <c r="M495" t="s">
        <v>642</v>
      </c>
      <c r="N495">
        <v>27.1275</v>
      </c>
      <c r="O495">
        <v>16</v>
      </c>
      <c r="P495">
        <v>2.96</v>
      </c>
      <c r="Q495">
        <v>0.185</v>
      </c>
      <c r="R495">
        <v>9</v>
      </c>
      <c r="S495">
        <v>0.06991992923313561</v>
      </c>
      <c r="T495" t="s">
        <v>916</v>
      </c>
      <c r="U495">
        <v>0.239552189948279</v>
      </c>
      <c r="V495" t="s">
        <v>1004</v>
      </c>
      <c r="W495" t="s">
        <v>1008</v>
      </c>
      <c r="X495" t="s">
        <v>1010</v>
      </c>
      <c r="Y495">
        <v>27102.655562</v>
      </c>
      <c r="Z495" s="2">
        <v>45164</v>
      </c>
      <c r="AA495" t="s">
        <v>1034</v>
      </c>
    </row>
    <row r="496" spans="1:27">
      <c r="A496" s="1" t="s">
        <v>521</v>
      </c>
      <c r="B496">
        <f>HYPERLINK("https://www.suredividend.com/sure-analysis-ESRT/","Empire State Realty Trust Inc")</f>
        <v>0</v>
      </c>
      <c r="C496" t="s">
        <v>900</v>
      </c>
      <c r="D496">
        <v>8.56</v>
      </c>
      <c r="E496">
        <v>8.715</v>
      </c>
      <c r="F496">
        <v>7.65</v>
      </c>
      <c r="G496">
        <v>1.13921568627451</v>
      </c>
      <c r="H496">
        <v>0.01606425702811245</v>
      </c>
      <c r="I496">
        <v>-0.02573116899121985</v>
      </c>
      <c r="J496">
        <v>0.02</v>
      </c>
      <c r="K496">
        <v>0.0179919236759154</v>
      </c>
      <c r="L496" t="s">
        <v>580</v>
      </c>
      <c r="M496" t="s">
        <v>825</v>
      </c>
      <c r="N496">
        <v>10.25294117647059</v>
      </c>
      <c r="O496">
        <v>0.85</v>
      </c>
      <c r="P496">
        <v>0.14</v>
      </c>
      <c r="Q496">
        <v>0.1647058823529412</v>
      </c>
      <c r="R496">
        <v>1</v>
      </c>
      <c r="S496">
        <v>0.1486983549970351</v>
      </c>
      <c r="T496" t="s">
        <v>912</v>
      </c>
      <c r="U496">
        <v>0.210825240734939</v>
      </c>
      <c r="V496" t="s">
        <v>1005</v>
      </c>
      <c r="W496" t="s">
        <v>1008</v>
      </c>
      <c r="X496" t="s">
        <v>1019</v>
      </c>
      <c r="Y496">
        <v>1423.390417</v>
      </c>
      <c r="Z496" s="2">
        <v>45134</v>
      </c>
      <c r="AA496" t="s">
        <v>1032</v>
      </c>
    </row>
    <row r="497" spans="1:27">
      <c r="A497" s="1" t="s">
        <v>522</v>
      </c>
      <c r="B497">
        <f>HYPERLINK("https://www.suredividend.com/sure-analysis-ODC/","Oil-Dri Corp. Of America")</f>
        <v>0</v>
      </c>
      <c r="C497" t="s">
        <v>899</v>
      </c>
      <c r="D497">
        <v>50</v>
      </c>
      <c r="E497">
        <v>60.36</v>
      </c>
      <c r="F497">
        <v>42</v>
      </c>
      <c r="G497">
        <v>1.437142857142857</v>
      </c>
      <c r="H497">
        <v>0.01921802518223989</v>
      </c>
      <c r="I497">
        <v>-0.06996345985040986</v>
      </c>
      <c r="J497">
        <v>0.07000000000000001</v>
      </c>
      <c r="K497">
        <v>0.01628547216233622</v>
      </c>
      <c r="L497" t="s">
        <v>580</v>
      </c>
      <c r="M497" t="s">
        <v>825</v>
      </c>
      <c r="N497">
        <v>38.69230769230769</v>
      </c>
      <c r="O497">
        <v>1.56</v>
      </c>
      <c r="P497">
        <v>1.16</v>
      </c>
      <c r="Q497">
        <v>0.7435897435897435</v>
      </c>
      <c r="R497">
        <v>9</v>
      </c>
      <c r="S497">
        <v>0.03980577390781126</v>
      </c>
      <c r="T497" t="s">
        <v>915</v>
      </c>
      <c r="U497">
        <v>1.405813985308662</v>
      </c>
      <c r="V497" t="s">
        <v>1004</v>
      </c>
      <c r="W497" t="s">
        <v>1008</v>
      </c>
      <c r="X497" t="s">
        <v>1011</v>
      </c>
      <c r="Y497">
        <v>314.106068</v>
      </c>
      <c r="Z497" s="2">
        <v>45092</v>
      </c>
      <c r="AA497" t="s">
        <v>1024</v>
      </c>
    </row>
    <row r="498" spans="1:27">
      <c r="A498" s="1" t="s">
        <v>523</v>
      </c>
      <c r="B498">
        <f>HYPERLINK("https://www.suredividend.com/sure-analysis-BBD/","Banco Bradesco S.A.")</f>
        <v>0</v>
      </c>
      <c r="C498" t="s">
        <v>900</v>
      </c>
      <c r="D498">
        <v>3.13</v>
      </c>
      <c r="E498">
        <v>3.03</v>
      </c>
      <c r="F498">
        <v>3.04</v>
      </c>
      <c r="G498">
        <v>0.9967105263157894</v>
      </c>
      <c r="H498">
        <v>0.0132013201320132</v>
      </c>
      <c r="I498">
        <v>0.0006591963538518097</v>
      </c>
      <c r="J498">
        <v>0</v>
      </c>
      <c r="K498">
        <v>0.01349235332000109</v>
      </c>
      <c r="L498" t="s">
        <v>580</v>
      </c>
      <c r="M498" t="s">
        <v>825</v>
      </c>
      <c r="N498">
        <v>7.973684210526315</v>
      </c>
      <c r="O498">
        <v>0.38</v>
      </c>
      <c r="P498">
        <v>0.04</v>
      </c>
      <c r="Q498">
        <v>0.1052631578947368</v>
      </c>
      <c r="R498">
        <v>0</v>
      </c>
      <c r="S498">
        <v>0</v>
      </c>
      <c r="T498" t="s">
        <v>920</v>
      </c>
      <c r="U498">
        <v>-0.159522136331693</v>
      </c>
      <c r="V498" t="s">
        <v>1004</v>
      </c>
      <c r="W498" t="s">
        <v>1009</v>
      </c>
      <c r="X498" t="s">
        <v>1015</v>
      </c>
      <c r="Y498">
        <v>30487.512811</v>
      </c>
      <c r="Z498" s="2">
        <v>45144</v>
      </c>
      <c r="AA498" t="s">
        <v>1032</v>
      </c>
    </row>
    <row r="499" spans="1:27">
      <c r="A499" s="1" t="s">
        <v>524</v>
      </c>
      <c r="B499">
        <f>HYPERLINK("https://www.suredividend.com/sure-analysis-BAM/","Brookfield Asset Management Ltd")</f>
        <v>0</v>
      </c>
      <c r="C499" t="s">
        <v>899</v>
      </c>
      <c r="D499">
        <v>31</v>
      </c>
      <c r="E499">
        <v>34.94</v>
      </c>
      <c r="F499">
        <v>22</v>
      </c>
      <c r="G499">
        <v>1.588181818181818</v>
      </c>
      <c r="H499">
        <v>0.03663423010875787</v>
      </c>
      <c r="I499">
        <v>-0.08836717147036721</v>
      </c>
      <c r="J499">
        <v>0.06</v>
      </c>
      <c r="K499">
        <v>0.007254780316630294</v>
      </c>
      <c r="L499" t="s">
        <v>580</v>
      </c>
      <c r="M499" t="s">
        <v>580</v>
      </c>
      <c r="N499">
        <v>21.8375</v>
      </c>
      <c r="O499">
        <v>1.6</v>
      </c>
      <c r="P499">
        <v>1.28</v>
      </c>
      <c r="Q499">
        <v>0.7999999999999999</v>
      </c>
      <c r="R499">
        <v>11</v>
      </c>
      <c r="S499">
        <v>0.01953427031337696</v>
      </c>
      <c r="T499" t="s">
        <v>925</v>
      </c>
      <c r="U499">
        <v>0.09531249999999901</v>
      </c>
      <c r="V499" t="s">
        <v>1004</v>
      </c>
      <c r="W499" t="s">
        <v>1009</v>
      </c>
      <c r="X499" t="s">
        <v>1015</v>
      </c>
      <c r="Y499">
        <v>14461.153741</v>
      </c>
      <c r="Z499" s="2">
        <v>45155</v>
      </c>
      <c r="AA499" t="s">
        <v>1030</v>
      </c>
    </row>
    <row r="500" spans="1:27">
      <c r="A500" s="1" t="s">
        <v>525</v>
      </c>
      <c r="B500">
        <f>HYPERLINK("https://www.suredividend.com/sure-analysis-VNO/","Vornado Realty Trust")</f>
        <v>0</v>
      </c>
      <c r="C500" t="s">
        <v>900</v>
      </c>
      <c r="D500">
        <v>22.3</v>
      </c>
      <c r="E500">
        <v>24.52</v>
      </c>
      <c r="F500">
        <v>18.55</v>
      </c>
      <c r="G500">
        <v>1.321832884097035</v>
      </c>
      <c r="H500">
        <v>0.01549755301794454</v>
      </c>
      <c r="I500">
        <v>-0.05427539203837384</v>
      </c>
      <c r="J500">
        <v>0.03</v>
      </c>
      <c r="K500">
        <v>0.006738487628209278</v>
      </c>
      <c r="L500" t="s">
        <v>580</v>
      </c>
      <c r="M500" t="s">
        <v>825</v>
      </c>
      <c r="N500">
        <v>9.252830188679246</v>
      </c>
      <c r="O500">
        <v>2.65</v>
      </c>
      <c r="P500">
        <v>0.38</v>
      </c>
      <c r="Q500">
        <v>0.1433962264150943</v>
      </c>
      <c r="R500">
        <v>0</v>
      </c>
      <c r="S500">
        <v>0.2457309396155174</v>
      </c>
      <c r="T500" t="s">
        <v>986</v>
      </c>
      <c r="U500">
        <v>-0.07376729323585</v>
      </c>
      <c r="V500" t="s">
        <v>1005</v>
      </c>
      <c r="W500" t="s">
        <v>1008</v>
      </c>
      <c r="X500" t="s">
        <v>1019</v>
      </c>
      <c r="Y500">
        <v>4794.083669</v>
      </c>
      <c r="Z500" s="2">
        <v>45140</v>
      </c>
      <c r="AA500" t="s">
        <v>1032</v>
      </c>
    </row>
    <row r="501" spans="1:27">
      <c r="A501" s="1" t="s">
        <v>526</v>
      </c>
      <c r="B501">
        <f>HYPERLINK("https://www.suredividend.com/sure-analysis-LRCX/","Lam Research Corp.")</f>
        <v>0</v>
      </c>
      <c r="C501" t="s">
        <v>900</v>
      </c>
      <c r="D501">
        <v>690</v>
      </c>
      <c r="E501">
        <v>658.66</v>
      </c>
      <c r="F501">
        <v>432</v>
      </c>
      <c r="G501">
        <v>1.524675925925926</v>
      </c>
      <c r="H501">
        <v>0.01214587192178058</v>
      </c>
      <c r="I501">
        <v>-0.08089634873868279</v>
      </c>
      <c r="J501">
        <v>0.08</v>
      </c>
      <c r="K501">
        <v>0.006683515750610658</v>
      </c>
      <c r="L501" t="s">
        <v>580</v>
      </c>
      <c r="M501" t="s">
        <v>642</v>
      </c>
      <c r="N501">
        <v>19.83915662650602</v>
      </c>
      <c r="O501">
        <v>33.2</v>
      </c>
      <c r="P501">
        <v>8</v>
      </c>
      <c r="Q501">
        <v>0.2409638554216867</v>
      </c>
      <c r="R501">
        <v>10</v>
      </c>
      <c r="S501">
        <v>0.04855108409813447</v>
      </c>
      <c r="T501" t="s">
        <v>976</v>
      </c>
      <c r="U501">
        <v>0.492784114416745</v>
      </c>
      <c r="V501" t="s">
        <v>1004</v>
      </c>
      <c r="W501" t="s">
        <v>1008</v>
      </c>
      <c r="X501" t="s">
        <v>1016</v>
      </c>
      <c r="Y501">
        <v>86490.387243</v>
      </c>
      <c r="Z501" s="2">
        <v>45145</v>
      </c>
      <c r="AA501" t="s">
        <v>1027</v>
      </c>
    </row>
    <row r="502" spans="1:27">
      <c r="A502" s="1" t="s">
        <v>527</v>
      </c>
      <c r="B502">
        <f>HYPERLINK("https://www.suredividend.com/sure-analysis-CTRA/","Coterra Energy Inc")</f>
        <v>0</v>
      </c>
      <c r="C502" t="s">
        <v>900</v>
      </c>
      <c r="D502">
        <v>28</v>
      </c>
      <c r="E502">
        <v>28.31</v>
      </c>
      <c r="F502">
        <v>24</v>
      </c>
      <c r="G502">
        <v>1.179583333333333</v>
      </c>
      <c r="H502">
        <v>0.0282585658777817</v>
      </c>
      <c r="I502">
        <v>-0.03249264665952689</v>
      </c>
      <c r="J502">
        <v>0</v>
      </c>
      <c r="K502">
        <v>-0.0005166016217005298</v>
      </c>
      <c r="L502" t="s">
        <v>580</v>
      </c>
      <c r="M502" t="s">
        <v>825</v>
      </c>
      <c r="N502">
        <v>9.436666666666666</v>
      </c>
      <c r="O502">
        <v>3</v>
      </c>
      <c r="P502">
        <v>0.8</v>
      </c>
      <c r="Q502">
        <v>0.2666666666666667</v>
      </c>
      <c r="R502">
        <v>7</v>
      </c>
      <c r="S502">
        <v>0.01924487649145656</v>
      </c>
      <c r="T502" t="s">
        <v>936</v>
      </c>
      <c r="U502">
        <v>-0.025624001067809</v>
      </c>
      <c r="V502" t="s">
        <v>1004</v>
      </c>
      <c r="W502" t="s">
        <v>1008</v>
      </c>
      <c r="X502" t="s">
        <v>1020</v>
      </c>
      <c r="Y502">
        <v>21496.146524</v>
      </c>
      <c r="Z502" s="2">
        <v>45166</v>
      </c>
      <c r="AA502" t="s">
        <v>1022</v>
      </c>
    </row>
    <row r="503" spans="1:27">
      <c r="A503" s="1" t="s">
        <v>528</v>
      </c>
      <c r="B503">
        <f>HYPERLINK("https://www.suredividend.com/sure-analysis-CWH/","Camping World Holdings Inc")</f>
        <v>0</v>
      </c>
      <c r="C503" t="s">
        <v>900</v>
      </c>
      <c r="D503">
        <v>27.2</v>
      </c>
      <c r="E503">
        <v>21.55</v>
      </c>
      <c r="F503">
        <v>18.75</v>
      </c>
      <c r="G503">
        <v>1.149333333333333</v>
      </c>
      <c r="H503">
        <v>0.02320185614849188</v>
      </c>
      <c r="I503">
        <v>-0.02745254992280965</v>
      </c>
      <c r="J503">
        <v>0</v>
      </c>
      <c r="K503">
        <v>-0.002799857303792952</v>
      </c>
      <c r="L503" t="s">
        <v>580</v>
      </c>
      <c r="M503" t="s">
        <v>825</v>
      </c>
      <c r="N503">
        <v>8.620000000000001</v>
      </c>
      <c r="O503">
        <v>2.5</v>
      </c>
      <c r="P503">
        <v>0.5</v>
      </c>
      <c r="Q503">
        <v>0.2</v>
      </c>
      <c r="R503">
        <v>0</v>
      </c>
      <c r="S503">
        <v>0</v>
      </c>
      <c r="T503" t="s">
        <v>972</v>
      </c>
      <c r="U503">
        <v>-0.245955112151382</v>
      </c>
      <c r="V503" t="s">
        <v>1004</v>
      </c>
      <c r="W503" t="s">
        <v>1008</v>
      </c>
      <c r="X503" t="s">
        <v>1013</v>
      </c>
      <c r="Y503">
        <v>984.560746</v>
      </c>
      <c r="Z503" s="2">
        <v>45140</v>
      </c>
      <c r="AA503" t="s">
        <v>1032</v>
      </c>
    </row>
    <row r="504" spans="1:27">
      <c r="A504" s="1" t="s">
        <v>529</v>
      </c>
      <c r="B504">
        <f>HYPERLINK("https://www.suredividend.com/sure-analysis-DINO/","HF Sinclair Corp.")</f>
        <v>0</v>
      </c>
      <c r="C504" t="s">
        <v>900</v>
      </c>
      <c r="D504">
        <v>57</v>
      </c>
      <c r="E504">
        <v>60.97</v>
      </c>
      <c r="F504">
        <v>85</v>
      </c>
      <c r="G504">
        <v>0.7172941176470589</v>
      </c>
      <c r="H504">
        <v>0.02952271608988027</v>
      </c>
      <c r="I504">
        <v>0.06871165612375285</v>
      </c>
      <c r="J504">
        <v>-0.1</v>
      </c>
      <c r="K504">
        <v>-0.003923657031717709</v>
      </c>
      <c r="L504" t="s">
        <v>580</v>
      </c>
      <c r="M504" t="s">
        <v>825</v>
      </c>
      <c r="N504">
        <v>7.345783132530119</v>
      </c>
      <c r="O504">
        <v>8.300000000000001</v>
      </c>
      <c r="P504">
        <v>1.8</v>
      </c>
      <c r="Q504">
        <v>0.216867469879518</v>
      </c>
      <c r="R504">
        <v>2</v>
      </c>
      <c r="S504">
        <v>0.02129568760013512</v>
      </c>
      <c r="T504" t="s">
        <v>936</v>
      </c>
      <c r="U504">
        <v>0.190876229286892</v>
      </c>
      <c r="V504" t="s">
        <v>1004</v>
      </c>
      <c r="W504" t="s">
        <v>1008</v>
      </c>
      <c r="X504" t="s">
        <v>1020</v>
      </c>
      <c r="Y504">
        <v>11287.994822</v>
      </c>
      <c r="Z504" s="2">
        <v>45157</v>
      </c>
      <c r="AA504" t="s">
        <v>1022</v>
      </c>
    </row>
    <row r="505" spans="1:27">
      <c r="A505" s="1" t="s">
        <v>530</v>
      </c>
      <c r="B505">
        <f>HYPERLINK("https://www.suredividend.com/sure-analysis-FANG/","Diamondback Energy Inc")</f>
        <v>0</v>
      </c>
      <c r="C505" t="s">
        <v>900</v>
      </c>
      <c r="D505">
        <v>148</v>
      </c>
      <c r="E505">
        <v>155.79</v>
      </c>
      <c r="F505">
        <v>238</v>
      </c>
      <c r="G505">
        <v>0.654579831932773</v>
      </c>
      <c r="H505">
        <v>0.02156749470440978</v>
      </c>
      <c r="I505">
        <v>0.0884474743250403</v>
      </c>
      <c r="J505">
        <v>-0.11</v>
      </c>
      <c r="K505">
        <v>-0.004133752582246353</v>
      </c>
      <c r="L505" t="s">
        <v>580</v>
      </c>
      <c r="M505" t="s">
        <v>825</v>
      </c>
      <c r="N505">
        <v>8.199473684210526</v>
      </c>
      <c r="O505">
        <v>19</v>
      </c>
      <c r="P505">
        <v>3.36</v>
      </c>
      <c r="Q505">
        <v>0.1768421052631579</v>
      </c>
      <c r="R505">
        <v>6</v>
      </c>
      <c r="S505">
        <v>0.05348763452683558</v>
      </c>
      <c r="T505" t="s">
        <v>906</v>
      </c>
      <c r="U505">
        <v>0.168473710649698</v>
      </c>
      <c r="V505" t="s">
        <v>1004</v>
      </c>
      <c r="W505" t="s">
        <v>1008</v>
      </c>
      <c r="X505" t="s">
        <v>1020</v>
      </c>
      <c r="Y505">
        <v>27951.107543</v>
      </c>
      <c r="Z505" s="2">
        <v>45161</v>
      </c>
      <c r="AA505" t="s">
        <v>1022</v>
      </c>
    </row>
    <row r="506" spans="1:27">
      <c r="A506" s="1" t="s">
        <v>531</v>
      </c>
      <c r="B506">
        <f>HYPERLINK("https://www.suredividend.com/sure-analysis-RS/","Reliance Steel &amp; Aluminum Co.")</f>
        <v>0</v>
      </c>
      <c r="C506" t="s">
        <v>900</v>
      </c>
      <c r="D506">
        <v>278</v>
      </c>
      <c r="E506">
        <v>262.9</v>
      </c>
      <c r="F506">
        <v>286</v>
      </c>
      <c r="G506">
        <v>0.9192307692307692</v>
      </c>
      <c r="H506">
        <v>0.01521491061240015</v>
      </c>
      <c r="I506">
        <v>0.0169862693218279</v>
      </c>
      <c r="J506">
        <v>-0.04</v>
      </c>
      <c r="K506">
        <v>-0.005221679563821913</v>
      </c>
      <c r="L506" t="s">
        <v>580</v>
      </c>
      <c r="M506" t="s">
        <v>825</v>
      </c>
      <c r="N506">
        <v>11.95</v>
      </c>
      <c r="O506">
        <v>22</v>
      </c>
      <c r="P506">
        <v>4</v>
      </c>
      <c r="Q506">
        <v>0.1818181818181818</v>
      </c>
      <c r="R506">
        <v>13</v>
      </c>
      <c r="S506">
        <v>0.04563955259127317</v>
      </c>
      <c r="T506" t="s">
        <v>932</v>
      </c>
      <c r="U506">
        <v>0.398925591544178</v>
      </c>
      <c r="V506" t="s">
        <v>1004</v>
      </c>
      <c r="W506" t="s">
        <v>1008</v>
      </c>
      <c r="X506" t="s">
        <v>1010</v>
      </c>
      <c r="Y506">
        <v>16987.862671</v>
      </c>
      <c r="Z506" s="2">
        <v>45160</v>
      </c>
      <c r="AA506" t="s">
        <v>1022</v>
      </c>
    </row>
    <row r="507" spans="1:27">
      <c r="A507" s="1" t="s">
        <v>532</v>
      </c>
      <c r="B507">
        <f>HYPERLINK("https://www.suredividend.com/sure-analysis-COLD/","Americold Realty Trust Inc")</f>
        <v>0</v>
      </c>
      <c r="C507" t="s">
        <v>900</v>
      </c>
      <c r="D507">
        <v>32</v>
      </c>
      <c r="E507">
        <v>32.44</v>
      </c>
      <c r="F507">
        <v>22.5</v>
      </c>
      <c r="G507">
        <v>1.441777777777778</v>
      </c>
      <c r="H507">
        <v>0.02712700369913687</v>
      </c>
      <c r="I507">
        <v>-0.07056219279681353</v>
      </c>
      <c r="J507">
        <v>0.03</v>
      </c>
      <c r="K507">
        <v>-0.01008078411345192</v>
      </c>
      <c r="L507" t="s">
        <v>580</v>
      </c>
      <c r="M507" t="s">
        <v>825</v>
      </c>
      <c r="N507">
        <v>25.952</v>
      </c>
      <c r="O507">
        <v>1.25</v>
      </c>
      <c r="P507">
        <v>0.88</v>
      </c>
      <c r="Q507">
        <v>0.704</v>
      </c>
      <c r="R507">
        <v>0</v>
      </c>
      <c r="S507">
        <v>0.02589630491023409</v>
      </c>
      <c r="T507" t="s">
        <v>911</v>
      </c>
      <c r="U507">
        <v>0.101466042894955</v>
      </c>
      <c r="V507" t="s">
        <v>1005</v>
      </c>
      <c r="W507" t="s">
        <v>1008</v>
      </c>
      <c r="X507" t="s">
        <v>1019</v>
      </c>
      <c r="Y507">
        <v>8850.849645</v>
      </c>
      <c r="Z507" s="2">
        <v>45144</v>
      </c>
      <c r="AA507" t="s">
        <v>1032</v>
      </c>
    </row>
    <row r="508" spans="1:27">
      <c r="A508" s="1" t="s">
        <v>533</v>
      </c>
      <c r="B508">
        <f>HYPERLINK("https://www.suredividend.com/sure-analysis-NEU/","NewMarket Corp.")</f>
        <v>0</v>
      </c>
      <c r="C508" t="s">
        <v>900</v>
      </c>
      <c r="D508">
        <v>449</v>
      </c>
      <c r="E508">
        <v>448.18</v>
      </c>
      <c r="F508">
        <v>360</v>
      </c>
      <c r="G508">
        <v>1.244944444444444</v>
      </c>
      <c r="H508">
        <v>0.02008121736802178</v>
      </c>
      <c r="I508">
        <v>-0.04287203448536303</v>
      </c>
      <c r="J508">
        <v>0.01</v>
      </c>
      <c r="K508">
        <v>-0.01068862544852445</v>
      </c>
      <c r="L508" t="s">
        <v>580</v>
      </c>
      <c r="M508" t="s">
        <v>825</v>
      </c>
      <c r="N508">
        <v>14.93933333333333</v>
      </c>
      <c r="O508">
        <v>30</v>
      </c>
      <c r="P508">
        <v>9</v>
      </c>
      <c r="Q508">
        <v>0.3</v>
      </c>
      <c r="R508">
        <v>17</v>
      </c>
      <c r="S508">
        <v>0.01001942278202117</v>
      </c>
      <c r="T508" t="s">
        <v>912</v>
      </c>
      <c r="U508">
        <v>0.542446625518567</v>
      </c>
      <c r="V508" t="s">
        <v>1004</v>
      </c>
      <c r="W508" t="s">
        <v>1008</v>
      </c>
      <c r="X508" t="s">
        <v>1012</v>
      </c>
      <c r="Y508">
        <v>4385.350779</v>
      </c>
      <c r="Z508" s="2">
        <v>45138</v>
      </c>
      <c r="AA508" t="s">
        <v>1025</v>
      </c>
    </row>
    <row r="509" spans="1:27">
      <c r="A509" s="1" t="s">
        <v>534</v>
      </c>
      <c r="B509">
        <f>HYPERLINK("https://www.suredividend.com/sure-analysis-MU/","Micron Technology Inc.")</f>
        <v>0</v>
      </c>
      <c r="C509" t="s">
        <v>900</v>
      </c>
      <c r="D509">
        <v>63</v>
      </c>
      <c r="E509">
        <v>70.84999999999999</v>
      </c>
      <c r="F509">
        <v>53</v>
      </c>
      <c r="G509">
        <v>1.336792452830189</v>
      </c>
      <c r="H509">
        <v>0.006492589978828512</v>
      </c>
      <c r="I509">
        <v>-0.05640158436751441</v>
      </c>
      <c r="J509">
        <v>0.035</v>
      </c>
      <c r="K509">
        <v>-0.01512230937660852</v>
      </c>
      <c r="L509" t="s">
        <v>580</v>
      </c>
      <c r="M509" t="s">
        <v>642</v>
      </c>
      <c r="N509">
        <v>11.42741935483871</v>
      </c>
      <c r="O509">
        <v>6.2</v>
      </c>
      <c r="P509">
        <v>0.46</v>
      </c>
      <c r="Q509">
        <v>0.07419354838709677</v>
      </c>
      <c r="R509">
        <v>1</v>
      </c>
      <c r="S509">
        <v>0.05457794330579446</v>
      </c>
      <c r="T509" t="s">
        <v>921</v>
      </c>
      <c r="U509">
        <v>0.22836472526455</v>
      </c>
      <c r="V509" t="s">
        <v>1004</v>
      </c>
      <c r="W509" t="s">
        <v>1008</v>
      </c>
      <c r="X509" t="s">
        <v>1016</v>
      </c>
      <c r="Y509">
        <v>77010.65605799999</v>
      </c>
      <c r="Z509" s="2">
        <v>45109</v>
      </c>
      <c r="AA509" t="s">
        <v>1034</v>
      </c>
    </row>
    <row r="510" spans="1:27">
      <c r="A510" s="1" t="s">
        <v>535</v>
      </c>
      <c r="B510">
        <f>HYPERLINK("https://www.suredividend.com/sure-analysis-COF/","Capital One Financial Corp.")</f>
        <v>0</v>
      </c>
      <c r="C510" t="s">
        <v>900</v>
      </c>
      <c r="D510">
        <v>117</v>
      </c>
      <c r="E510">
        <v>100.34</v>
      </c>
      <c r="F510">
        <v>108</v>
      </c>
      <c r="G510">
        <v>0.9290740740740741</v>
      </c>
      <c r="H510">
        <v>0.02391867649990034</v>
      </c>
      <c r="I510">
        <v>0.01482213594254156</v>
      </c>
      <c r="J510">
        <v>-0.06</v>
      </c>
      <c r="K510">
        <v>-0.01639638667425658</v>
      </c>
      <c r="L510" t="s">
        <v>580</v>
      </c>
      <c r="M510" t="s">
        <v>825</v>
      </c>
      <c r="N510">
        <v>8.361666666666666</v>
      </c>
      <c r="O510">
        <v>12</v>
      </c>
      <c r="P510">
        <v>2.4</v>
      </c>
      <c r="Q510">
        <v>0.2</v>
      </c>
      <c r="R510">
        <v>1</v>
      </c>
      <c r="S510">
        <v>0.02983277847878951</v>
      </c>
      <c r="T510" t="s">
        <v>910</v>
      </c>
      <c r="U510">
        <v>-0.0531048415813</v>
      </c>
      <c r="V510" t="s">
        <v>1004</v>
      </c>
      <c r="W510" t="s">
        <v>1008</v>
      </c>
      <c r="X510" t="s">
        <v>1015</v>
      </c>
      <c r="Y510">
        <v>38544.658421</v>
      </c>
      <c r="Z510" s="2">
        <v>45132</v>
      </c>
      <c r="AA510" t="s">
        <v>1023</v>
      </c>
    </row>
    <row r="511" spans="1:27">
      <c r="A511" s="1" t="s">
        <v>536</v>
      </c>
      <c r="B511">
        <f>HYPERLINK("https://www.suredividend.com/sure-analysis-APA/","APA Corporation")</f>
        <v>0</v>
      </c>
      <c r="C511" t="s">
        <v>900</v>
      </c>
      <c r="D511">
        <v>44</v>
      </c>
      <c r="E511">
        <v>42.1</v>
      </c>
      <c r="F511">
        <v>33</v>
      </c>
      <c r="G511">
        <v>1.275757575757576</v>
      </c>
      <c r="H511">
        <v>0.02375296912114014</v>
      </c>
      <c r="I511">
        <v>-0.04754082695458661</v>
      </c>
      <c r="J511">
        <v>0</v>
      </c>
      <c r="K511">
        <v>-0.01670382326901731</v>
      </c>
      <c r="L511" t="s">
        <v>580</v>
      </c>
      <c r="M511" t="s">
        <v>825</v>
      </c>
      <c r="N511">
        <v>10.02380952380952</v>
      </c>
      <c r="O511">
        <v>4.2</v>
      </c>
      <c r="P511">
        <v>1</v>
      </c>
      <c r="Q511">
        <v>0.2380952380952381</v>
      </c>
      <c r="R511">
        <v>1</v>
      </c>
      <c r="S511">
        <v>0.04396114979019283</v>
      </c>
      <c r="T511" t="s">
        <v>935</v>
      </c>
      <c r="U511">
        <v>0.140006757506119</v>
      </c>
      <c r="V511" t="s">
        <v>1004</v>
      </c>
      <c r="W511" t="s">
        <v>1008</v>
      </c>
      <c r="X511" t="s">
        <v>1020</v>
      </c>
      <c r="Y511">
        <v>13581.130857</v>
      </c>
      <c r="Z511" s="2">
        <v>45160</v>
      </c>
      <c r="AA511" t="s">
        <v>1022</v>
      </c>
    </row>
    <row r="512" spans="1:27">
      <c r="A512" s="1" t="s">
        <v>537</v>
      </c>
      <c r="B512">
        <f>HYPERLINK("https://www.suredividend.com/sure-analysis-PPL/","PPL Corp")</f>
        <v>0</v>
      </c>
      <c r="C512" t="s">
        <v>900</v>
      </c>
      <c r="D512">
        <v>26</v>
      </c>
      <c r="E512">
        <v>25.37</v>
      </c>
      <c r="F512">
        <v>16</v>
      </c>
      <c r="G512">
        <v>1.585625</v>
      </c>
      <c r="H512">
        <v>0.03783996846669294</v>
      </c>
      <c r="I512">
        <v>-0.08807335957561446</v>
      </c>
      <c r="J512">
        <v>0.02</v>
      </c>
      <c r="K512">
        <v>-0.02146709725345752</v>
      </c>
      <c r="L512" t="s">
        <v>580</v>
      </c>
      <c r="M512" t="s">
        <v>902</v>
      </c>
      <c r="N512">
        <v>16.05696202531646</v>
      </c>
      <c r="O512">
        <v>1.58</v>
      </c>
      <c r="P512">
        <v>0.96</v>
      </c>
      <c r="Q512">
        <v>0.6075949367088607</v>
      </c>
      <c r="R512">
        <v>1</v>
      </c>
      <c r="S512">
        <v>0.02001586442069092</v>
      </c>
      <c r="T512" t="s">
        <v>924</v>
      </c>
      <c r="U512">
        <v>-0.138695159240045</v>
      </c>
      <c r="V512" t="s">
        <v>1004</v>
      </c>
      <c r="W512" t="s">
        <v>1008</v>
      </c>
      <c r="X512" t="s">
        <v>1018</v>
      </c>
      <c r="Y512">
        <v>18478.809698</v>
      </c>
      <c r="Z512" s="2">
        <v>45148</v>
      </c>
      <c r="AA512" t="s">
        <v>1021</v>
      </c>
    </row>
    <row r="513" spans="1:27">
      <c r="A513" s="1" t="s">
        <v>538</v>
      </c>
      <c r="B513">
        <f>HYPERLINK("https://www.suredividend.com/sure-analysis-SONY/","Sony Group Corporation")</f>
        <v>0</v>
      </c>
      <c r="C513" t="s">
        <v>900</v>
      </c>
      <c r="D513">
        <v>81</v>
      </c>
      <c r="E513">
        <v>84.43000000000001</v>
      </c>
      <c r="F513">
        <v>67</v>
      </c>
      <c r="G513">
        <v>1.260149253731343</v>
      </c>
      <c r="H513">
        <v>0.006277389553476252</v>
      </c>
      <c r="I513">
        <v>-0.04519298156463514</v>
      </c>
      <c r="J513">
        <v>0.017</v>
      </c>
      <c r="K513">
        <v>-0.02161786971866797</v>
      </c>
      <c r="L513" t="s">
        <v>580</v>
      </c>
      <c r="M513" t="s">
        <v>642</v>
      </c>
      <c r="N513">
        <v>16.39417475728155</v>
      </c>
      <c r="O513">
        <v>5.15</v>
      </c>
      <c r="P513">
        <v>0.53</v>
      </c>
      <c r="Q513">
        <v>0.1029126213592233</v>
      </c>
      <c r="R513">
        <v>6</v>
      </c>
      <c r="S513">
        <v>0.01819374512778538</v>
      </c>
      <c r="T513" t="s">
        <v>984</v>
      </c>
      <c r="U513">
        <v>0.13753203096282</v>
      </c>
      <c r="V513" t="s">
        <v>1004</v>
      </c>
      <c r="W513" t="s">
        <v>1009</v>
      </c>
      <c r="X513" t="s">
        <v>1016</v>
      </c>
      <c r="Y513">
        <v>107708.994915</v>
      </c>
      <c r="Z513" s="2">
        <v>45163</v>
      </c>
      <c r="AA513" t="s">
        <v>1021</v>
      </c>
    </row>
    <row r="514" spans="1:27">
      <c r="A514" s="1" t="s">
        <v>539</v>
      </c>
      <c r="B514">
        <f>HYPERLINK("https://www.suredividend.com/sure-analysis-VMC/","Vulcan Materials Co")</f>
        <v>0</v>
      </c>
      <c r="C514" t="s">
        <v>900</v>
      </c>
      <c r="D514">
        <v>224</v>
      </c>
      <c r="E514">
        <v>213.74</v>
      </c>
      <c r="F514">
        <v>139</v>
      </c>
      <c r="G514">
        <v>1.537697841726619</v>
      </c>
      <c r="H514">
        <v>0.00804716010105736</v>
      </c>
      <c r="I514">
        <v>-0.08245832523081764</v>
      </c>
      <c r="J514">
        <v>0.05</v>
      </c>
      <c r="K514">
        <v>-0.02596431186901882</v>
      </c>
      <c r="L514" t="s">
        <v>580</v>
      </c>
      <c r="M514" t="s">
        <v>642</v>
      </c>
      <c r="N514">
        <v>30.84271284271285</v>
      </c>
      <c r="O514">
        <v>6.93</v>
      </c>
      <c r="P514">
        <v>1.72</v>
      </c>
      <c r="Q514">
        <v>0.2481962481962482</v>
      </c>
      <c r="R514">
        <v>10</v>
      </c>
      <c r="S514">
        <v>0.05045837224621441</v>
      </c>
      <c r="T514" t="s">
        <v>936</v>
      </c>
      <c r="U514">
        <v>0.264778420855505</v>
      </c>
      <c r="V514" t="s">
        <v>1004</v>
      </c>
      <c r="W514" t="s">
        <v>1008</v>
      </c>
      <c r="X514" t="s">
        <v>1010</v>
      </c>
      <c r="Y514">
        <v>28535.667331</v>
      </c>
      <c r="Z514" s="2">
        <v>45155</v>
      </c>
      <c r="AA514" t="s">
        <v>1021</v>
      </c>
    </row>
    <row r="515" spans="1:27">
      <c r="A515" s="1" t="s">
        <v>540</v>
      </c>
      <c r="B515">
        <f>HYPERLINK("https://www.suredividend.com/sure-analysis-COP/","Conoco Phillips")</f>
        <v>0</v>
      </c>
      <c r="C515" t="s">
        <v>900</v>
      </c>
      <c r="D515">
        <v>118</v>
      </c>
      <c r="E515">
        <v>122.31</v>
      </c>
      <c r="F515">
        <v>116</v>
      </c>
      <c r="G515">
        <v>1.054396551724138</v>
      </c>
      <c r="H515">
        <v>0.01667893058621536</v>
      </c>
      <c r="I515">
        <v>-0.01053780702291685</v>
      </c>
      <c r="J515">
        <v>-0.05</v>
      </c>
      <c r="K515">
        <v>-0.03709893018231403</v>
      </c>
      <c r="L515" t="s">
        <v>580</v>
      </c>
      <c r="M515" t="s">
        <v>825</v>
      </c>
      <c r="N515">
        <v>12.87473684210526</v>
      </c>
      <c r="O515">
        <v>9.5</v>
      </c>
      <c r="P515">
        <v>2.04</v>
      </c>
      <c r="Q515">
        <v>0.2147368421052632</v>
      </c>
      <c r="R515">
        <v>6</v>
      </c>
      <c r="S515">
        <v>0.0398346919425614</v>
      </c>
      <c r="T515" t="s">
        <v>923</v>
      </c>
      <c r="U515">
        <v>0.130920494672048</v>
      </c>
      <c r="V515" t="s">
        <v>1004</v>
      </c>
      <c r="W515" t="s">
        <v>1008</v>
      </c>
      <c r="X515" t="s">
        <v>1020</v>
      </c>
      <c r="Y515">
        <v>147387.152033</v>
      </c>
      <c r="Z515" s="2">
        <v>45153</v>
      </c>
      <c r="AA515" t="s">
        <v>1022</v>
      </c>
    </row>
    <row r="516" spans="1:27">
      <c r="A516" s="1" t="s">
        <v>541</v>
      </c>
      <c r="B516">
        <f>HYPERLINK("https://www.suredividend.com/sure-analysis-FCX/","Freeport-McMoRan Inc")</f>
        <v>0</v>
      </c>
      <c r="C516" t="s">
        <v>900</v>
      </c>
      <c r="D516">
        <v>41</v>
      </c>
      <c r="E516">
        <v>39.74</v>
      </c>
      <c r="F516">
        <v>22</v>
      </c>
      <c r="G516">
        <v>1.806363636363636</v>
      </c>
      <c r="H516">
        <v>0.007549068948163059</v>
      </c>
      <c r="I516">
        <v>-0.1115377829839979</v>
      </c>
      <c r="J516">
        <v>0.07000000000000001</v>
      </c>
      <c r="K516">
        <v>-0.03857187287662356</v>
      </c>
      <c r="L516" t="s">
        <v>580</v>
      </c>
      <c r="M516" t="s">
        <v>642</v>
      </c>
      <c r="N516">
        <v>23.3764705882353</v>
      </c>
      <c r="O516">
        <v>1.7</v>
      </c>
      <c r="P516">
        <v>0.3</v>
      </c>
      <c r="Q516">
        <v>0.1764705882352941</v>
      </c>
      <c r="R516">
        <v>2</v>
      </c>
      <c r="S516">
        <v>0.05922384104881218</v>
      </c>
      <c r="T516" t="s">
        <v>908</v>
      </c>
      <c r="U516">
        <v>0.255173753520972</v>
      </c>
      <c r="V516" t="s">
        <v>1004</v>
      </c>
      <c r="W516" t="s">
        <v>1008</v>
      </c>
      <c r="X516" t="s">
        <v>1010</v>
      </c>
      <c r="Y516">
        <v>57431.443218</v>
      </c>
      <c r="Z516" s="2">
        <v>45130</v>
      </c>
      <c r="AA516" t="s">
        <v>1030</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580</v>
      </c>
      <c r="M517" t="s">
        <v>902</v>
      </c>
      <c r="N517">
        <v>4.8</v>
      </c>
      <c r="O517">
        <v>1.35</v>
      </c>
      <c r="P517">
        <v>0.29</v>
      </c>
      <c r="Q517">
        <v>0.2148148148148148</v>
      </c>
      <c r="R517">
        <v>1</v>
      </c>
      <c r="S517">
        <v>0</v>
      </c>
      <c r="T517" t="s">
        <v>987</v>
      </c>
      <c r="U517">
        <v>0.171112556929082</v>
      </c>
      <c r="V517" t="s">
        <v>1004</v>
      </c>
      <c r="W517" t="s">
        <v>1009</v>
      </c>
      <c r="X517" t="s">
        <v>1016</v>
      </c>
      <c r="Y517">
        <v>2198.339527</v>
      </c>
      <c r="Z517" s="2">
        <v>44759</v>
      </c>
      <c r="AA517" t="s">
        <v>1021</v>
      </c>
    </row>
    <row r="518" spans="1:27">
      <c r="A518" s="1" t="s">
        <v>543</v>
      </c>
      <c r="B518">
        <f>HYPERLINK("https://www.suredividend.com/sure-analysis-STLD/","Steel Dynamics Inc.")</f>
        <v>0</v>
      </c>
      <c r="C518" t="s">
        <v>900</v>
      </c>
      <c r="D518">
        <v>105</v>
      </c>
      <c r="E518">
        <v>98.65000000000001</v>
      </c>
      <c r="F518">
        <v>64</v>
      </c>
      <c r="G518">
        <v>1.54140625</v>
      </c>
      <c r="H518">
        <v>0.01723264064875824</v>
      </c>
      <c r="I518">
        <v>-0.08290024615378155</v>
      </c>
      <c r="J518">
        <v>0</v>
      </c>
      <c r="K518">
        <v>-0.05586896141451625</v>
      </c>
      <c r="L518" t="s">
        <v>580</v>
      </c>
      <c r="M518" t="s">
        <v>825</v>
      </c>
      <c r="N518">
        <v>17.15652173913044</v>
      </c>
      <c r="O518">
        <v>5.75</v>
      </c>
      <c r="P518">
        <v>1.7</v>
      </c>
      <c r="Q518">
        <v>0.2956521739130435</v>
      </c>
      <c r="R518">
        <v>11</v>
      </c>
      <c r="S518">
        <v>0.05482596260493655</v>
      </c>
      <c r="T518" t="s">
        <v>911</v>
      </c>
      <c r="U518">
        <v>0.224043448777239</v>
      </c>
      <c r="V518" t="s">
        <v>1004</v>
      </c>
      <c r="W518" t="s">
        <v>1008</v>
      </c>
      <c r="X518" t="s">
        <v>1010</v>
      </c>
      <c r="Y518">
        <v>16594.25469</v>
      </c>
      <c r="Z518" s="2">
        <v>45127</v>
      </c>
      <c r="AA518" t="s">
        <v>1022</v>
      </c>
    </row>
    <row r="519" spans="1:27">
      <c r="A519" s="1" t="s">
        <v>544</v>
      </c>
      <c r="B519">
        <f>HYPERLINK("https://www.suredividend.com/sure-analysis-AGO/","Assured Guaranty Ltd")</f>
        <v>0</v>
      </c>
      <c r="C519" t="s">
        <v>900</v>
      </c>
      <c r="D519">
        <v>61</v>
      </c>
      <c r="E519">
        <v>60.99</v>
      </c>
      <c r="F519">
        <v>36</v>
      </c>
      <c r="G519">
        <v>1.694166666666667</v>
      </c>
      <c r="H519">
        <v>0.01836366617478275</v>
      </c>
      <c r="I519">
        <v>-0.1000699092060566</v>
      </c>
      <c r="J519">
        <v>0</v>
      </c>
      <c r="K519">
        <v>-0.07366741875684535</v>
      </c>
      <c r="L519" t="s">
        <v>580</v>
      </c>
      <c r="M519" t="s">
        <v>825</v>
      </c>
      <c r="N519">
        <v>15.2475</v>
      </c>
      <c r="O519">
        <v>4</v>
      </c>
      <c r="P519">
        <v>1.12</v>
      </c>
      <c r="Q519">
        <v>0.28</v>
      </c>
      <c r="R519">
        <v>11</v>
      </c>
      <c r="S519">
        <v>0</v>
      </c>
      <c r="T519" t="s">
        <v>923</v>
      </c>
      <c r="U519">
        <v>0.128542379386571</v>
      </c>
      <c r="V519" t="s">
        <v>1004</v>
      </c>
      <c r="W519" t="s">
        <v>1009</v>
      </c>
      <c r="X519" t="s">
        <v>1015</v>
      </c>
      <c r="Y519">
        <v>3584.596407</v>
      </c>
      <c r="Z519" s="2">
        <v>45171</v>
      </c>
      <c r="AA519" t="s">
        <v>1025</v>
      </c>
    </row>
    <row r="520" spans="1:27">
      <c r="A520" s="1" t="s">
        <v>545</v>
      </c>
      <c r="B520">
        <f>HYPERLINK("https://www.suredividend.com/sure-analysis-DVN/","Devon Energy Corp.")</f>
        <v>0</v>
      </c>
      <c r="C520" t="s">
        <v>900</v>
      </c>
      <c r="D520">
        <v>50</v>
      </c>
      <c r="E520">
        <v>50.36</v>
      </c>
      <c r="F520">
        <v>53</v>
      </c>
      <c r="G520">
        <v>0.9501886792452831</v>
      </c>
      <c r="H520">
        <v>0.0158856235107228</v>
      </c>
      <c r="I520">
        <v>0.01027133256193857</v>
      </c>
      <c r="J520">
        <v>-0.1</v>
      </c>
      <c r="K520">
        <v>-0.07427983747588818</v>
      </c>
      <c r="L520" t="s">
        <v>580</v>
      </c>
      <c r="M520" t="s">
        <v>642</v>
      </c>
      <c r="N520">
        <v>14.38857142857143</v>
      </c>
      <c r="O520">
        <v>3.5</v>
      </c>
      <c r="P520">
        <v>0.8</v>
      </c>
      <c r="Q520">
        <v>0.2285714285714286</v>
      </c>
      <c r="R520">
        <v>5</v>
      </c>
      <c r="S520">
        <v>-0.1009132981313342</v>
      </c>
      <c r="T520" t="s">
        <v>912</v>
      </c>
      <c r="U520">
        <v>-0.249144164612613</v>
      </c>
      <c r="V520" t="s">
        <v>1004</v>
      </c>
      <c r="W520" t="s">
        <v>1008</v>
      </c>
      <c r="X520" t="s">
        <v>1020</v>
      </c>
      <c r="Y520">
        <v>32925.573</v>
      </c>
      <c r="Z520" s="2">
        <v>45164</v>
      </c>
      <c r="AA520" t="s">
        <v>1025</v>
      </c>
    </row>
    <row r="521" spans="1:27">
      <c r="A521" s="1" t="s">
        <v>546</v>
      </c>
      <c r="B521">
        <f>HYPERLINK("https://www.suredividend.com/sure-analysis-OXY/","Occidental Petroleum Corp.")</f>
        <v>0</v>
      </c>
      <c r="C521" t="s">
        <v>900</v>
      </c>
      <c r="D521">
        <v>66</v>
      </c>
      <c r="E521">
        <v>66.31999999999999</v>
      </c>
      <c r="F521">
        <v>65</v>
      </c>
      <c r="G521">
        <v>1.020307692307692</v>
      </c>
      <c r="H521">
        <v>0.01085645355850422</v>
      </c>
      <c r="I521">
        <v>-0.004012775399652835</v>
      </c>
      <c r="J521">
        <v>-0.09</v>
      </c>
      <c r="K521">
        <v>-0.07477635660844117</v>
      </c>
      <c r="L521" t="s">
        <v>580</v>
      </c>
      <c r="M521" t="s">
        <v>642</v>
      </c>
      <c r="N521">
        <v>14.41739130434783</v>
      </c>
      <c r="O521">
        <v>4.6</v>
      </c>
      <c r="P521">
        <v>0.72</v>
      </c>
      <c r="Q521">
        <v>0.1565217391304348</v>
      </c>
      <c r="R521">
        <v>2</v>
      </c>
      <c r="S521">
        <v>0.06790716584560208</v>
      </c>
      <c r="T521" t="s">
        <v>924</v>
      </c>
      <c r="U521">
        <v>0.005153625240961001</v>
      </c>
      <c r="V521" t="s">
        <v>1004</v>
      </c>
      <c r="W521" t="s">
        <v>1008</v>
      </c>
      <c r="X521" t="s">
        <v>1020</v>
      </c>
      <c r="Y521">
        <v>58769.41782</v>
      </c>
      <c r="Z521" s="2">
        <v>45153</v>
      </c>
      <c r="AA521" t="s">
        <v>1022</v>
      </c>
    </row>
    <row r="522" spans="1:27">
      <c r="A522" s="1" t="s">
        <v>547</v>
      </c>
      <c r="B522">
        <f>HYPERLINK("https://www.suredividend.com/sure-analysis-MPC/","Marathon Petroleum Corp")</f>
        <v>0</v>
      </c>
      <c r="C522" t="s">
        <v>900</v>
      </c>
      <c r="D522">
        <v>137</v>
      </c>
      <c r="E522">
        <v>155.48</v>
      </c>
      <c r="F522">
        <v>226</v>
      </c>
      <c r="G522">
        <v>0.6879646017699115</v>
      </c>
      <c r="H522">
        <v>0.01929508618471829</v>
      </c>
      <c r="I522">
        <v>0.07767245222456798</v>
      </c>
      <c r="J522">
        <v>-0.18</v>
      </c>
      <c r="K522">
        <v>-0.08497292507601728</v>
      </c>
      <c r="L522" t="s">
        <v>580</v>
      </c>
      <c r="M522" t="s">
        <v>825</v>
      </c>
      <c r="N522">
        <v>8.183157894736842</v>
      </c>
      <c r="O522">
        <v>19</v>
      </c>
      <c r="P522">
        <v>3</v>
      </c>
      <c r="Q522">
        <v>0.1578947368421053</v>
      </c>
      <c r="R522">
        <v>1</v>
      </c>
      <c r="S522">
        <v>0.0204773406453429</v>
      </c>
      <c r="T522" t="s">
        <v>923</v>
      </c>
      <c r="U522">
        <v>0.59703611086913</v>
      </c>
      <c r="V522" t="s">
        <v>1004</v>
      </c>
      <c r="W522" t="s">
        <v>1008</v>
      </c>
      <c r="X522" t="s">
        <v>1020</v>
      </c>
      <c r="Y522">
        <v>62307.698</v>
      </c>
      <c r="Z522" s="2">
        <v>45142</v>
      </c>
      <c r="AA522" t="s">
        <v>1022</v>
      </c>
    </row>
    <row r="523" spans="1:27">
      <c r="A523" s="1" t="s">
        <v>548</v>
      </c>
      <c r="B523">
        <f>HYPERLINK("https://www.suredividend.com/sure-analysis-KEY/","Keycorp")</f>
        <v>0</v>
      </c>
      <c r="C523" t="s">
        <v>898</v>
      </c>
      <c r="D523">
        <v>12</v>
      </c>
      <c r="E523">
        <v>11.43</v>
      </c>
      <c r="F523">
        <v>16</v>
      </c>
      <c r="G523">
        <v>0.714375</v>
      </c>
      <c r="H523">
        <v>0.07174103237095363</v>
      </c>
      <c r="I523">
        <v>0.06958363747101148</v>
      </c>
      <c r="J523">
        <v>0.09</v>
      </c>
      <c r="K523">
        <v>0.2078601826415072</v>
      </c>
      <c r="L523" t="s">
        <v>825</v>
      </c>
      <c r="M523" t="s">
        <v>902</v>
      </c>
      <c r="N523">
        <v>8.792307692307691</v>
      </c>
      <c r="O523">
        <v>1.3</v>
      </c>
      <c r="P523">
        <v>0.82</v>
      </c>
      <c r="Q523">
        <v>0.6307692307692307</v>
      </c>
      <c r="R523">
        <v>12</v>
      </c>
      <c r="S523">
        <v>0.0506911866246349</v>
      </c>
      <c r="T523" t="s">
        <v>966</v>
      </c>
      <c r="U523">
        <v>-0.337688719325196</v>
      </c>
      <c r="V523" t="s">
        <v>1004</v>
      </c>
      <c r="W523" t="s">
        <v>1008</v>
      </c>
      <c r="X523" t="s">
        <v>1015</v>
      </c>
      <c r="Y523">
        <v>11015.765712</v>
      </c>
      <c r="Z523" s="2">
        <v>45129</v>
      </c>
      <c r="AA523" t="s">
        <v>1022</v>
      </c>
    </row>
    <row r="524" spans="1:27">
      <c r="A524" s="1" t="s">
        <v>549</v>
      </c>
      <c r="B524">
        <f>HYPERLINK("https://www.suredividend.com/sure-analysis-DEI/","Douglas Emmett Inc")</f>
        <v>0</v>
      </c>
      <c r="C524" t="s">
        <v>898</v>
      </c>
      <c r="D524">
        <v>14</v>
      </c>
      <c r="E524">
        <v>12.94</v>
      </c>
      <c r="F524">
        <v>28</v>
      </c>
      <c r="G524">
        <v>0.4621428571428571</v>
      </c>
      <c r="H524">
        <v>0.05873261205564143</v>
      </c>
      <c r="I524">
        <v>0.1669298548072575</v>
      </c>
      <c r="J524">
        <v>0</v>
      </c>
      <c r="K524">
        <v>0.1970121778214524</v>
      </c>
      <c r="L524" t="s">
        <v>825</v>
      </c>
      <c r="M524" t="s">
        <v>902</v>
      </c>
      <c r="N524">
        <v>7.07103825136612</v>
      </c>
      <c r="O524">
        <v>1.83</v>
      </c>
      <c r="P524">
        <v>0.76</v>
      </c>
      <c r="Q524">
        <v>0.4153005464480874</v>
      </c>
      <c r="R524">
        <v>0</v>
      </c>
      <c r="S524">
        <v>0</v>
      </c>
      <c r="T524" t="s">
        <v>911</v>
      </c>
      <c r="U524">
        <v>-0.345365853658536</v>
      </c>
      <c r="V524" t="s">
        <v>1005</v>
      </c>
      <c r="W524" t="s">
        <v>1008</v>
      </c>
      <c r="X524" t="s">
        <v>1019</v>
      </c>
      <c r="Y524">
        <v>2237.620337</v>
      </c>
      <c r="Z524" s="2">
        <v>45162</v>
      </c>
      <c r="AA524" t="s">
        <v>1022</v>
      </c>
    </row>
    <row r="525" spans="1:27">
      <c r="A525" s="1" t="s">
        <v>550</v>
      </c>
      <c r="B525">
        <f>HYPERLINK("https://www.suredividend.com/sure-analysis-HSBC/","HSBC Holdings plc")</f>
        <v>0</v>
      </c>
      <c r="C525" t="s">
        <v>898</v>
      </c>
      <c r="D525">
        <v>38</v>
      </c>
      <c r="E525">
        <v>38.54</v>
      </c>
      <c r="F525">
        <v>65</v>
      </c>
      <c r="G525">
        <v>0.5929230769230769</v>
      </c>
      <c r="H525">
        <v>0.08043591074208614</v>
      </c>
      <c r="I525">
        <v>0.1101977153306075</v>
      </c>
      <c r="J525">
        <v>0.03</v>
      </c>
      <c r="K525">
        <v>0.1870946163363203</v>
      </c>
      <c r="L525" t="s">
        <v>825</v>
      </c>
      <c r="M525" t="s">
        <v>902</v>
      </c>
      <c r="N525">
        <v>5.929230769230769</v>
      </c>
      <c r="O525">
        <v>6.5</v>
      </c>
      <c r="P525">
        <v>3.1</v>
      </c>
      <c r="Q525">
        <v>0.4769230769230769</v>
      </c>
      <c r="R525">
        <v>1</v>
      </c>
      <c r="S525">
        <v>0</v>
      </c>
      <c r="T525" t="s">
        <v>915</v>
      </c>
      <c r="U525">
        <v>0.273671298707845</v>
      </c>
      <c r="V525" t="s">
        <v>1004</v>
      </c>
      <c r="W525" t="s">
        <v>1009</v>
      </c>
      <c r="X525" t="s">
        <v>1015</v>
      </c>
      <c r="Y525">
        <v>148930.556403</v>
      </c>
      <c r="Z525" s="2">
        <v>45168</v>
      </c>
      <c r="AA525" t="s">
        <v>1027</v>
      </c>
    </row>
    <row r="526" spans="1:27">
      <c r="A526" s="1" t="s">
        <v>551</v>
      </c>
      <c r="B526">
        <f>HYPERLINK("https://www.suredividend.com/sure-analysis-TPR/","Tapestry Inc")</f>
        <v>0</v>
      </c>
      <c r="C526" t="s">
        <v>898</v>
      </c>
      <c r="D526">
        <v>33</v>
      </c>
      <c r="E526">
        <v>30.55</v>
      </c>
      <c r="F526">
        <v>50</v>
      </c>
      <c r="G526">
        <v>0.611</v>
      </c>
      <c r="H526">
        <v>0.04517184942716857</v>
      </c>
      <c r="I526">
        <v>0.1035493465858794</v>
      </c>
      <c r="J526">
        <v>0.05</v>
      </c>
      <c r="K526">
        <v>0.1856836262680528</v>
      </c>
      <c r="L526" t="s">
        <v>825</v>
      </c>
      <c r="M526" t="s">
        <v>580</v>
      </c>
      <c r="N526">
        <v>7.379227053140097</v>
      </c>
      <c r="O526">
        <v>4.14</v>
      </c>
      <c r="P526">
        <v>1.38</v>
      </c>
      <c r="Q526">
        <v>0.3333333333333333</v>
      </c>
      <c r="R526">
        <v>2</v>
      </c>
      <c r="S526">
        <v>0.04012620718096094</v>
      </c>
      <c r="T526" t="s">
        <v>924</v>
      </c>
      <c r="U526">
        <v>-0.104588698841249</v>
      </c>
      <c r="V526" t="s">
        <v>1004</v>
      </c>
      <c r="W526" t="s">
        <v>1008</v>
      </c>
      <c r="X526" t="s">
        <v>1013</v>
      </c>
      <c r="Y526">
        <v>7168.884372</v>
      </c>
      <c r="Z526" s="2">
        <v>45168</v>
      </c>
      <c r="AA526" t="s">
        <v>1027</v>
      </c>
    </row>
    <row r="527" spans="1:27">
      <c r="A527" s="1" t="s">
        <v>552</v>
      </c>
      <c r="B527">
        <f>HYPERLINK("https://www.suredividend.com/sure-analysis-FMAO/","Farmers &amp; Merchants Bancorp Inc.")</f>
        <v>0</v>
      </c>
      <c r="C527" t="s">
        <v>898</v>
      </c>
      <c r="D527">
        <v>24.7</v>
      </c>
      <c r="E527">
        <v>18.16</v>
      </c>
      <c r="F527">
        <v>23.1</v>
      </c>
      <c r="G527">
        <v>0.7861471861471861</v>
      </c>
      <c r="H527">
        <v>0.04625550660792951</v>
      </c>
      <c r="I527">
        <v>0.04929892309262174</v>
      </c>
      <c r="J527">
        <v>0.1</v>
      </c>
      <c r="K527">
        <v>0.1846830043702608</v>
      </c>
      <c r="L527" t="s">
        <v>825</v>
      </c>
      <c r="M527" t="s">
        <v>580</v>
      </c>
      <c r="N527">
        <v>8.647619047619047</v>
      </c>
      <c r="O527">
        <v>2.1</v>
      </c>
      <c r="P527">
        <v>0.84</v>
      </c>
      <c r="Q527">
        <v>0.4</v>
      </c>
      <c r="R527">
        <v>15</v>
      </c>
      <c r="S527">
        <v>0.07033701387905711</v>
      </c>
      <c r="T527" t="s">
        <v>907</v>
      </c>
      <c r="U527">
        <v>-0.30582538781122</v>
      </c>
      <c r="V527" t="s">
        <v>1004</v>
      </c>
      <c r="W527" t="s">
        <v>1008</v>
      </c>
      <c r="X527" t="s">
        <v>1015</v>
      </c>
      <c r="Y527">
        <v>253.330032</v>
      </c>
      <c r="Z527" s="2">
        <v>45134</v>
      </c>
      <c r="AA527" t="s">
        <v>1024</v>
      </c>
    </row>
    <row r="528" spans="1:27">
      <c r="A528" s="1" t="s">
        <v>553</v>
      </c>
      <c r="B528">
        <f>HYPERLINK("https://www.suredividend.com/sure-analysis-PDM/","Piedmont Office Realty Trust Inc")</f>
        <v>0</v>
      </c>
      <c r="C528" t="s">
        <v>898</v>
      </c>
      <c r="D528">
        <v>7</v>
      </c>
      <c r="E528">
        <v>6.16</v>
      </c>
      <c r="F528">
        <v>11</v>
      </c>
      <c r="G528">
        <v>0.5600000000000001</v>
      </c>
      <c r="H528">
        <v>0.08116883116883117</v>
      </c>
      <c r="I528">
        <v>0.1229551070568209</v>
      </c>
      <c r="J528">
        <v>0.01</v>
      </c>
      <c r="K528">
        <v>0.1809667510195021</v>
      </c>
      <c r="L528" t="s">
        <v>825</v>
      </c>
      <c r="M528" t="s">
        <v>902</v>
      </c>
      <c r="N528">
        <v>3.52</v>
      </c>
      <c r="O528">
        <v>1.75</v>
      </c>
      <c r="P528">
        <v>0.5</v>
      </c>
      <c r="Q528">
        <v>0.2857142857142857</v>
      </c>
      <c r="R528">
        <v>0</v>
      </c>
      <c r="S528">
        <v>0.01172195149275423</v>
      </c>
      <c r="T528" t="s">
        <v>922</v>
      </c>
      <c r="U528">
        <v>-0.439550254238022</v>
      </c>
      <c r="V528" t="s">
        <v>1005</v>
      </c>
      <c r="W528" t="s">
        <v>1008</v>
      </c>
      <c r="X528" t="s">
        <v>1019</v>
      </c>
      <c r="Y528">
        <v>800.316193</v>
      </c>
      <c r="Z528" s="2">
        <v>45155</v>
      </c>
      <c r="AA528" t="s">
        <v>1026</v>
      </c>
    </row>
    <row r="529" spans="1:27">
      <c r="A529" s="1" t="s">
        <v>554</v>
      </c>
      <c r="B529">
        <f>HYPERLINK("https://www.suredividend.com/sure-analysis-TFC/","Truist Financial Corporation")</f>
        <v>0</v>
      </c>
      <c r="C529" t="s">
        <v>898</v>
      </c>
      <c r="D529">
        <v>33</v>
      </c>
      <c r="E529">
        <v>28.62</v>
      </c>
      <c r="F529">
        <v>38</v>
      </c>
      <c r="G529">
        <v>0.7531578947368421</v>
      </c>
      <c r="H529">
        <v>0.0726764500349406</v>
      </c>
      <c r="I529">
        <v>0.05833410956086804</v>
      </c>
      <c r="J529">
        <v>0.07000000000000001</v>
      </c>
      <c r="K529">
        <v>0.1795533482364196</v>
      </c>
      <c r="L529" t="s">
        <v>825</v>
      </c>
      <c r="M529" t="s">
        <v>902</v>
      </c>
      <c r="N529">
        <v>7.511811023622047</v>
      </c>
      <c r="O529">
        <v>3.81</v>
      </c>
      <c r="P529">
        <v>2.08</v>
      </c>
      <c r="Q529">
        <v>0.5459317585301837</v>
      </c>
      <c r="R529">
        <v>12</v>
      </c>
      <c r="S529">
        <v>0.04963065931551602</v>
      </c>
      <c r="T529" t="s">
        <v>915</v>
      </c>
      <c r="U529">
        <v>-0.358153123576376</v>
      </c>
      <c r="V529" t="s">
        <v>1004</v>
      </c>
      <c r="W529" t="s">
        <v>1008</v>
      </c>
      <c r="X529" t="s">
        <v>1015</v>
      </c>
      <c r="Y529">
        <v>39972.60033</v>
      </c>
      <c r="Z529" s="2">
        <v>45134</v>
      </c>
      <c r="AA529" t="s">
        <v>1026</v>
      </c>
    </row>
    <row r="530" spans="1:27">
      <c r="A530" s="1" t="s">
        <v>555</v>
      </c>
      <c r="B530">
        <f>HYPERLINK("https://www.suredividend.com/sure-analysis-SAFE/","Safehold Inc.")</f>
        <v>0</v>
      </c>
      <c r="C530" t="s">
        <v>898</v>
      </c>
      <c r="D530">
        <v>20.7</v>
      </c>
      <c r="E530">
        <v>19.32</v>
      </c>
      <c r="F530">
        <v>30</v>
      </c>
      <c r="G530">
        <v>0.644</v>
      </c>
      <c r="H530">
        <v>0.03674948240165631</v>
      </c>
      <c r="I530">
        <v>0.09200047311220749</v>
      </c>
      <c r="J530">
        <v>0.054</v>
      </c>
      <c r="K530">
        <v>0.1757199469545425</v>
      </c>
      <c r="L530" t="s">
        <v>825</v>
      </c>
      <c r="M530" t="s">
        <v>825</v>
      </c>
      <c r="N530">
        <v>11.5688622754491</v>
      </c>
      <c r="O530">
        <v>1.67</v>
      </c>
      <c r="P530">
        <v>0.71</v>
      </c>
      <c r="Q530">
        <v>0.4251497005988024</v>
      </c>
      <c r="R530">
        <v>6</v>
      </c>
      <c r="S530">
        <v>0.07089854932200002</v>
      </c>
      <c r="T530" t="s">
        <v>911</v>
      </c>
      <c r="U530">
        <v>0.7379076601344891</v>
      </c>
      <c r="V530" t="s">
        <v>1005</v>
      </c>
      <c r="W530" t="s">
        <v>1008</v>
      </c>
      <c r="X530" t="s">
        <v>1019</v>
      </c>
      <c r="Y530">
        <v>1233.256864</v>
      </c>
      <c r="Z530" s="2">
        <v>45164</v>
      </c>
      <c r="AA530" t="s">
        <v>1033</v>
      </c>
    </row>
    <row r="531" spans="1:27">
      <c r="A531" s="1" t="s">
        <v>556</v>
      </c>
      <c r="B531">
        <f>HYPERLINK("https://www.suredividend.com/sure-analysis-JACK/","Jack In The Box, Inc.")</f>
        <v>0</v>
      </c>
      <c r="C531" t="s">
        <v>898</v>
      </c>
      <c r="D531">
        <v>79</v>
      </c>
      <c r="E531">
        <v>72.23999999999999</v>
      </c>
      <c r="F531">
        <v>103</v>
      </c>
      <c r="G531">
        <v>0.7013592233009708</v>
      </c>
      <c r="H531">
        <v>0.02436323366555925</v>
      </c>
      <c r="I531">
        <v>0.07352434455884804</v>
      </c>
      <c r="J531">
        <v>0.08</v>
      </c>
      <c r="K531">
        <v>0.1752697250220483</v>
      </c>
      <c r="L531" t="s">
        <v>825</v>
      </c>
      <c r="M531" t="s">
        <v>825</v>
      </c>
      <c r="N531">
        <v>11.9404958677686</v>
      </c>
      <c r="O531">
        <v>6.05</v>
      </c>
      <c r="P531">
        <v>1.76</v>
      </c>
      <c r="Q531">
        <v>0.2909090909090909</v>
      </c>
      <c r="R531">
        <v>2</v>
      </c>
      <c r="S531">
        <v>0.06399531281508364</v>
      </c>
      <c r="T531" t="s">
        <v>940</v>
      </c>
      <c r="U531">
        <v>-0.116448653791681</v>
      </c>
      <c r="V531" t="s">
        <v>1004</v>
      </c>
      <c r="W531" t="s">
        <v>1008</v>
      </c>
      <c r="X531" t="s">
        <v>1013</v>
      </c>
      <c r="Y531">
        <v>1467.680292</v>
      </c>
      <c r="Z531" s="2">
        <v>45166</v>
      </c>
      <c r="AA531" t="s">
        <v>1022</v>
      </c>
    </row>
    <row r="532" spans="1:27">
      <c r="A532" s="1" t="s">
        <v>557</v>
      </c>
      <c r="B532">
        <f>HYPERLINK("https://www.suredividend.com/sure-analysis-FIS/","Fidelity National Information Services, Inc.")</f>
        <v>0</v>
      </c>
      <c r="C532" t="s">
        <v>898</v>
      </c>
      <c r="D532">
        <v>58</v>
      </c>
      <c r="E532">
        <v>55.25</v>
      </c>
      <c r="F532">
        <v>86</v>
      </c>
      <c r="G532">
        <v>0.6424418604651163</v>
      </c>
      <c r="H532">
        <v>0.03764705882352942</v>
      </c>
      <c r="I532">
        <v>0.09252965433045124</v>
      </c>
      <c r="J532">
        <v>0.05</v>
      </c>
      <c r="K532">
        <v>0.1749729856403439</v>
      </c>
      <c r="L532" t="s">
        <v>825</v>
      </c>
      <c r="M532" t="s">
        <v>825</v>
      </c>
      <c r="N532">
        <v>9.592013888888889</v>
      </c>
      <c r="O532">
        <v>5.76</v>
      </c>
      <c r="P532">
        <v>2.08</v>
      </c>
      <c r="Q532">
        <v>0.3611111111111112</v>
      </c>
      <c r="R532">
        <v>3</v>
      </c>
      <c r="S532">
        <v>0.1000091417204541</v>
      </c>
      <c r="T532" t="s">
        <v>924</v>
      </c>
      <c r="U532">
        <v>-0.3770821688093901</v>
      </c>
      <c r="V532" t="s">
        <v>1004</v>
      </c>
      <c r="W532" t="s">
        <v>1008</v>
      </c>
      <c r="X532" t="s">
        <v>1016</v>
      </c>
      <c r="Y532">
        <v>33012.176267</v>
      </c>
      <c r="Z532" s="2">
        <v>45146</v>
      </c>
      <c r="AA532" t="s">
        <v>1024</v>
      </c>
    </row>
    <row r="533" spans="1:27">
      <c r="A533" s="1" t="s">
        <v>558</v>
      </c>
      <c r="B533">
        <f>HYPERLINK("https://www.suredividend.com/sure-analysis-FULT/","Fulton Financial Corp.")</f>
        <v>0</v>
      </c>
      <c r="C533" t="s">
        <v>898</v>
      </c>
      <c r="D533">
        <v>14</v>
      </c>
      <c r="E533">
        <v>12.92</v>
      </c>
      <c r="F533">
        <v>17</v>
      </c>
      <c r="G533">
        <v>0.76</v>
      </c>
      <c r="H533">
        <v>0.04953560371517028</v>
      </c>
      <c r="I533">
        <v>0.05642162229904302</v>
      </c>
      <c r="J533">
        <v>0.08</v>
      </c>
      <c r="K533">
        <v>0.1739890188265181</v>
      </c>
      <c r="L533" t="s">
        <v>825</v>
      </c>
      <c r="M533" t="s">
        <v>902</v>
      </c>
      <c r="N533">
        <v>7.830303030303031</v>
      </c>
      <c r="O533">
        <v>1.65</v>
      </c>
      <c r="P533">
        <v>0.64</v>
      </c>
      <c r="Q533">
        <v>0.3878787878787879</v>
      </c>
      <c r="R533">
        <v>13</v>
      </c>
      <c r="S533">
        <v>0.06087373042094901</v>
      </c>
      <c r="T533" t="s">
        <v>938</v>
      </c>
      <c r="U533">
        <v>-0.167672823490122</v>
      </c>
      <c r="V533" t="s">
        <v>1004</v>
      </c>
      <c r="W533" t="s">
        <v>1008</v>
      </c>
      <c r="X533" t="s">
        <v>1015</v>
      </c>
      <c r="Y533">
        <v>2125.818536</v>
      </c>
      <c r="Z533" s="2">
        <v>45127</v>
      </c>
      <c r="AA533" t="s">
        <v>1023</v>
      </c>
    </row>
    <row r="534" spans="1:27">
      <c r="A534" s="1" t="s">
        <v>559</v>
      </c>
      <c r="B534">
        <f>HYPERLINK("https://www.suredividend.com/sure-analysis-NRIM/","Northrim Bancorp, Inc.")</f>
        <v>0</v>
      </c>
      <c r="C534" t="s">
        <v>898</v>
      </c>
      <c r="D534">
        <v>48.5</v>
      </c>
      <c r="E534">
        <v>40.75</v>
      </c>
      <c r="F534">
        <v>45.6</v>
      </c>
      <c r="G534">
        <v>0.893640350877193</v>
      </c>
      <c r="H534">
        <v>0.05889570552147239</v>
      </c>
      <c r="I534">
        <v>0.02274519056965052</v>
      </c>
      <c r="J534">
        <v>0.1</v>
      </c>
      <c r="K534">
        <v>0.1730599812337827</v>
      </c>
      <c r="L534" t="s">
        <v>825</v>
      </c>
      <c r="M534" t="s">
        <v>902</v>
      </c>
      <c r="N534">
        <v>7.149122807017544</v>
      </c>
      <c r="O534">
        <v>5.7</v>
      </c>
      <c r="P534">
        <v>2.4</v>
      </c>
      <c r="Q534">
        <v>0.4210526315789473</v>
      </c>
      <c r="R534">
        <v>13</v>
      </c>
      <c r="S534">
        <v>0.1200201219146697</v>
      </c>
      <c r="T534" t="s">
        <v>956</v>
      </c>
      <c r="U534">
        <v>0.017615935262993</v>
      </c>
      <c r="V534" t="s">
        <v>1004</v>
      </c>
      <c r="W534" t="s">
        <v>1008</v>
      </c>
      <c r="X534" t="s">
        <v>1015</v>
      </c>
      <c r="Y534">
        <v>230.909002</v>
      </c>
      <c r="Z534" s="2">
        <v>45141</v>
      </c>
      <c r="AA534" t="s">
        <v>1024</v>
      </c>
    </row>
    <row r="535" spans="1:27">
      <c r="A535" s="1" t="s">
        <v>560</v>
      </c>
      <c r="B535">
        <f>HYPERLINK("https://www.suredividend.com/sure-analysis-IRT/","Independence Realty Trust Inc")</f>
        <v>0</v>
      </c>
      <c r="C535" t="s">
        <v>898</v>
      </c>
      <c r="D535">
        <v>16.9</v>
      </c>
      <c r="E535">
        <v>15.55</v>
      </c>
      <c r="F535">
        <v>14.6</v>
      </c>
      <c r="G535">
        <v>1.065068493150685</v>
      </c>
      <c r="H535">
        <v>0.04115755627009646</v>
      </c>
      <c r="I535">
        <v>-0.01252867636175914</v>
      </c>
      <c r="J535">
        <v>0.155</v>
      </c>
      <c r="K535">
        <v>0.1709125830751446</v>
      </c>
      <c r="L535" t="s">
        <v>825</v>
      </c>
      <c r="M535" t="s">
        <v>825</v>
      </c>
      <c r="N535">
        <v>13.52173913043478</v>
      </c>
      <c r="O535">
        <v>1.15</v>
      </c>
      <c r="P535">
        <v>0.64</v>
      </c>
      <c r="Q535">
        <v>0.5565217391304348</v>
      </c>
      <c r="R535">
        <v>2</v>
      </c>
      <c r="S535">
        <v>0.09336207394327811</v>
      </c>
      <c r="T535" t="s">
        <v>911</v>
      </c>
      <c r="U535">
        <v>-0.197813866647878</v>
      </c>
      <c r="V535" t="s">
        <v>1005</v>
      </c>
      <c r="W535" t="s">
        <v>1008</v>
      </c>
      <c r="X535" t="s">
        <v>1019</v>
      </c>
      <c r="Y535">
        <v>3581.848485</v>
      </c>
      <c r="Z535" s="2">
        <v>45146</v>
      </c>
      <c r="AA535" t="s">
        <v>1033</v>
      </c>
    </row>
    <row r="536" spans="1:27">
      <c r="A536" s="1" t="s">
        <v>561</v>
      </c>
      <c r="B536">
        <f>HYPERLINK("https://www.suredividend.com/sure-analysis-HIW/","Highwoods Properties, Inc.")</f>
        <v>0</v>
      </c>
      <c r="C536" t="s">
        <v>898</v>
      </c>
      <c r="D536">
        <v>26</v>
      </c>
      <c r="E536">
        <v>22.24</v>
      </c>
      <c r="F536">
        <v>34</v>
      </c>
      <c r="G536">
        <v>0.6541176470588235</v>
      </c>
      <c r="H536">
        <v>0.08992805755395684</v>
      </c>
      <c r="I536">
        <v>0.08860124539045677</v>
      </c>
      <c r="J536">
        <v>0.02</v>
      </c>
      <c r="K536">
        <v>0.1671078536338484</v>
      </c>
      <c r="L536" t="s">
        <v>825</v>
      </c>
      <c r="M536" t="s">
        <v>902</v>
      </c>
      <c r="N536">
        <v>5.930666666666666</v>
      </c>
      <c r="O536">
        <v>3.75</v>
      </c>
      <c r="P536">
        <v>2</v>
      </c>
      <c r="Q536">
        <v>0.5333333333333333</v>
      </c>
      <c r="R536">
        <v>4</v>
      </c>
      <c r="S536">
        <v>0.02016978262061087</v>
      </c>
      <c r="T536" t="s">
        <v>905</v>
      </c>
      <c r="U536">
        <v>-0.215268391827896</v>
      </c>
      <c r="V536" t="s">
        <v>1005</v>
      </c>
      <c r="W536" t="s">
        <v>1008</v>
      </c>
      <c r="X536" t="s">
        <v>1019</v>
      </c>
      <c r="Y536">
        <v>2435.823133</v>
      </c>
      <c r="Z536" s="2">
        <v>45135</v>
      </c>
      <c r="AA536" t="s">
        <v>1026</v>
      </c>
    </row>
    <row r="537" spans="1:27">
      <c r="A537" s="1" t="s">
        <v>562</v>
      </c>
      <c r="B537">
        <f>HYPERLINK("https://www.suredividend.com/sure-analysis-DEA/","Easterly Government Properties Inc")</f>
        <v>0</v>
      </c>
      <c r="C537" t="s">
        <v>898</v>
      </c>
      <c r="D537">
        <v>13.4</v>
      </c>
      <c r="E537">
        <v>12.48</v>
      </c>
      <c r="F537">
        <v>19.4</v>
      </c>
      <c r="G537">
        <v>0.643298969072165</v>
      </c>
      <c r="H537">
        <v>0.08493589743589744</v>
      </c>
      <c r="I537">
        <v>0.09223836953946773</v>
      </c>
      <c r="J537">
        <v>0.019</v>
      </c>
      <c r="K537">
        <v>0.1658632196719734</v>
      </c>
      <c r="L537" t="s">
        <v>825</v>
      </c>
      <c r="M537" t="s">
        <v>902</v>
      </c>
      <c r="N537">
        <v>10.94736842105263</v>
      </c>
      <c r="O537">
        <v>1.14</v>
      </c>
      <c r="P537">
        <v>1.06</v>
      </c>
      <c r="Q537">
        <v>0.9298245614035089</v>
      </c>
      <c r="R537">
        <v>0</v>
      </c>
      <c r="S537">
        <v>0.01643215369887963</v>
      </c>
      <c r="T537" t="s">
        <v>936</v>
      </c>
      <c r="U537">
        <v>-0.249147561643512</v>
      </c>
      <c r="V537" t="s">
        <v>1005</v>
      </c>
      <c r="W537" t="s">
        <v>1008</v>
      </c>
      <c r="X537" t="s">
        <v>1019</v>
      </c>
      <c r="Y537">
        <v>1191.050252</v>
      </c>
      <c r="Z537" s="2">
        <v>45167</v>
      </c>
      <c r="AA537" t="s">
        <v>1033</v>
      </c>
    </row>
    <row r="538" spans="1:27">
      <c r="A538" s="1" t="s">
        <v>563</v>
      </c>
      <c r="B538">
        <f>HYPERLINK("https://www.suredividend.com/sure-analysis-PNC/","PNC Financial Services Group Inc")</f>
        <v>0</v>
      </c>
      <c r="C538" t="s">
        <v>898</v>
      </c>
      <c r="D538">
        <v>123</v>
      </c>
      <c r="E538">
        <v>123.61</v>
      </c>
      <c r="F538">
        <v>178</v>
      </c>
      <c r="G538">
        <v>0.694438202247191</v>
      </c>
      <c r="H538">
        <v>0.05015775422700429</v>
      </c>
      <c r="I538">
        <v>0.07565569070256251</v>
      </c>
      <c r="J538">
        <v>0.05</v>
      </c>
      <c r="K538">
        <v>0.1640416880991185</v>
      </c>
      <c r="L538" t="s">
        <v>825</v>
      </c>
      <c r="M538" t="s">
        <v>902</v>
      </c>
      <c r="N538">
        <v>8.524827586206897</v>
      </c>
      <c r="O538">
        <v>14.5</v>
      </c>
      <c r="P538">
        <v>6.2</v>
      </c>
      <c r="Q538">
        <v>0.4275862068965517</v>
      </c>
      <c r="R538">
        <v>13</v>
      </c>
      <c r="S538">
        <v>0.05956530592991194</v>
      </c>
      <c r="T538" t="s">
        <v>939</v>
      </c>
      <c r="U538">
        <v>-0.216026343021912</v>
      </c>
      <c r="V538" t="s">
        <v>1004</v>
      </c>
      <c r="W538" t="s">
        <v>1008</v>
      </c>
      <c r="X538" t="s">
        <v>1015</v>
      </c>
      <c r="Y538">
        <v>49722.086061</v>
      </c>
      <c r="Z538" s="2">
        <v>45125</v>
      </c>
      <c r="AA538" t="s">
        <v>1022</v>
      </c>
    </row>
    <row r="539" spans="1:27">
      <c r="A539" s="1" t="s">
        <v>564</v>
      </c>
      <c r="B539">
        <f>HYPERLINK("https://www.suredividend.com/sure-analysis-CUZ/","Cousins Properties Inc.")</f>
        <v>0</v>
      </c>
      <c r="C539" t="s">
        <v>898</v>
      </c>
      <c r="D539">
        <v>22</v>
      </c>
      <c r="E539">
        <v>21.92</v>
      </c>
      <c r="F539">
        <v>33</v>
      </c>
      <c r="G539">
        <v>0.6642424242424243</v>
      </c>
      <c r="H539">
        <v>0.0583941605839416</v>
      </c>
      <c r="I539">
        <v>0.0852622033573287</v>
      </c>
      <c r="J539">
        <v>0.04</v>
      </c>
      <c r="K539">
        <v>0.163745607281595</v>
      </c>
      <c r="L539" t="s">
        <v>825</v>
      </c>
      <c r="M539" t="s">
        <v>580</v>
      </c>
      <c r="N539">
        <v>8.430769230769231</v>
      </c>
      <c r="O539">
        <v>2.6</v>
      </c>
      <c r="P539">
        <v>1.28</v>
      </c>
      <c r="Q539">
        <v>0.4923076923076923</v>
      </c>
      <c r="R539">
        <v>4</v>
      </c>
      <c r="S539">
        <v>0.01219872924994259</v>
      </c>
      <c r="T539" t="s">
        <v>919</v>
      </c>
      <c r="U539">
        <v>-0.191939524869067</v>
      </c>
      <c r="V539" t="s">
        <v>1005</v>
      </c>
      <c r="W539" t="s">
        <v>1008</v>
      </c>
      <c r="X539" t="s">
        <v>1019</v>
      </c>
      <c r="Y539">
        <v>3411.890041</v>
      </c>
      <c r="Z539" s="2">
        <v>45162</v>
      </c>
      <c r="AA539" t="s">
        <v>1022</v>
      </c>
    </row>
    <row r="540" spans="1:27">
      <c r="A540" s="1" t="s">
        <v>565</v>
      </c>
      <c r="B540">
        <f>HYPERLINK("https://www.suredividend.com/sure-analysis-PINC/","Premier Inc")</f>
        <v>0</v>
      </c>
      <c r="C540" t="s">
        <v>898</v>
      </c>
      <c r="D540">
        <v>21</v>
      </c>
      <c r="E540">
        <v>21.83</v>
      </c>
      <c r="F540">
        <v>31</v>
      </c>
      <c r="G540">
        <v>0.7041935483870967</v>
      </c>
      <c r="H540">
        <v>0.03847915712322492</v>
      </c>
      <c r="I540">
        <v>0.07265877925170949</v>
      </c>
      <c r="J540">
        <v>0.06</v>
      </c>
      <c r="K540">
        <v>0.1632322334961043</v>
      </c>
      <c r="L540" t="s">
        <v>825</v>
      </c>
      <c r="M540" t="s">
        <v>825</v>
      </c>
      <c r="N540">
        <v>9.095833333333333</v>
      </c>
      <c r="O540">
        <v>2.4</v>
      </c>
      <c r="P540">
        <v>0.84</v>
      </c>
      <c r="Q540">
        <v>0.35</v>
      </c>
      <c r="R540">
        <v>2</v>
      </c>
      <c r="S540">
        <v>0.05922384104881218</v>
      </c>
      <c r="T540" t="s">
        <v>916</v>
      </c>
      <c r="U540">
        <v>-0.351461325234129</v>
      </c>
      <c r="V540" t="s">
        <v>1004</v>
      </c>
      <c r="W540" t="s">
        <v>1008</v>
      </c>
      <c r="X540" t="s">
        <v>1014</v>
      </c>
      <c r="Y540">
        <v>2651.54921</v>
      </c>
      <c r="Z540" s="2">
        <v>45164</v>
      </c>
      <c r="AA540" t="s">
        <v>1023</v>
      </c>
    </row>
    <row r="541" spans="1:27">
      <c r="A541" s="1" t="s">
        <v>566</v>
      </c>
      <c r="B541">
        <f>HYPERLINK("https://www.suredividend.com/sure-analysis-MKTX/","MarketAxess Holdings Inc.")</f>
        <v>0</v>
      </c>
      <c r="C541" t="s">
        <v>898</v>
      </c>
      <c r="D541">
        <v>276</v>
      </c>
      <c r="E541">
        <v>220.46</v>
      </c>
      <c r="F541">
        <v>276</v>
      </c>
      <c r="G541">
        <v>0.798768115942029</v>
      </c>
      <c r="H541">
        <v>0.01306359430282137</v>
      </c>
      <c r="I541">
        <v>0.04596187712611011</v>
      </c>
      <c r="J541">
        <v>0.1</v>
      </c>
      <c r="K541">
        <v>0.1604030532565017</v>
      </c>
      <c r="L541" t="s">
        <v>825</v>
      </c>
      <c r="M541" t="s">
        <v>642</v>
      </c>
      <c r="N541">
        <v>30.40827586206897</v>
      </c>
      <c r="O541">
        <v>7.25</v>
      </c>
      <c r="P541">
        <v>2.88</v>
      </c>
      <c r="Q541">
        <v>0.3972413793103448</v>
      </c>
      <c r="R541">
        <v>13</v>
      </c>
      <c r="S541">
        <v>0.100082101138866</v>
      </c>
      <c r="T541" t="s">
        <v>974</v>
      </c>
      <c r="U541">
        <v>-0.146166747797359</v>
      </c>
      <c r="V541" t="s">
        <v>1004</v>
      </c>
      <c r="W541" t="s">
        <v>1008</v>
      </c>
      <c r="X541" t="s">
        <v>1015</v>
      </c>
      <c r="Y541">
        <v>8366.649218</v>
      </c>
      <c r="Z541" s="2">
        <v>45134</v>
      </c>
      <c r="AA541" t="s">
        <v>1026</v>
      </c>
    </row>
    <row r="542" spans="1:27">
      <c r="A542" s="1" t="s">
        <v>567</v>
      </c>
      <c r="B542">
        <f>HYPERLINK("https://www.suredividend.com/sure-analysis-MPW/","Medical Properties Trust Inc")</f>
        <v>0</v>
      </c>
      <c r="C542" t="s">
        <v>898</v>
      </c>
      <c r="D542">
        <v>7</v>
      </c>
      <c r="E542">
        <v>6.42</v>
      </c>
      <c r="F542">
        <v>11.9</v>
      </c>
      <c r="G542">
        <v>0.5394957983193277</v>
      </c>
      <c r="H542">
        <v>0.09345794392523364</v>
      </c>
      <c r="I542">
        <v>0.131364081512253</v>
      </c>
      <c r="J542">
        <v>-0.025</v>
      </c>
      <c r="K542">
        <v>0.1600145434589202</v>
      </c>
      <c r="L542" t="s">
        <v>825</v>
      </c>
      <c r="M542" t="s">
        <v>902</v>
      </c>
      <c r="N542">
        <v>3.776470588235294</v>
      </c>
      <c r="O542">
        <v>1.7</v>
      </c>
      <c r="P542">
        <v>0.6</v>
      </c>
      <c r="Q542">
        <v>0.3529411764705883</v>
      </c>
      <c r="R542">
        <v>0</v>
      </c>
      <c r="S542">
        <v>0</v>
      </c>
      <c r="T542" t="s">
        <v>972</v>
      </c>
      <c r="U542">
        <v>-0.51193421140603</v>
      </c>
      <c r="V542" t="s">
        <v>1005</v>
      </c>
      <c r="W542" t="s">
        <v>1008</v>
      </c>
      <c r="X542" t="s">
        <v>1019</v>
      </c>
      <c r="Y542">
        <v>3931.488</v>
      </c>
      <c r="Z542" s="2">
        <v>45167</v>
      </c>
      <c r="AA542" t="s">
        <v>1033</v>
      </c>
    </row>
    <row r="543" spans="1:27">
      <c r="A543" s="1" t="s">
        <v>568</v>
      </c>
      <c r="B543">
        <f>HYPERLINK("https://www.suredividend.com/sure-analysis-ALV/","Autoliv Inc.")</f>
        <v>0</v>
      </c>
      <c r="C543" t="s">
        <v>898</v>
      </c>
      <c r="D543">
        <v>103</v>
      </c>
      <c r="E543">
        <v>97.37</v>
      </c>
      <c r="F543">
        <v>106</v>
      </c>
      <c r="G543">
        <v>0.9185849056603774</v>
      </c>
      <c r="H543">
        <v>0.02711307384204581</v>
      </c>
      <c r="I543">
        <v>0.01712923917182696</v>
      </c>
      <c r="J543">
        <v>0.12</v>
      </c>
      <c r="K543">
        <v>0.1577961785545674</v>
      </c>
      <c r="L543" t="s">
        <v>825</v>
      </c>
      <c r="M543" t="s">
        <v>825</v>
      </c>
      <c r="N543">
        <v>14.7530303030303</v>
      </c>
      <c r="O543">
        <v>6.6</v>
      </c>
      <c r="P543">
        <v>2.64</v>
      </c>
      <c r="Q543">
        <v>0.4</v>
      </c>
      <c r="R543">
        <v>3</v>
      </c>
      <c r="S543">
        <v>0.05982499004041508</v>
      </c>
      <c r="T543" t="s">
        <v>956</v>
      </c>
      <c r="U543">
        <v>0.297416191586086</v>
      </c>
      <c r="V543" t="s">
        <v>1004</v>
      </c>
      <c r="W543" t="s">
        <v>1009</v>
      </c>
      <c r="X543" t="s">
        <v>1013</v>
      </c>
      <c r="Y543">
        <v>8440.347976999999</v>
      </c>
      <c r="Z543" s="2">
        <v>45131</v>
      </c>
      <c r="AA543" t="s">
        <v>1030</v>
      </c>
    </row>
    <row r="544" spans="1:27">
      <c r="A544" s="1" t="s">
        <v>569</v>
      </c>
      <c r="B544">
        <f>HYPERLINK("https://www.suredividend.com/sure-analysis-HBAN/","Huntington Bancshares, Inc.")</f>
        <v>0</v>
      </c>
      <c r="C544" t="s">
        <v>899</v>
      </c>
      <c r="D544">
        <v>12</v>
      </c>
      <c r="E544">
        <v>10.66</v>
      </c>
      <c r="F544">
        <v>17</v>
      </c>
      <c r="G544">
        <v>0.6270588235294118</v>
      </c>
      <c r="H544">
        <v>0.05816135084427767</v>
      </c>
      <c r="I544">
        <v>0.09783821281066141</v>
      </c>
      <c r="J544">
        <v>0.02</v>
      </c>
      <c r="K544">
        <v>0.1576461058699525</v>
      </c>
      <c r="L544" t="s">
        <v>825</v>
      </c>
      <c r="M544" t="s">
        <v>580</v>
      </c>
      <c r="N544">
        <v>7.106666666666666</v>
      </c>
      <c r="O544">
        <v>1.5</v>
      </c>
      <c r="P544">
        <v>0.62</v>
      </c>
      <c r="Q544">
        <v>0.4133333333333333</v>
      </c>
      <c r="R544">
        <v>1</v>
      </c>
      <c r="S544">
        <v>0.03035803310185115</v>
      </c>
      <c r="T544" t="s">
        <v>904</v>
      </c>
      <c r="U544">
        <v>-0.191774553077161</v>
      </c>
      <c r="V544" t="s">
        <v>1004</v>
      </c>
      <c r="W544" t="s">
        <v>1008</v>
      </c>
      <c r="X544" t="s">
        <v>1015</v>
      </c>
      <c r="Y544">
        <v>15854.312652</v>
      </c>
      <c r="Z544" s="2">
        <v>45129</v>
      </c>
      <c r="AA544" t="s">
        <v>1022</v>
      </c>
    </row>
    <row r="545" spans="1:27">
      <c r="A545" s="1" t="s">
        <v>570</v>
      </c>
      <c r="B545">
        <f>HYPERLINK("https://www.suredividend.com/sure-analysis-CAG/","Conagra Brands Inc")</f>
        <v>0</v>
      </c>
      <c r="C545" t="s">
        <v>898</v>
      </c>
      <c r="D545">
        <v>32</v>
      </c>
      <c r="E545">
        <v>28.57</v>
      </c>
      <c r="F545">
        <v>38</v>
      </c>
      <c r="G545">
        <v>0.7518421052631579</v>
      </c>
      <c r="H545">
        <v>0.04900245012250612</v>
      </c>
      <c r="I545">
        <v>0.05870428597516342</v>
      </c>
      <c r="J545">
        <v>0.06</v>
      </c>
      <c r="K545">
        <v>0.1550183917920305</v>
      </c>
      <c r="L545" t="s">
        <v>825</v>
      </c>
      <c r="M545" t="s">
        <v>580</v>
      </c>
      <c r="N545">
        <v>10.46520146520147</v>
      </c>
      <c r="O545">
        <v>2.73</v>
      </c>
      <c r="P545">
        <v>1.4</v>
      </c>
      <c r="Q545">
        <v>0.5128205128205128</v>
      </c>
      <c r="R545">
        <v>4</v>
      </c>
      <c r="S545">
        <v>0.03959498820755258</v>
      </c>
      <c r="T545" t="s">
        <v>918</v>
      </c>
      <c r="U545">
        <v>-0.142400977716803</v>
      </c>
      <c r="V545" t="s">
        <v>1004</v>
      </c>
      <c r="W545" t="s">
        <v>1008</v>
      </c>
      <c r="X545" t="s">
        <v>1011</v>
      </c>
      <c r="Y545">
        <v>13657.162277</v>
      </c>
      <c r="Z545" s="2">
        <v>45127</v>
      </c>
      <c r="AA545" t="s">
        <v>1026</v>
      </c>
    </row>
    <row r="546" spans="1:27">
      <c r="A546" s="1" t="s">
        <v>571</v>
      </c>
      <c r="B546">
        <f>HYPERLINK("https://www.suredividend.com/sure-analysis-ARLP/","Alliance Resource Partners, LP")</f>
        <v>0</v>
      </c>
      <c r="C546" t="s">
        <v>898</v>
      </c>
      <c r="D546">
        <v>19.5</v>
      </c>
      <c r="E546">
        <v>20.4</v>
      </c>
      <c r="F546">
        <v>33</v>
      </c>
      <c r="G546">
        <v>0.6181818181818182</v>
      </c>
      <c r="H546">
        <v>0.1372549019607843</v>
      </c>
      <c r="I546">
        <v>0.1009732178211216</v>
      </c>
      <c r="J546">
        <v>-0.05</v>
      </c>
      <c r="K546">
        <v>0.1541092001280076</v>
      </c>
      <c r="L546" t="s">
        <v>825</v>
      </c>
      <c r="M546" t="s">
        <v>902</v>
      </c>
      <c r="N546">
        <v>3.709090909090909</v>
      </c>
      <c r="O546">
        <v>5.5</v>
      </c>
      <c r="P546">
        <v>2.8</v>
      </c>
      <c r="Q546">
        <v>0.509090909090909</v>
      </c>
      <c r="R546">
        <v>2</v>
      </c>
      <c r="S546">
        <v>0.04978904632428516</v>
      </c>
      <c r="T546" t="s">
        <v>910</v>
      </c>
      <c r="U546">
        <v>-0.045001553425901</v>
      </c>
      <c r="V546" t="s">
        <v>1006</v>
      </c>
      <c r="W546" t="s">
        <v>1008</v>
      </c>
      <c r="X546" t="s">
        <v>1020</v>
      </c>
      <c r="Y546">
        <v>2539.966231</v>
      </c>
      <c r="Z546" s="2">
        <v>45138</v>
      </c>
      <c r="AA546" t="s">
        <v>1032</v>
      </c>
    </row>
    <row r="547" spans="1:27">
      <c r="A547" s="1" t="s">
        <v>572</v>
      </c>
      <c r="B547">
        <f>HYPERLINK("https://www.suredividend.com/sure-analysis-AROW/","Arrow Financial Corp.")</f>
        <v>0</v>
      </c>
      <c r="C547" t="s">
        <v>898</v>
      </c>
      <c r="D547">
        <v>20</v>
      </c>
      <c r="E547">
        <v>17.96</v>
      </c>
      <c r="F547">
        <v>22</v>
      </c>
      <c r="G547">
        <v>0.8163636363636364</v>
      </c>
      <c r="H547">
        <v>0.06013363028953229</v>
      </c>
      <c r="I547">
        <v>0.04141365945666964</v>
      </c>
      <c r="J547">
        <v>0.07000000000000001</v>
      </c>
      <c r="K547">
        <v>0.1529007364062294</v>
      </c>
      <c r="L547" t="s">
        <v>825</v>
      </c>
      <c r="M547" t="s">
        <v>902</v>
      </c>
      <c r="N547">
        <v>8.98</v>
      </c>
      <c r="O547">
        <v>2</v>
      </c>
      <c r="P547">
        <v>1.08</v>
      </c>
      <c r="Q547">
        <v>0.54</v>
      </c>
      <c r="R547">
        <v>27</v>
      </c>
      <c r="S547">
        <v>0.01958782572000284</v>
      </c>
      <c r="T547" t="s">
        <v>916</v>
      </c>
      <c r="U547">
        <v>-0.3936155461687521</v>
      </c>
      <c r="V547" t="s">
        <v>1004</v>
      </c>
      <c r="W547" t="s">
        <v>1008</v>
      </c>
      <c r="X547" t="s">
        <v>1015</v>
      </c>
      <c r="Y547">
        <v>296.79633</v>
      </c>
      <c r="Z547" s="2">
        <v>45140</v>
      </c>
      <c r="AA547" t="s">
        <v>1030</v>
      </c>
    </row>
    <row r="548" spans="1:27">
      <c r="A548" s="1" t="s">
        <v>573</v>
      </c>
      <c r="B548">
        <f>HYPERLINK("https://www.suredividend.com/sure-analysis-UNIT/","Uniti Group Inc")</f>
        <v>0</v>
      </c>
      <c r="C548" t="s">
        <v>898</v>
      </c>
      <c r="D548">
        <v>5.1</v>
      </c>
      <c r="E548">
        <v>4.82</v>
      </c>
      <c r="F548">
        <v>6</v>
      </c>
      <c r="G548">
        <v>0.8033333333333333</v>
      </c>
      <c r="H548">
        <v>0.1244813278008299</v>
      </c>
      <c r="I548">
        <v>0.04477035807902152</v>
      </c>
      <c r="J548">
        <v>0.024</v>
      </c>
      <c r="K548">
        <v>0.1514354696976268</v>
      </c>
      <c r="L548" t="s">
        <v>825</v>
      </c>
      <c r="M548" t="s">
        <v>902</v>
      </c>
      <c r="N548">
        <v>4.016666666666667</v>
      </c>
      <c r="O548">
        <v>1.2</v>
      </c>
      <c r="P548">
        <v>0.6</v>
      </c>
      <c r="Q548">
        <v>0.5</v>
      </c>
      <c r="R548">
        <v>0</v>
      </c>
      <c r="S548">
        <v>0</v>
      </c>
      <c r="T548" t="s">
        <v>924</v>
      </c>
      <c r="U548">
        <v>-0.389535602184819</v>
      </c>
      <c r="V548" t="s">
        <v>1005</v>
      </c>
      <c r="W548" t="s">
        <v>1008</v>
      </c>
      <c r="X548" t="s">
        <v>1019</v>
      </c>
      <c r="Y548">
        <v>1179.121704</v>
      </c>
      <c r="Z548" s="2">
        <v>45165</v>
      </c>
      <c r="AA548" t="s">
        <v>1033</v>
      </c>
    </row>
    <row r="549" spans="1:27">
      <c r="A549" s="1" t="s">
        <v>574</v>
      </c>
      <c r="B549">
        <f>HYPERLINK("https://www.suredividend.com/sure-analysis-GSK/","GSK Plc")</f>
        <v>0</v>
      </c>
      <c r="C549" t="s">
        <v>898</v>
      </c>
      <c r="D549">
        <v>36</v>
      </c>
      <c r="E549">
        <v>36.76</v>
      </c>
      <c r="F549">
        <v>57</v>
      </c>
      <c r="G549">
        <v>0.6449122807017543</v>
      </c>
      <c r="H549">
        <v>0.03808487486398259</v>
      </c>
      <c r="I549">
        <v>0.09169135351404756</v>
      </c>
      <c r="J549">
        <v>0.03</v>
      </c>
      <c r="K549">
        <v>0.1493406793115375</v>
      </c>
      <c r="L549" t="s">
        <v>825</v>
      </c>
      <c r="M549" t="s">
        <v>580</v>
      </c>
      <c r="N549">
        <v>8.354545454545454</v>
      </c>
      <c r="O549">
        <v>4.4</v>
      </c>
      <c r="P549">
        <v>1.4</v>
      </c>
      <c r="Q549">
        <v>0.3181818181818181</v>
      </c>
      <c r="R549">
        <v>3</v>
      </c>
      <c r="S549">
        <v>0.02962100943384161</v>
      </c>
      <c r="T549" t="s">
        <v>932</v>
      </c>
      <c r="U549">
        <v>0.181402683316132</v>
      </c>
      <c r="V549" t="s">
        <v>1004</v>
      </c>
      <c r="W549" t="s">
        <v>1009</v>
      </c>
      <c r="X549" t="s">
        <v>1014</v>
      </c>
      <c r="Y549">
        <v>75471.155459</v>
      </c>
      <c r="Z549" s="2">
        <v>45139</v>
      </c>
      <c r="AA549" t="s">
        <v>1021</v>
      </c>
    </row>
    <row r="550" spans="1:27">
      <c r="A550" s="1" t="s">
        <v>575</v>
      </c>
      <c r="B550">
        <f>HYPERLINK("https://www.suredividend.com/sure-analysis-ARE/","Alexandria Real Estate Equities Inc.")</f>
        <v>0</v>
      </c>
      <c r="C550" t="s">
        <v>898</v>
      </c>
      <c r="D550">
        <v>125</v>
      </c>
      <c r="E550">
        <v>110.8</v>
      </c>
      <c r="F550">
        <v>152</v>
      </c>
      <c r="G550">
        <v>0.7289473684210526</v>
      </c>
      <c r="H550">
        <v>0.04368231046931408</v>
      </c>
      <c r="I550">
        <v>0.06527262179197546</v>
      </c>
      <c r="J550">
        <v>0.05</v>
      </c>
      <c r="K550">
        <v>0.1491996254616306</v>
      </c>
      <c r="L550" t="s">
        <v>825</v>
      </c>
      <c r="M550" t="s">
        <v>825</v>
      </c>
      <c r="N550">
        <v>12.36607142857143</v>
      </c>
      <c r="O550">
        <v>8.960000000000001</v>
      </c>
      <c r="P550">
        <v>4.84</v>
      </c>
      <c r="Q550">
        <v>0.5401785714285714</v>
      </c>
      <c r="R550">
        <v>12</v>
      </c>
      <c r="S550">
        <v>0.0500950775821003</v>
      </c>
      <c r="T550" t="s">
        <v>911</v>
      </c>
      <c r="U550">
        <v>-0.275839837232433</v>
      </c>
      <c r="V550" t="s">
        <v>1005</v>
      </c>
      <c r="W550" t="s">
        <v>1008</v>
      </c>
      <c r="X550" t="s">
        <v>1019</v>
      </c>
      <c r="Y550">
        <v>19337.63342</v>
      </c>
      <c r="Z550" s="2">
        <v>45134</v>
      </c>
      <c r="AA550" t="s">
        <v>1026</v>
      </c>
    </row>
    <row r="551" spans="1:27">
      <c r="A551" s="1" t="s">
        <v>576</v>
      </c>
      <c r="B551">
        <f>HYPERLINK("https://www.suredividend.com/sure-analysis-ASB/","Associated Banc-Corp.")</f>
        <v>0</v>
      </c>
      <c r="C551" t="s">
        <v>898</v>
      </c>
      <c r="D551">
        <v>18</v>
      </c>
      <c r="E551">
        <v>17.34</v>
      </c>
      <c r="F551">
        <v>23</v>
      </c>
      <c r="G551">
        <v>0.7539130434782608</v>
      </c>
      <c r="H551">
        <v>0.04844290657439446</v>
      </c>
      <c r="I551">
        <v>0.05812201081177171</v>
      </c>
      <c r="J551">
        <v>0.05</v>
      </c>
      <c r="K551">
        <v>0.1485998445847247</v>
      </c>
      <c r="L551" t="s">
        <v>825</v>
      </c>
      <c r="M551" t="s">
        <v>902</v>
      </c>
      <c r="N551">
        <v>7.539130434782609</v>
      </c>
      <c r="O551">
        <v>2.3</v>
      </c>
      <c r="P551">
        <v>0.84</v>
      </c>
      <c r="Q551">
        <v>0.3652173913043478</v>
      </c>
      <c r="R551">
        <v>12</v>
      </c>
      <c r="S551">
        <v>0.07925772298130362</v>
      </c>
      <c r="T551" t="s">
        <v>916</v>
      </c>
      <c r="U551">
        <v>-0.134435082631197</v>
      </c>
      <c r="V551" t="s">
        <v>1004</v>
      </c>
      <c r="W551" t="s">
        <v>1008</v>
      </c>
      <c r="X551" t="s">
        <v>1015</v>
      </c>
      <c r="Y551">
        <v>2612.444068</v>
      </c>
      <c r="Z551" s="2">
        <v>45131</v>
      </c>
      <c r="AA551" t="s">
        <v>1023</v>
      </c>
    </row>
    <row r="552" spans="1:27">
      <c r="A552" s="1" t="s">
        <v>577</v>
      </c>
      <c r="B552">
        <f>HYPERLINK("https://www.suredividend.com/sure-analysis-SNV/","Synovus Financial Corp.")</f>
        <v>0</v>
      </c>
      <c r="C552" t="s">
        <v>898</v>
      </c>
      <c r="D552">
        <v>33</v>
      </c>
      <c r="E552">
        <v>29.79</v>
      </c>
      <c r="F552">
        <v>43</v>
      </c>
      <c r="G552">
        <v>0.6927906976744186</v>
      </c>
      <c r="H552">
        <v>0.05102383350117489</v>
      </c>
      <c r="I552">
        <v>0.07616680159365297</v>
      </c>
      <c r="J552">
        <v>0.03</v>
      </c>
      <c r="K552">
        <v>0.1451593356536254</v>
      </c>
      <c r="L552" t="s">
        <v>825</v>
      </c>
      <c r="M552" t="s">
        <v>902</v>
      </c>
      <c r="N552">
        <v>6.927906976744186</v>
      </c>
      <c r="O552">
        <v>4.3</v>
      </c>
      <c r="P552">
        <v>1.52</v>
      </c>
      <c r="Q552">
        <v>0.3534883720930233</v>
      </c>
      <c r="R552">
        <v>9</v>
      </c>
      <c r="S552">
        <v>0.05000563166277994</v>
      </c>
      <c r="T552" t="s">
        <v>912</v>
      </c>
      <c r="U552">
        <v>-0.243879409353971</v>
      </c>
      <c r="V552" t="s">
        <v>1004</v>
      </c>
      <c r="W552" t="s">
        <v>1008</v>
      </c>
      <c r="X552" t="s">
        <v>1015</v>
      </c>
      <c r="Y552">
        <v>4436.171151</v>
      </c>
      <c r="Z552" s="2">
        <v>45131</v>
      </c>
      <c r="AA552" t="s">
        <v>1023</v>
      </c>
    </row>
    <row r="553" spans="1:27">
      <c r="A553" s="1" t="s">
        <v>578</v>
      </c>
      <c r="B553">
        <f>HYPERLINK("https://www.suredividend.com/sure-analysis-AES/","AES Corp.")</f>
        <v>0</v>
      </c>
      <c r="C553" t="s">
        <v>898</v>
      </c>
      <c r="D553">
        <v>20</v>
      </c>
      <c r="E553">
        <v>16.99</v>
      </c>
      <c r="F553">
        <v>21</v>
      </c>
      <c r="G553">
        <v>0.809047619047619</v>
      </c>
      <c r="H553">
        <v>0.03884638022366099</v>
      </c>
      <c r="I553">
        <v>0.04329033273948713</v>
      </c>
      <c r="J553">
        <v>0.07000000000000001</v>
      </c>
      <c r="K553">
        <v>0.144093701253174</v>
      </c>
      <c r="L553" t="s">
        <v>825</v>
      </c>
      <c r="M553" t="s">
        <v>580</v>
      </c>
      <c r="N553">
        <v>9.994117647058824</v>
      </c>
      <c r="O553">
        <v>1.7</v>
      </c>
      <c r="P553">
        <v>0.66</v>
      </c>
      <c r="Q553">
        <v>0.3882352941176471</v>
      </c>
      <c r="R553">
        <v>10</v>
      </c>
      <c r="S553">
        <v>0.0519013150122396</v>
      </c>
      <c r="T553" t="s">
        <v>957</v>
      </c>
      <c r="U553">
        <v>-0.365841851458787</v>
      </c>
      <c r="V553" t="s">
        <v>1004</v>
      </c>
      <c r="W553" t="s">
        <v>1008</v>
      </c>
      <c r="X553" t="s">
        <v>1020</v>
      </c>
      <c r="Y553">
        <v>11403.782466</v>
      </c>
      <c r="Z553" s="2">
        <v>45145</v>
      </c>
      <c r="AA553" t="s">
        <v>1026</v>
      </c>
    </row>
    <row r="554" spans="1:27">
      <c r="A554" s="1" t="s">
        <v>579</v>
      </c>
      <c r="B554">
        <f>HYPERLINK("https://www.suredividend.com/sure-analysis-RF/","Regions Financial Corp.")</f>
        <v>0</v>
      </c>
      <c r="C554" t="s">
        <v>898</v>
      </c>
      <c r="D554">
        <v>20</v>
      </c>
      <c r="E554">
        <v>17.86</v>
      </c>
      <c r="F554">
        <v>24</v>
      </c>
      <c r="G554">
        <v>0.7441666666666666</v>
      </c>
      <c r="H554">
        <v>0.05375139977603583</v>
      </c>
      <c r="I554">
        <v>0.06087925589129739</v>
      </c>
      <c r="J554">
        <v>0.04</v>
      </c>
      <c r="K554">
        <v>0.1426071730745466</v>
      </c>
      <c r="L554" t="s">
        <v>825</v>
      </c>
      <c r="M554" t="s">
        <v>902</v>
      </c>
      <c r="N554">
        <v>7.441666666666666</v>
      </c>
      <c r="O554">
        <v>2.4</v>
      </c>
      <c r="P554">
        <v>0.96</v>
      </c>
      <c r="Q554">
        <v>0.4</v>
      </c>
      <c r="R554">
        <v>11</v>
      </c>
      <c r="S554">
        <v>0.05081623913789235</v>
      </c>
      <c r="T554" t="s">
        <v>916</v>
      </c>
      <c r="U554">
        <v>-0.154374334633461</v>
      </c>
      <c r="V554" t="s">
        <v>1004</v>
      </c>
      <c r="W554" t="s">
        <v>1008</v>
      </c>
      <c r="X554" t="s">
        <v>1015</v>
      </c>
      <c r="Y554">
        <v>17069.085943</v>
      </c>
      <c r="Z554" s="2">
        <v>45143</v>
      </c>
      <c r="AA554" t="s">
        <v>1028</v>
      </c>
    </row>
    <row r="555" spans="1:27">
      <c r="A555" s="1" t="s">
        <v>580</v>
      </c>
      <c r="B555">
        <f>HYPERLINK("https://www.suredividend.com/sure-analysis-C/","Citigroup Inc")</f>
        <v>0</v>
      </c>
      <c r="C555" t="s">
        <v>898</v>
      </c>
      <c r="D555">
        <v>46</v>
      </c>
      <c r="E555">
        <v>42.37</v>
      </c>
      <c r="F555">
        <v>56</v>
      </c>
      <c r="G555">
        <v>0.7566071428571428</v>
      </c>
      <c r="H555">
        <v>0.0500354024073637</v>
      </c>
      <c r="I555">
        <v>0.05736739070992192</v>
      </c>
      <c r="J555">
        <v>0.05</v>
      </c>
      <c r="K555">
        <v>0.1422818246072908</v>
      </c>
      <c r="L555" t="s">
        <v>825</v>
      </c>
      <c r="M555" t="s">
        <v>580</v>
      </c>
      <c r="N555">
        <v>7.242735042735043</v>
      </c>
      <c r="O555">
        <v>5.85</v>
      </c>
      <c r="P555">
        <v>2.12</v>
      </c>
      <c r="Q555">
        <v>0.3623931623931624</v>
      </c>
      <c r="R555">
        <v>1</v>
      </c>
      <c r="S555">
        <v>0.01016845023520419</v>
      </c>
      <c r="T555" t="s">
        <v>910</v>
      </c>
      <c r="U555">
        <v>-0.144007229113612</v>
      </c>
      <c r="V555" t="s">
        <v>1004</v>
      </c>
      <c r="W555" t="s">
        <v>1008</v>
      </c>
      <c r="X555" t="s">
        <v>1015</v>
      </c>
      <c r="Y555">
        <v>81140.616566</v>
      </c>
      <c r="Z555" s="2">
        <v>45125</v>
      </c>
      <c r="AA555" t="s">
        <v>1030</v>
      </c>
    </row>
    <row r="556" spans="1:27">
      <c r="A556" s="1" t="s">
        <v>581</v>
      </c>
      <c r="B556">
        <f>HYPERLINK("https://www.suredividend.com/sure-analysis-ITUB/","Itau Unibanco Holding S.A.")</f>
        <v>0</v>
      </c>
      <c r="C556" t="s">
        <v>898</v>
      </c>
      <c r="D556">
        <v>5.49</v>
      </c>
      <c r="E556">
        <v>5.61</v>
      </c>
      <c r="F556">
        <v>7.3</v>
      </c>
      <c r="G556">
        <v>0.7684931506849315</v>
      </c>
      <c r="H556">
        <v>0.0427807486631016</v>
      </c>
      <c r="I556">
        <v>0.0540761812404249</v>
      </c>
      <c r="J556">
        <v>0.05</v>
      </c>
      <c r="K556">
        <v>0.1364489834651759</v>
      </c>
      <c r="L556" t="s">
        <v>825</v>
      </c>
      <c r="M556" t="s">
        <v>580</v>
      </c>
      <c r="N556">
        <v>7.684931506849316</v>
      </c>
      <c r="O556">
        <v>0.73</v>
      </c>
      <c r="P556">
        <v>0.24</v>
      </c>
      <c r="Q556">
        <v>0.3287671232876712</v>
      </c>
      <c r="R556">
        <v>1</v>
      </c>
      <c r="S556">
        <v>0.03131030647754507</v>
      </c>
      <c r="T556" t="s">
        <v>920</v>
      </c>
      <c r="U556">
        <v>0.09940448923499701</v>
      </c>
      <c r="V556" t="s">
        <v>1004</v>
      </c>
      <c r="W556" t="s">
        <v>1009</v>
      </c>
      <c r="X556" t="s">
        <v>1015</v>
      </c>
      <c r="Y556">
        <v>26749.064339</v>
      </c>
      <c r="Z556" s="2">
        <v>45168</v>
      </c>
      <c r="AA556" t="s">
        <v>1027</v>
      </c>
    </row>
    <row r="557" spans="1:27">
      <c r="A557" s="1" t="s">
        <v>582</v>
      </c>
      <c r="B557">
        <f>HYPERLINK("https://www.suredividend.com/sure-analysis-NYCB/","New York Community Bancorp Inc.")</f>
        <v>0</v>
      </c>
      <c r="C557" t="s">
        <v>898</v>
      </c>
      <c r="D557">
        <v>13.44</v>
      </c>
      <c r="E557">
        <v>11.68</v>
      </c>
      <c r="F557">
        <v>14</v>
      </c>
      <c r="G557">
        <v>0.8342857142857143</v>
      </c>
      <c r="H557">
        <v>0.05821917808219178</v>
      </c>
      <c r="I557">
        <v>0.03690039180408289</v>
      </c>
      <c r="J557">
        <v>0.06</v>
      </c>
      <c r="K557">
        <v>0.136391448778787</v>
      </c>
      <c r="L557" t="s">
        <v>825</v>
      </c>
      <c r="M557" t="s">
        <v>580</v>
      </c>
      <c r="N557">
        <v>8.342857142857143</v>
      </c>
      <c r="O557">
        <v>1.4</v>
      </c>
      <c r="P557">
        <v>0.68</v>
      </c>
      <c r="Q557">
        <v>0.4857142857142858</v>
      </c>
      <c r="R557">
        <v>0</v>
      </c>
      <c r="S557">
        <v>0</v>
      </c>
      <c r="T557" t="s">
        <v>910</v>
      </c>
      <c r="U557">
        <v>0.273227071258097</v>
      </c>
      <c r="V557" t="s">
        <v>1004</v>
      </c>
      <c r="W557" t="s">
        <v>1008</v>
      </c>
      <c r="X557" t="s">
        <v>1015</v>
      </c>
      <c r="Y557">
        <v>8633.579739000001</v>
      </c>
      <c r="Z557" s="2">
        <v>45147</v>
      </c>
      <c r="AA557" t="s">
        <v>1030</v>
      </c>
    </row>
    <row r="558" spans="1:27">
      <c r="A558" s="1" t="s">
        <v>583</v>
      </c>
      <c r="B558">
        <f>HYPERLINK("https://www.suredividend.com/sure-analysis-AY/","Atlantica Sustainable Infrastructure Plc")</f>
        <v>0</v>
      </c>
      <c r="C558" t="s">
        <v>898</v>
      </c>
      <c r="D558">
        <v>24</v>
      </c>
      <c r="E558">
        <v>22.57</v>
      </c>
      <c r="F558">
        <v>26</v>
      </c>
      <c r="G558">
        <v>0.8680769230769231</v>
      </c>
      <c r="H558">
        <v>0.07886575099689853</v>
      </c>
      <c r="I558">
        <v>0.02869909503609636</v>
      </c>
      <c r="J558">
        <v>0.04</v>
      </c>
      <c r="K558">
        <v>0.1304796427761488</v>
      </c>
      <c r="L558" t="s">
        <v>825</v>
      </c>
      <c r="M558" t="s">
        <v>902</v>
      </c>
      <c r="N558">
        <v>10.90338164251208</v>
      </c>
      <c r="O558">
        <v>2.07</v>
      </c>
      <c r="P558">
        <v>1.78</v>
      </c>
      <c r="Q558">
        <v>0.8599033816425121</v>
      </c>
      <c r="R558">
        <v>7</v>
      </c>
      <c r="S558">
        <v>0.04041821346145347</v>
      </c>
      <c r="T558" t="s">
        <v>925</v>
      </c>
      <c r="U558">
        <v>-0.267776312969613</v>
      </c>
      <c r="V558" t="s">
        <v>1004</v>
      </c>
      <c r="W558" t="s">
        <v>1009</v>
      </c>
      <c r="X558" t="s">
        <v>1020</v>
      </c>
      <c r="Y558">
        <v>2534.687041</v>
      </c>
      <c r="Z558" s="2">
        <v>45140</v>
      </c>
      <c r="AA558" t="s">
        <v>1032</v>
      </c>
    </row>
    <row r="559" spans="1:27">
      <c r="A559" s="1" t="s">
        <v>584</v>
      </c>
      <c r="B559">
        <f>HYPERLINK("https://www.suredividend.com/sure-analysis-WPP/","WPP Plc.")</f>
        <v>0</v>
      </c>
      <c r="C559" t="s">
        <v>898</v>
      </c>
      <c r="D559">
        <v>49</v>
      </c>
      <c r="E559">
        <v>47.92</v>
      </c>
      <c r="F559">
        <v>65</v>
      </c>
      <c r="G559">
        <v>0.7372307692307692</v>
      </c>
      <c r="H559">
        <v>0.05279632721202003</v>
      </c>
      <c r="I559">
        <v>0.06286794518408434</v>
      </c>
      <c r="J559">
        <v>0.03</v>
      </c>
      <c r="K559">
        <v>0.1302576902953572</v>
      </c>
      <c r="L559" t="s">
        <v>825</v>
      </c>
      <c r="M559" t="s">
        <v>580</v>
      </c>
      <c r="N559">
        <v>7.729032258064517</v>
      </c>
      <c r="O559">
        <v>6.2</v>
      </c>
      <c r="P559">
        <v>2.53</v>
      </c>
      <c r="Q559">
        <v>0.4080645161290322</v>
      </c>
      <c r="R559">
        <v>2</v>
      </c>
      <c r="S559">
        <v>0.01007174603738803</v>
      </c>
      <c r="T559" t="s">
        <v>926</v>
      </c>
      <c r="U559">
        <v>0.086884772004579</v>
      </c>
      <c r="V559" t="s">
        <v>1004</v>
      </c>
      <c r="W559" t="s">
        <v>1009</v>
      </c>
      <c r="X559" t="s">
        <v>1017</v>
      </c>
      <c r="Y559">
        <v>10264.700035</v>
      </c>
      <c r="Z559" s="2">
        <v>45153</v>
      </c>
      <c r="AA559" t="s">
        <v>1030</v>
      </c>
    </row>
    <row r="560" spans="1:27">
      <c r="A560" s="1" t="s">
        <v>585</v>
      </c>
      <c r="B560">
        <f>HYPERLINK("https://www.suredividend.com/sure-analysis-MAA/","Mid-America Apartment Communities, Inc.")</f>
        <v>0</v>
      </c>
      <c r="C560" t="s">
        <v>898</v>
      </c>
      <c r="D560">
        <v>144</v>
      </c>
      <c r="E560">
        <v>136.53</v>
      </c>
      <c r="F560">
        <v>171</v>
      </c>
      <c r="G560">
        <v>0.7984210526315789</v>
      </c>
      <c r="H560">
        <v>0.04101662638248004</v>
      </c>
      <c r="I560">
        <v>0.0460527945406175</v>
      </c>
      <c r="J560">
        <v>0.05</v>
      </c>
      <c r="K560">
        <v>0.1299567679643885</v>
      </c>
      <c r="L560" t="s">
        <v>825</v>
      </c>
      <c r="M560" t="s">
        <v>825</v>
      </c>
      <c r="N560">
        <v>14.84021739130435</v>
      </c>
      <c r="O560">
        <v>9.199999999999999</v>
      </c>
      <c r="P560">
        <v>5.6</v>
      </c>
      <c r="Q560">
        <v>0.6086956521739131</v>
      </c>
      <c r="R560">
        <v>12</v>
      </c>
      <c r="S560">
        <v>0.05789648870565345</v>
      </c>
      <c r="T560" t="s">
        <v>908</v>
      </c>
      <c r="U560">
        <v>-0.17508999451689</v>
      </c>
      <c r="V560" t="s">
        <v>1005</v>
      </c>
      <c r="W560" t="s">
        <v>1008</v>
      </c>
      <c r="X560" t="s">
        <v>1019</v>
      </c>
      <c r="Y560">
        <v>16149.258864</v>
      </c>
      <c r="Z560" s="2">
        <v>45153</v>
      </c>
      <c r="AA560" t="s">
        <v>1022</v>
      </c>
    </row>
    <row r="561" spans="1:27">
      <c r="A561" s="1" t="s">
        <v>586</v>
      </c>
      <c r="B561">
        <f>HYPERLINK("https://www.suredividend.com/sure-analysis-NXRT/","NexPoint Residential Trust Inc")</f>
        <v>0</v>
      </c>
      <c r="C561" t="s">
        <v>899</v>
      </c>
      <c r="D561">
        <v>48</v>
      </c>
      <c r="E561">
        <v>35.21</v>
      </c>
      <c r="F561">
        <v>44</v>
      </c>
      <c r="G561">
        <v>0.8002272727272728</v>
      </c>
      <c r="H561">
        <v>0.04771371769383698</v>
      </c>
      <c r="I561">
        <v>0.04558015137788107</v>
      </c>
      <c r="J561">
        <v>0.04</v>
      </c>
      <c r="K561">
        <v>0.1298409616942435</v>
      </c>
      <c r="L561" t="s">
        <v>825</v>
      </c>
      <c r="M561" t="s">
        <v>580</v>
      </c>
      <c r="N561">
        <v>10.35588235294118</v>
      </c>
      <c r="O561">
        <v>3.4</v>
      </c>
      <c r="P561">
        <v>1.68</v>
      </c>
      <c r="Q561">
        <v>0.4941176470588236</v>
      </c>
      <c r="R561">
        <v>7</v>
      </c>
      <c r="S561">
        <v>0.1003529239440031</v>
      </c>
      <c r="T561" t="s">
        <v>912</v>
      </c>
      <c r="U561">
        <v>-0.315872474559537</v>
      </c>
      <c r="V561" t="s">
        <v>1005</v>
      </c>
      <c r="W561" t="s">
        <v>1008</v>
      </c>
      <c r="X561" t="s">
        <v>1019</v>
      </c>
      <c r="Y561">
        <v>932.2343049999999</v>
      </c>
      <c r="Z561" s="2">
        <v>45132</v>
      </c>
      <c r="AA561" t="s">
        <v>1032</v>
      </c>
    </row>
    <row r="562" spans="1:27">
      <c r="A562" s="1" t="s">
        <v>587</v>
      </c>
      <c r="B562">
        <f>HYPERLINK("https://www.suredividend.com/sure-analysis-CAKE/","Cheesecake Factory Inc.")</f>
        <v>0</v>
      </c>
      <c r="C562" t="s">
        <v>898</v>
      </c>
      <c r="D562">
        <v>36</v>
      </c>
      <c r="E562">
        <v>29.91</v>
      </c>
      <c r="F562">
        <v>36</v>
      </c>
      <c r="G562">
        <v>0.8308333333333333</v>
      </c>
      <c r="H562">
        <v>0.03610832497492478</v>
      </c>
      <c r="I562">
        <v>0.03776069428868989</v>
      </c>
      <c r="J562">
        <v>0.06</v>
      </c>
      <c r="K562">
        <v>0.1280879619856521</v>
      </c>
      <c r="L562" t="s">
        <v>825</v>
      </c>
      <c r="M562" t="s">
        <v>825</v>
      </c>
      <c r="N562">
        <v>10.79783393501805</v>
      </c>
      <c r="O562">
        <v>2.77</v>
      </c>
      <c r="P562">
        <v>1.08</v>
      </c>
      <c r="Q562">
        <v>0.3898916967509026</v>
      </c>
      <c r="R562">
        <v>1</v>
      </c>
      <c r="S562">
        <v>0.06069091570555463</v>
      </c>
      <c r="T562" t="s">
        <v>923</v>
      </c>
      <c r="U562">
        <v>-0.07504363001745201</v>
      </c>
      <c r="V562" t="s">
        <v>1004</v>
      </c>
      <c r="W562" t="s">
        <v>1008</v>
      </c>
      <c r="X562" t="s">
        <v>1013</v>
      </c>
      <c r="Y562">
        <v>1549.033822</v>
      </c>
      <c r="Z562" s="2">
        <v>45146</v>
      </c>
      <c r="AA562" t="s">
        <v>1021</v>
      </c>
    </row>
    <row r="563" spans="1:27">
      <c r="A563" s="1" t="s">
        <v>588</v>
      </c>
      <c r="B563">
        <f>HYPERLINK("https://www.suredividend.com/sure-analysis-TSM/","Taiwan Semiconductor Manufacturing")</f>
        <v>0</v>
      </c>
      <c r="C563" t="s">
        <v>898</v>
      </c>
      <c r="D563">
        <v>103</v>
      </c>
      <c r="E563">
        <v>90.74890000000001</v>
      </c>
      <c r="F563">
        <v>94</v>
      </c>
      <c r="G563">
        <v>0.9654138297872341</v>
      </c>
      <c r="H563">
        <v>0.02060631037951975</v>
      </c>
      <c r="I563">
        <v>0.007064522919165483</v>
      </c>
      <c r="J563">
        <v>0.1</v>
      </c>
      <c r="K563">
        <v>0.1260707782428576</v>
      </c>
      <c r="L563" t="s">
        <v>825</v>
      </c>
      <c r="M563" t="s">
        <v>642</v>
      </c>
      <c r="N563">
        <v>16.4998</v>
      </c>
      <c r="O563">
        <v>5.5</v>
      </c>
      <c r="P563">
        <v>1.87</v>
      </c>
      <c r="Q563">
        <v>0.34</v>
      </c>
      <c r="R563">
        <v>0</v>
      </c>
      <c r="S563">
        <v>0.1099253983747133</v>
      </c>
      <c r="T563" t="s">
        <v>904</v>
      </c>
      <c r="U563">
        <v>0.124388595061041</v>
      </c>
      <c r="V563" t="s">
        <v>1004</v>
      </c>
      <c r="W563" t="s">
        <v>1009</v>
      </c>
      <c r="X563" t="s">
        <v>1016</v>
      </c>
      <c r="Y563">
        <v>469266.756816</v>
      </c>
      <c r="Z563" s="2">
        <v>45127</v>
      </c>
      <c r="AA563" t="s">
        <v>1022</v>
      </c>
    </row>
    <row r="564" spans="1:27">
      <c r="A564" s="1" t="s">
        <v>589</v>
      </c>
      <c r="B564">
        <f>HYPERLINK("https://www.suredividend.com/sure-analysis-USB/","U.S. Bancorp.")</f>
        <v>0</v>
      </c>
      <c r="C564" t="s">
        <v>898</v>
      </c>
      <c r="D564">
        <v>39</v>
      </c>
      <c r="E564">
        <v>35.15</v>
      </c>
      <c r="F564">
        <v>45</v>
      </c>
      <c r="G564">
        <v>0.7811111111111111</v>
      </c>
      <c r="H564">
        <v>0.05462304409672831</v>
      </c>
      <c r="I564">
        <v>0.05064848080867357</v>
      </c>
      <c r="J564">
        <v>0.03</v>
      </c>
      <c r="K564">
        <v>0.1260643211306143</v>
      </c>
      <c r="L564" t="s">
        <v>825</v>
      </c>
      <c r="M564" t="s">
        <v>902</v>
      </c>
      <c r="N564">
        <v>8.174418604651162</v>
      </c>
      <c r="O564">
        <v>4.3</v>
      </c>
      <c r="P564">
        <v>1.92</v>
      </c>
      <c r="Q564">
        <v>0.4465116279069767</v>
      </c>
      <c r="R564">
        <v>11</v>
      </c>
      <c r="S564">
        <v>0.06005006969898052</v>
      </c>
      <c r="T564" t="s">
        <v>911</v>
      </c>
      <c r="U564">
        <v>-0.181252904339359</v>
      </c>
      <c r="V564" t="s">
        <v>1004</v>
      </c>
      <c r="W564" t="s">
        <v>1008</v>
      </c>
      <c r="X564" t="s">
        <v>1015</v>
      </c>
      <c r="Y564">
        <v>56719.722094</v>
      </c>
      <c r="Z564" s="2">
        <v>45129</v>
      </c>
      <c r="AA564" t="s">
        <v>1030</v>
      </c>
    </row>
    <row r="565" spans="1:27">
      <c r="A565" s="1" t="s">
        <v>590</v>
      </c>
      <c r="B565">
        <f>HYPERLINK("https://www.suredividend.com/sure-analysis-PAA/","Plains All American Pipeline LP")</f>
        <v>0</v>
      </c>
      <c r="C565" t="s">
        <v>898</v>
      </c>
      <c r="D565">
        <v>14.92</v>
      </c>
      <c r="E565">
        <v>14.99</v>
      </c>
      <c r="F565">
        <v>15.15</v>
      </c>
      <c r="G565">
        <v>0.9894389438943895</v>
      </c>
      <c r="H565">
        <v>0.0713809206137425</v>
      </c>
      <c r="I565">
        <v>0.00212570007193813</v>
      </c>
      <c r="J565">
        <v>0.05</v>
      </c>
      <c r="K565">
        <v>0.124563468244034</v>
      </c>
      <c r="L565" t="s">
        <v>825</v>
      </c>
      <c r="M565" t="s">
        <v>902</v>
      </c>
      <c r="N565">
        <v>6.433476394849786</v>
      </c>
      <c r="O565">
        <v>2.33</v>
      </c>
      <c r="P565">
        <v>1.07</v>
      </c>
      <c r="Q565">
        <v>0.4592274678111588</v>
      </c>
      <c r="R565">
        <v>2</v>
      </c>
      <c r="S565">
        <v>0.1205096608365643</v>
      </c>
      <c r="T565" t="s">
        <v>918</v>
      </c>
      <c r="U565">
        <v>0.358269868454615</v>
      </c>
      <c r="V565" t="s">
        <v>1006</v>
      </c>
      <c r="W565" t="s">
        <v>1008</v>
      </c>
      <c r="X565" t="s">
        <v>1020</v>
      </c>
      <c r="Y565">
        <v>10412.994989</v>
      </c>
      <c r="Z565" s="2">
        <v>45144</v>
      </c>
      <c r="AA565" t="s">
        <v>1032</v>
      </c>
    </row>
    <row r="566" spans="1:27">
      <c r="A566" s="1" t="s">
        <v>591</v>
      </c>
      <c r="B566">
        <f>HYPERLINK("https://www.suredividend.com/sure-analysis-CFG/","Citizens Financial Group Inc")</f>
        <v>0</v>
      </c>
      <c r="C566" t="s">
        <v>899</v>
      </c>
      <c r="D566">
        <v>31</v>
      </c>
      <c r="E566">
        <v>27.44</v>
      </c>
      <c r="F566">
        <v>36</v>
      </c>
      <c r="G566">
        <v>0.7622222222222222</v>
      </c>
      <c r="H566">
        <v>0.06122448979591836</v>
      </c>
      <c r="I566">
        <v>0.05580491340088578</v>
      </c>
      <c r="J566">
        <v>0.02</v>
      </c>
      <c r="K566">
        <v>0.1226837216016947</v>
      </c>
      <c r="L566" t="s">
        <v>825</v>
      </c>
      <c r="M566" t="s">
        <v>902</v>
      </c>
      <c r="N566">
        <v>6.775308641975309</v>
      </c>
      <c r="O566">
        <v>4.05</v>
      </c>
      <c r="P566">
        <v>1.68</v>
      </c>
      <c r="Q566">
        <v>0.4148148148148148</v>
      </c>
      <c r="R566">
        <v>2</v>
      </c>
      <c r="S566">
        <v>0.03025579475561258</v>
      </c>
      <c r="T566" t="s">
        <v>974</v>
      </c>
      <c r="U566">
        <v>-0.239440773159256</v>
      </c>
      <c r="V566" t="s">
        <v>1004</v>
      </c>
      <c r="W566" t="s">
        <v>1008</v>
      </c>
      <c r="X566" t="s">
        <v>1015</v>
      </c>
      <c r="Y566">
        <v>13398.992412</v>
      </c>
      <c r="Z566" s="2">
        <v>45129</v>
      </c>
      <c r="AA566" t="s">
        <v>1030</v>
      </c>
    </row>
    <row r="567" spans="1:27">
      <c r="A567" s="1" t="s">
        <v>592</v>
      </c>
      <c r="B567">
        <f>HYPERLINK("https://www.suredividend.com/sure-analysis-AEE/","Ameren Corp.")</f>
        <v>0</v>
      </c>
      <c r="C567" t="s">
        <v>898</v>
      </c>
      <c r="D567">
        <v>81</v>
      </c>
      <c r="E567">
        <v>80.09999999999999</v>
      </c>
      <c r="F567">
        <v>91</v>
      </c>
      <c r="G567">
        <v>0.8802197802197802</v>
      </c>
      <c r="H567">
        <v>0.03146067415730337</v>
      </c>
      <c r="I567">
        <v>0.02584506901601102</v>
      </c>
      <c r="J567">
        <v>0.07000000000000001</v>
      </c>
      <c r="K567">
        <v>0.1224015702334684</v>
      </c>
      <c r="L567" t="s">
        <v>825</v>
      </c>
      <c r="M567" t="s">
        <v>825</v>
      </c>
      <c r="N567">
        <v>18.41379310344828</v>
      </c>
      <c r="O567">
        <v>4.35</v>
      </c>
      <c r="P567">
        <v>2.52</v>
      </c>
      <c r="Q567">
        <v>0.5793103448275863</v>
      </c>
      <c r="R567">
        <v>10</v>
      </c>
      <c r="S567">
        <v>0.05985358218414349</v>
      </c>
      <c r="T567" t="s">
        <v>976</v>
      </c>
      <c r="U567">
        <v>-0.154258192922363</v>
      </c>
      <c r="V567" t="s">
        <v>1004</v>
      </c>
      <c r="W567" t="s">
        <v>1008</v>
      </c>
      <c r="X567" t="s">
        <v>1018</v>
      </c>
      <c r="Y567">
        <v>20688.898386</v>
      </c>
      <c r="Z567" s="2">
        <v>45143</v>
      </c>
      <c r="AA567" t="s">
        <v>1023</v>
      </c>
    </row>
    <row r="568" spans="1:27">
      <c r="A568" s="1" t="s">
        <v>593</v>
      </c>
      <c r="B568">
        <f>HYPERLINK("https://www.suredividend.com/sure-analysis-JWN/","Nordstrom, Inc.")</f>
        <v>0</v>
      </c>
      <c r="C568" t="s">
        <v>898</v>
      </c>
      <c r="D568">
        <v>16</v>
      </c>
      <c r="E568">
        <v>14.5</v>
      </c>
      <c r="F568">
        <v>22</v>
      </c>
      <c r="G568">
        <v>0.6590909090909091</v>
      </c>
      <c r="H568">
        <v>0.05241379310344828</v>
      </c>
      <c r="I568">
        <v>0.0869534259253939</v>
      </c>
      <c r="J568">
        <v>0</v>
      </c>
      <c r="K568">
        <v>0.1221485193193637</v>
      </c>
      <c r="L568" t="s">
        <v>825</v>
      </c>
      <c r="M568" t="s">
        <v>580</v>
      </c>
      <c r="N568">
        <v>7.25</v>
      </c>
      <c r="O568">
        <v>2</v>
      </c>
      <c r="P568">
        <v>0.76</v>
      </c>
      <c r="Q568">
        <v>0.38</v>
      </c>
      <c r="R568">
        <v>1</v>
      </c>
      <c r="S568">
        <v>0</v>
      </c>
      <c r="T568" t="s">
        <v>966</v>
      </c>
      <c r="U568">
        <v>-0.245567909447031</v>
      </c>
      <c r="V568" t="s">
        <v>1004</v>
      </c>
      <c r="W568" t="s">
        <v>1008</v>
      </c>
      <c r="X568" t="s">
        <v>1013</v>
      </c>
      <c r="Y568">
        <v>2310.38455</v>
      </c>
      <c r="Z568" s="2">
        <v>45175</v>
      </c>
      <c r="AA568" t="s">
        <v>1030</v>
      </c>
    </row>
    <row r="569" spans="1:27">
      <c r="A569" s="1" t="s">
        <v>594</v>
      </c>
      <c r="B569">
        <f>HYPERLINK("https://www.suredividend.com/sure-analysis-CMA/","Comerica, Inc.")</f>
        <v>0</v>
      </c>
      <c r="C569" t="s">
        <v>899</v>
      </c>
      <c r="D569">
        <v>51</v>
      </c>
      <c r="E569">
        <v>43.49</v>
      </c>
      <c r="F569">
        <v>65</v>
      </c>
      <c r="G569">
        <v>0.6690769230769231</v>
      </c>
      <c r="H569">
        <v>0.06530236836054265</v>
      </c>
      <c r="I569">
        <v>0.08368931120577994</v>
      </c>
      <c r="J569">
        <v>-0.01</v>
      </c>
      <c r="K569">
        <v>0.1220199532494155</v>
      </c>
      <c r="L569" t="s">
        <v>825</v>
      </c>
      <c r="M569" t="s">
        <v>902</v>
      </c>
      <c r="N569">
        <v>5.677545691906006</v>
      </c>
      <c r="O569">
        <v>7.66</v>
      </c>
      <c r="P569">
        <v>2.84</v>
      </c>
      <c r="Q569">
        <v>0.3707571801566579</v>
      </c>
      <c r="R569">
        <v>1</v>
      </c>
      <c r="S569">
        <v>0.02985364768622523</v>
      </c>
      <c r="T569" t="s">
        <v>912</v>
      </c>
      <c r="U569">
        <v>-0.4382348689729471</v>
      </c>
      <c r="V569" t="s">
        <v>1004</v>
      </c>
      <c r="W569" t="s">
        <v>1008</v>
      </c>
      <c r="X569" t="s">
        <v>1015</v>
      </c>
      <c r="Y569">
        <v>5991.878501</v>
      </c>
      <c r="Z569" s="2">
        <v>45134</v>
      </c>
      <c r="AA569" t="s">
        <v>1026</v>
      </c>
    </row>
    <row r="570" spans="1:27">
      <c r="A570" s="1" t="s">
        <v>595</v>
      </c>
      <c r="B570">
        <f>HYPERLINK("https://www.suredividend.com/sure-analysis-CIO/","City Office REIT Inc")</f>
        <v>0</v>
      </c>
      <c r="C570" t="s">
        <v>898</v>
      </c>
      <c r="D570">
        <v>5.32</v>
      </c>
      <c r="E570">
        <v>4.86</v>
      </c>
      <c r="F570">
        <v>8.34</v>
      </c>
      <c r="G570">
        <v>0.5827338129496403</v>
      </c>
      <c r="H570">
        <v>0.08230452674897119</v>
      </c>
      <c r="I570">
        <v>0.1140532662772578</v>
      </c>
      <c r="J570">
        <v>-0.05</v>
      </c>
      <c r="K570">
        <v>0.1216947899311327</v>
      </c>
      <c r="L570" t="s">
        <v>825</v>
      </c>
      <c r="M570" t="s">
        <v>902</v>
      </c>
      <c r="N570">
        <v>3.496402877697842</v>
      </c>
      <c r="O570">
        <v>1.39</v>
      </c>
      <c r="P570">
        <v>0.4</v>
      </c>
      <c r="Q570">
        <v>0.2877697841726619</v>
      </c>
      <c r="R570">
        <v>0</v>
      </c>
      <c r="S570">
        <v>0.02834672210021361</v>
      </c>
      <c r="T570" t="s">
        <v>907</v>
      </c>
      <c r="U570">
        <v>-0.518628605611949</v>
      </c>
      <c r="V570" t="s">
        <v>1005</v>
      </c>
      <c r="W570" t="s">
        <v>1008</v>
      </c>
      <c r="X570" t="s">
        <v>1019</v>
      </c>
      <c r="Y570">
        <v>205.683023</v>
      </c>
      <c r="Z570" s="2">
        <v>45142</v>
      </c>
      <c r="AA570" t="s">
        <v>1032</v>
      </c>
    </row>
    <row r="571" spans="1:27">
      <c r="A571" s="1" t="s">
        <v>596</v>
      </c>
      <c r="B571">
        <f>HYPERLINK("https://www.suredividend.com/sure-analysis-JCI/","Johnson Controls International plc")</f>
        <v>0</v>
      </c>
      <c r="C571" t="s">
        <v>899</v>
      </c>
      <c r="D571">
        <v>64</v>
      </c>
      <c r="E571">
        <v>57.18</v>
      </c>
      <c r="F571">
        <v>60</v>
      </c>
      <c r="G571">
        <v>0.953</v>
      </c>
      <c r="H571">
        <v>0.02518363064008395</v>
      </c>
      <c r="I571">
        <v>0.009674574092550348</v>
      </c>
      <c r="J571">
        <v>0.09</v>
      </c>
      <c r="K571">
        <v>0.1203541482061499</v>
      </c>
      <c r="L571" t="s">
        <v>825</v>
      </c>
      <c r="M571" t="s">
        <v>825</v>
      </c>
      <c r="N571">
        <v>16.10704225352113</v>
      </c>
      <c r="O571">
        <v>3.55</v>
      </c>
      <c r="P571">
        <v>1.44</v>
      </c>
      <c r="Q571">
        <v>0.4056338028169014</v>
      </c>
      <c r="R571">
        <v>3</v>
      </c>
      <c r="S571">
        <v>0.06032490771095733</v>
      </c>
      <c r="T571" t="s">
        <v>951</v>
      </c>
      <c r="U571">
        <v>-0.002340575485734</v>
      </c>
      <c r="V571" t="s">
        <v>1004</v>
      </c>
      <c r="W571" t="s">
        <v>1009</v>
      </c>
      <c r="X571" t="s">
        <v>1012</v>
      </c>
      <c r="Y571">
        <v>39002.747549</v>
      </c>
      <c r="Z571" s="2">
        <v>45142</v>
      </c>
      <c r="AA571" t="s">
        <v>1026</v>
      </c>
    </row>
    <row r="572" spans="1:27">
      <c r="A572" s="1" t="s">
        <v>597</v>
      </c>
      <c r="B572">
        <f>HYPERLINK("https://www.suredividend.com/sure-analysis-DTEGY/","Deutsche Telekom AG")</f>
        <v>0</v>
      </c>
      <c r="C572" t="s">
        <v>898</v>
      </c>
      <c r="D572">
        <v>21</v>
      </c>
      <c r="E572">
        <v>22.03</v>
      </c>
      <c r="F572">
        <v>30</v>
      </c>
      <c r="G572">
        <v>0.7343333333333334</v>
      </c>
      <c r="H572">
        <v>0.03495233772128915</v>
      </c>
      <c r="I572">
        <v>0.0637053694585048</v>
      </c>
      <c r="J572">
        <v>0.03</v>
      </c>
      <c r="K572">
        <v>0.1202345640644822</v>
      </c>
      <c r="L572" t="s">
        <v>825</v>
      </c>
      <c r="M572" t="s">
        <v>825</v>
      </c>
      <c r="N572">
        <v>11.015</v>
      </c>
      <c r="O572">
        <v>2</v>
      </c>
      <c r="P572">
        <v>0.77</v>
      </c>
      <c r="Q572">
        <v>0.385</v>
      </c>
      <c r="R572">
        <v>1</v>
      </c>
      <c r="S572">
        <v>0.01996587099475744</v>
      </c>
      <c r="T572" t="s">
        <v>988</v>
      </c>
      <c r="U572">
        <v>0.156838603201215</v>
      </c>
      <c r="V572" t="s">
        <v>1004</v>
      </c>
      <c r="W572" t="s">
        <v>1009</v>
      </c>
      <c r="X572" t="s">
        <v>1017</v>
      </c>
      <c r="Y572">
        <v>110101.0058</v>
      </c>
      <c r="Z572" s="2">
        <v>45166</v>
      </c>
      <c r="AA572" t="s">
        <v>1022</v>
      </c>
    </row>
    <row r="573" spans="1:27">
      <c r="A573" s="1" t="s">
        <v>598</v>
      </c>
      <c r="B573">
        <f>HYPERLINK("https://www.suredividend.com/sure-analysis-GLW/","Corning, Inc.")</f>
        <v>0</v>
      </c>
      <c r="C573" t="s">
        <v>898</v>
      </c>
      <c r="D573">
        <v>34</v>
      </c>
      <c r="E573">
        <v>31.26</v>
      </c>
      <c r="F573">
        <v>33</v>
      </c>
      <c r="G573">
        <v>0.9472727272727273</v>
      </c>
      <c r="H573">
        <v>0.03582853486884197</v>
      </c>
      <c r="I573">
        <v>0.01089254374712589</v>
      </c>
      <c r="J573">
        <v>0.08</v>
      </c>
      <c r="K573">
        <v>0.1196944448665231</v>
      </c>
      <c r="L573" t="s">
        <v>825</v>
      </c>
      <c r="M573" t="s">
        <v>825</v>
      </c>
      <c r="N573">
        <v>16.62765957446809</v>
      </c>
      <c r="O573">
        <v>1.88</v>
      </c>
      <c r="P573">
        <v>1.12</v>
      </c>
      <c r="Q573">
        <v>0.5957446808510639</v>
      </c>
      <c r="R573">
        <v>12</v>
      </c>
      <c r="S573">
        <v>0.05154749679728043</v>
      </c>
      <c r="T573" t="s">
        <v>925</v>
      </c>
      <c r="U573">
        <v>-0.053968120021578</v>
      </c>
      <c r="V573" t="s">
        <v>1004</v>
      </c>
      <c r="W573" t="s">
        <v>1008</v>
      </c>
      <c r="X573" t="s">
        <v>1016</v>
      </c>
      <c r="Y573">
        <v>26775.1025</v>
      </c>
      <c r="Z573" s="2">
        <v>45134</v>
      </c>
      <c r="AA573" t="s">
        <v>1026</v>
      </c>
    </row>
    <row r="574" spans="1:27">
      <c r="A574" s="1" t="s">
        <v>599</v>
      </c>
      <c r="B574">
        <f>HYPERLINK("https://www.suredividend.com/sure-analysis-MAC/","Macerich Co.")</f>
        <v>0</v>
      </c>
      <c r="C574" t="s">
        <v>899</v>
      </c>
      <c r="D574">
        <v>11</v>
      </c>
      <c r="E574">
        <v>11.71</v>
      </c>
      <c r="F574">
        <v>14</v>
      </c>
      <c r="G574">
        <v>0.8364285714285715</v>
      </c>
      <c r="H574">
        <v>0.05807002561912895</v>
      </c>
      <c r="I574">
        <v>0.03636855682160234</v>
      </c>
      <c r="J574">
        <v>0.03</v>
      </c>
      <c r="K574">
        <v>0.1165471171374657</v>
      </c>
      <c r="L574" t="s">
        <v>825</v>
      </c>
      <c r="M574" t="s">
        <v>902</v>
      </c>
      <c r="N574">
        <v>6.505555555555556</v>
      </c>
      <c r="O574">
        <v>1.8</v>
      </c>
      <c r="P574">
        <v>0.68</v>
      </c>
      <c r="Q574">
        <v>0.3777777777777778</v>
      </c>
      <c r="R574">
        <v>1</v>
      </c>
      <c r="S574">
        <v>0.06232103966616465</v>
      </c>
      <c r="T574" t="s">
        <v>932</v>
      </c>
      <c r="U574">
        <v>0.266659558588335</v>
      </c>
      <c r="V574" t="s">
        <v>1005</v>
      </c>
      <c r="W574" t="s">
        <v>1008</v>
      </c>
      <c r="X574" t="s">
        <v>1019</v>
      </c>
      <c r="Y574">
        <v>2557.240389</v>
      </c>
      <c r="Z574" s="2">
        <v>45166</v>
      </c>
      <c r="AA574" t="s">
        <v>1022</v>
      </c>
    </row>
    <row r="575" spans="1:27">
      <c r="A575" s="1" t="s">
        <v>600</v>
      </c>
      <c r="B575">
        <f>HYPERLINK("https://www.suredividend.com/sure-analysis-MCY/","Mercury General Corp.")</f>
        <v>0</v>
      </c>
      <c r="C575" t="s">
        <v>898</v>
      </c>
      <c r="D575">
        <v>31</v>
      </c>
      <c r="E575">
        <v>29.17</v>
      </c>
      <c r="F575">
        <v>42</v>
      </c>
      <c r="G575">
        <v>0.6945238095238095</v>
      </c>
      <c r="H575">
        <v>0.04353788138498457</v>
      </c>
      <c r="I575">
        <v>0.07562917224676435</v>
      </c>
      <c r="J575">
        <v>0.01</v>
      </c>
      <c r="K575">
        <v>0.1159839663208244</v>
      </c>
      <c r="L575" t="s">
        <v>825</v>
      </c>
      <c r="M575" t="s">
        <v>825</v>
      </c>
      <c r="N575">
        <v>9.723333333333334</v>
      </c>
      <c r="O575">
        <v>3</v>
      </c>
      <c r="P575">
        <v>1.27</v>
      </c>
      <c r="Q575">
        <v>0.4233333333333333</v>
      </c>
      <c r="R575">
        <v>0</v>
      </c>
      <c r="S575">
        <v>0</v>
      </c>
      <c r="T575" t="s">
        <v>972</v>
      </c>
      <c r="U575">
        <v>-0.114966489316575</v>
      </c>
      <c r="V575" t="s">
        <v>1004</v>
      </c>
      <c r="W575" t="s">
        <v>1008</v>
      </c>
      <c r="X575" t="s">
        <v>1015</v>
      </c>
      <c r="Y575">
        <v>1617.39062</v>
      </c>
      <c r="Z575" s="2">
        <v>45143</v>
      </c>
      <c r="AA575" t="s">
        <v>1028</v>
      </c>
    </row>
    <row r="576" spans="1:27">
      <c r="A576" s="1" t="s">
        <v>601</v>
      </c>
      <c r="B576">
        <f>HYPERLINK("https://www.suredividend.com/sure-analysis-ETD/","Ethan Allen Interiors, Inc.")</f>
        <v>0</v>
      </c>
      <c r="C576" t="s">
        <v>898</v>
      </c>
      <c r="D576">
        <v>31</v>
      </c>
      <c r="E576">
        <v>30.3</v>
      </c>
      <c r="F576">
        <v>38</v>
      </c>
      <c r="G576">
        <v>0.7973684210526316</v>
      </c>
      <c r="H576">
        <v>0.04752475247524753</v>
      </c>
      <c r="I576">
        <v>0.0463288343717847</v>
      </c>
      <c r="J576">
        <v>0.03</v>
      </c>
      <c r="K576">
        <v>0.1138874946669037</v>
      </c>
      <c r="L576" t="s">
        <v>825</v>
      </c>
      <c r="M576" t="s">
        <v>580</v>
      </c>
      <c r="N576">
        <v>9.46875</v>
      </c>
      <c r="O576">
        <v>3.2</v>
      </c>
      <c r="P576">
        <v>1.44</v>
      </c>
      <c r="Q576">
        <v>0.45</v>
      </c>
      <c r="R576">
        <v>3</v>
      </c>
      <c r="S576">
        <v>0.03131030647754507</v>
      </c>
      <c r="T576" t="s">
        <v>917</v>
      </c>
      <c r="U576">
        <v>0.294433722442802</v>
      </c>
      <c r="V576" t="s">
        <v>1004</v>
      </c>
      <c r="W576" t="s">
        <v>1008</v>
      </c>
      <c r="X576" t="s">
        <v>1013</v>
      </c>
      <c r="Y576">
        <v>772.580384</v>
      </c>
      <c r="Z576" s="2">
        <v>45160</v>
      </c>
      <c r="AA576" t="s">
        <v>1022</v>
      </c>
    </row>
    <row r="577" spans="1:27">
      <c r="A577" s="1" t="s">
        <v>602</v>
      </c>
      <c r="B577">
        <f>HYPERLINK("https://www.suredividend.com/sure-analysis-MFC/","Manulife Financial Corp.")</f>
        <v>0</v>
      </c>
      <c r="C577" t="s">
        <v>898</v>
      </c>
      <c r="D577">
        <v>19.46</v>
      </c>
      <c r="E577">
        <v>18.85</v>
      </c>
      <c r="F577">
        <v>20</v>
      </c>
      <c r="G577">
        <v>0.9425000000000001</v>
      </c>
      <c r="H577">
        <v>0.05782493368700265</v>
      </c>
      <c r="I577">
        <v>0.01191428830941677</v>
      </c>
      <c r="J577">
        <v>0.05</v>
      </c>
      <c r="K577">
        <v>0.1132844606549239</v>
      </c>
      <c r="L577" t="s">
        <v>825</v>
      </c>
      <c r="M577" t="s">
        <v>902</v>
      </c>
      <c r="N577">
        <v>7.540000000000001</v>
      </c>
      <c r="O577">
        <v>2.5</v>
      </c>
      <c r="P577">
        <v>1.09</v>
      </c>
      <c r="Q577">
        <v>0.4360000000000001</v>
      </c>
      <c r="R577">
        <v>9</v>
      </c>
      <c r="S577">
        <v>0.07017052810122615</v>
      </c>
      <c r="T577" t="s">
        <v>913</v>
      </c>
      <c r="U577">
        <v>0.109251592824216</v>
      </c>
      <c r="V577" t="s">
        <v>1004</v>
      </c>
      <c r="W577" t="s">
        <v>1009</v>
      </c>
      <c r="X577" t="s">
        <v>1015</v>
      </c>
      <c r="Y577">
        <v>34544.850034</v>
      </c>
      <c r="Z577" s="2">
        <v>45152</v>
      </c>
      <c r="AA577" t="s">
        <v>1032</v>
      </c>
    </row>
    <row r="578" spans="1:27">
      <c r="A578" s="1" t="s">
        <v>603</v>
      </c>
      <c r="B578">
        <f>HYPERLINK("https://www.suredividend.com/sure-analysis-JNPR/","Juniper Networks Inc")</f>
        <v>0</v>
      </c>
      <c r="C578" t="s">
        <v>898</v>
      </c>
      <c r="D578">
        <v>28</v>
      </c>
      <c r="E578">
        <v>28.41</v>
      </c>
      <c r="F578">
        <v>34</v>
      </c>
      <c r="G578">
        <v>0.8355882352941176</v>
      </c>
      <c r="H578">
        <v>0.03097500879971841</v>
      </c>
      <c r="I578">
        <v>0.03657692447992855</v>
      </c>
      <c r="J578">
        <v>0.05</v>
      </c>
      <c r="K578">
        <v>0.1128509143525287</v>
      </c>
      <c r="L578" t="s">
        <v>825</v>
      </c>
      <c r="M578" t="s">
        <v>825</v>
      </c>
      <c r="N578">
        <v>12.4061135371179</v>
      </c>
      <c r="O578">
        <v>2.29</v>
      </c>
      <c r="P578">
        <v>0.88</v>
      </c>
      <c r="Q578">
        <v>0.3842794759825328</v>
      </c>
      <c r="R578">
        <v>2</v>
      </c>
      <c r="S578">
        <v>0.04941452284458392</v>
      </c>
      <c r="T578" t="s">
        <v>916</v>
      </c>
      <c r="U578">
        <v>0.005668696199873</v>
      </c>
      <c r="V578" t="s">
        <v>1004</v>
      </c>
      <c r="W578" t="s">
        <v>1008</v>
      </c>
      <c r="X578" t="s">
        <v>1016</v>
      </c>
      <c r="Y578">
        <v>9235.889848999999</v>
      </c>
      <c r="Z578" s="2">
        <v>45138</v>
      </c>
      <c r="AA578" t="s">
        <v>1026</v>
      </c>
    </row>
    <row r="579" spans="1:27">
      <c r="A579" s="1" t="s">
        <v>604</v>
      </c>
      <c r="B579">
        <f>HYPERLINK("https://www.suredividend.com/sure-analysis-MBGAF/","Mercedes-Benz Group AG")</f>
        <v>0</v>
      </c>
      <c r="C579" t="s">
        <v>898</v>
      </c>
      <c r="D579">
        <v>73</v>
      </c>
      <c r="E579">
        <v>71.655</v>
      </c>
      <c r="F579">
        <v>109</v>
      </c>
      <c r="G579">
        <v>0.6573853211009174</v>
      </c>
      <c r="H579">
        <v>0.07982694857302351</v>
      </c>
      <c r="I579">
        <v>0.08751686221311972</v>
      </c>
      <c r="J579">
        <v>-0.03</v>
      </c>
      <c r="K579">
        <v>0.1126699750458386</v>
      </c>
      <c r="L579" t="s">
        <v>825</v>
      </c>
      <c r="M579" t="s">
        <v>902</v>
      </c>
      <c r="N579">
        <v>4.941724137931034</v>
      </c>
      <c r="O579">
        <v>14.5</v>
      </c>
      <c r="P579">
        <v>5.72</v>
      </c>
      <c r="Q579">
        <v>0.3944827586206897</v>
      </c>
      <c r="R579">
        <v>3</v>
      </c>
      <c r="S579">
        <v>0</v>
      </c>
      <c r="T579" t="s">
        <v>989</v>
      </c>
      <c r="U579">
        <v>0.1974649766511</v>
      </c>
      <c r="V579" t="s">
        <v>1004</v>
      </c>
      <c r="W579" t="s">
        <v>1009</v>
      </c>
      <c r="X579" t="s">
        <v>1013</v>
      </c>
      <c r="Y579">
        <v>76814.328695</v>
      </c>
      <c r="Z579" s="2">
        <v>45168</v>
      </c>
      <c r="AA579" t="s">
        <v>1028</v>
      </c>
    </row>
    <row r="580" spans="1:27">
      <c r="A580" s="1" t="s">
        <v>605</v>
      </c>
      <c r="B580">
        <f>HYPERLINK("https://www.suredividend.com/sure-analysis-KRC/","Kilroy Realty Corp.")</f>
        <v>0</v>
      </c>
      <c r="C580" t="s">
        <v>898</v>
      </c>
      <c r="D580">
        <v>37</v>
      </c>
      <c r="E580">
        <v>35.24</v>
      </c>
      <c r="F580">
        <v>44</v>
      </c>
      <c r="G580">
        <v>0.8009090909090909</v>
      </c>
      <c r="H580">
        <v>0.06129398410896708</v>
      </c>
      <c r="I580">
        <v>0.04540206913443079</v>
      </c>
      <c r="J580">
        <v>0.02</v>
      </c>
      <c r="K580">
        <v>0.1124178951454458</v>
      </c>
      <c r="L580" t="s">
        <v>825</v>
      </c>
      <c r="M580" t="s">
        <v>902</v>
      </c>
      <c r="N580">
        <v>7.936936936936936</v>
      </c>
      <c r="O580">
        <v>4.44</v>
      </c>
      <c r="P580">
        <v>2.16</v>
      </c>
      <c r="Q580">
        <v>0.4864864864864865</v>
      </c>
      <c r="R580">
        <v>7</v>
      </c>
      <c r="S580">
        <v>0.01958782572000284</v>
      </c>
      <c r="T580" t="s">
        <v>911</v>
      </c>
      <c r="U580">
        <v>-0.249150294288319</v>
      </c>
      <c r="V580" t="s">
        <v>1005</v>
      </c>
      <c r="W580" t="s">
        <v>1008</v>
      </c>
      <c r="X580" t="s">
        <v>1019</v>
      </c>
      <c r="Y580">
        <v>4245.355607</v>
      </c>
      <c r="Z580" s="2">
        <v>45145</v>
      </c>
      <c r="AA580" t="s">
        <v>1027</v>
      </c>
    </row>
    <row r="581" spans="1:27">
      <c r="A581" s="1" t="s">
        <v>606</v>
      </c>
      <c r="B581">
        <f>HYPERLINK("https://www.suredividend.com/sure-analysis-NGG/","National Grid Plc")</f>
        <v>0</v>
      </c>
      <c r="C581" t="s">
        <v>898</v>
      </c>
      <c r="D581">
        <v>63</v>
      </c>
      <c r="E581">
        <v>63.61</v>
      </c>
      <c r="F581">
        <v>72</v>
      </c>
      <c r="G581">
        <v>0.8834722222222222</v>
      </c>
      <c r="H581">
        <v>0.0564376670334853</v>
      </c>
      <c r="I581">
        <v>0.02508863873394107</v>
      </c>
      <c r="J581">
        <v>0.04</v>
      </c>
      <c r="K581">
        <v>0.1113247723282427</v>
      </c>
      <c r="L581" t="s">
        <v>825</v>
      </c>
      <c r="M581" t="s">
        <v>902</v>
      </c>
      <c r="N581">
        <v>13.19709543568465</v>
      </c>
      <c r="O581">
        <v>4.82</v>
      </c>
      <c r="P581">
        <v>3.59</v>
      </c>
      <c r="Q581">
        <v>0.7448132780082987</v>
      </c>
      <c r="R581">
        <v>0</v>
      </c>
      <c r="S581">
        <v>0.0401055114467892</v>
      </c>
      <c r="T581" t="s">
        <v>990</v>
      </c>
      <c r="U581">
        <v>0.048911109087748</v>
      </c>
      <c r="V581" t="s">
        <v>1004</v>
      </c>
      <c r="W581" t="s">
        <v>1009</v>
      </c>
      <c r="X581" t="s">
        <v>1018</v>
      </c>
      <c r="Y581">
        <v>46734.687965</v>
      </c>
      <c r="Z581" s="2">
        <v>45180</v>
      </c>
      <c r="AA581" t="s">
        <v>1029</v>
      </c>
    </row>
    <row r="582" spans="1:27">
      <c r="A582" s="1" t="s">
        <v>607</v>
      </c>
      <c r="B582">
        <f>HYPERLINK("https://www.suredividend.com/sure-analysis-NSP/","Insperity Inc")</f>
        <v>0</v>
      </c>
      <c r="C582" t="s">
        <v>898</v>
      </c>
      <c r="D582">
        <v>96</v>
      </c>
      <c r="E582">
        <v>96.3</v>
      </c>
      <c r="F582">
        <v>102</v>
      </c>
      <c r="G582">
        <v>0.9441176470588235</v>
      </c>
      <c r="H582">
        <v>0.02367601246105919</v>
      </c>
      <c r="I582">
        <v>0.01156728850301803</v>
      </c>
      <c r="J582">
        <v>0.08</v>
      </c>
      <c r="K582">
        <v>0.111131752925107</v>
      </c>
      <c r="L582" t="s">
        <v>825</v>
      </c>
      <c r="M582" t="s">
        <v>825</v>
      </c>
      <c r="N582">
        <v>19.89669421487603</v>
      </c>
      <c r="O582">
        <v>4.84</v>
      </c>
      <c r="P582">
        <v>2.28</v>
      </c>
      <c r="Q582">
        <v>0.4710743801652892</v>
      </c>
      <c r="R582">
        <v>16</v>
      </c>
      <c r="S582">
        <v>0.05000563166277994</v>
      </c>
      <c r="T582" t="s">
        <v>924</v>
      </c>
      <c r="U582">
        <v>-0.121990638804018</v>
      </c>
      <c r="V582" t="s">
        <v>1004</v>
      </c>
      <c r="W582" t="s">
        <v>1008</v>
      </c>
      <c r="X582" t="s">
        <v>1015</v>
      </c>
      <c r="Y582">
        <v>3688.335752</v>
      </c>
      <c r="Z582" s="2">
        <v>45141</v>
      </c>
      <c r="AA582" t="s">
        <v>1026</v>
      </c>
    </row>
    <row r="583" spans="1:27">
      <c r="A583" s="1" t="s">
        <v>608</v>
      </c>
      <c r="B583">
        <f>HYPERLINK("https://www.suredividend.com/sure-analysis-DKS/","Dicks Sporting Goods, Inc.")</f>
        <v>0</v>
      </c>
      <c r="C583" t="s">
        <v>899</v>
      </c>
      <c r="D583">
        <v>116</v>
      </c>
      <c r="E583">
        <v>109.88</v>
      </c>
      <c r="F583">
        <v>119</v>
      </c>
      <c r="G583">
        <v>0.923361344537815</v>
      </c>
      <c r="H583">
        <v>0.03640334910811795</v>
      </c>
      <c r="I583">
        <v>0.01607475720631069</v>
      </c>
      <c r="J583">
        <v>0.06</v>
      </c>
      <c r="K583">
        <v>0.1102108232696413</v>
      </c>
      <c r="L583" t="s">
        <v>825</v>
      </c>
      <c r="M583" t="s">
        <v>580</v>
      </c>
      <c r="N583">
        <v>9.23361344537815</v>
      </c>
      <c r="O583">
        <v>11.9</v>
      </c>
      <c r="P583">
        <v>4</v>
      </c>
      <c r="Q583">
        <v>0.3361344537815126</v>
      </c>
      <c r="R583">
        <v>9</v>
      </c>
      <c r="S583">
        <v>0.08984070585040471</v>
      </c>
      <c r="T583" t="s">
        <v>904</v>
      </c>
      <c r="U583">
        <v>-0.043271592552359</v>
      </c>
      <c r="V583" t="s">
        <v>1004</v>
      </c>
      <c r="W583" t="s">
        <v>1008</v>
      </c>
      <c r="X583" t="s">
        <v>1013</v>
      </c>
      <c r="Y583">
        <v>6797.875882</v>
      </c>
      <c r="Z583" s="2">
        <v>45180</v>
      </c>
      <c r="AA583" t="s">
        <v>1026</v>
      </c>
    </row>
    <row r="584" spans="1:27">
      <c r="A584" s="1" t="s">
        <v>609</v>
      </c>
      <c r="B584">
        <f>HYPERLINK("https://www.suredividend.com/sure-analysis-BMWYY/","Bayerische Motoren Werke AG")</f>
        <v>0</v>
      </c>
      <c r="C584" t="s">
        <v>898</v>
      </c>
      <c r="D584">
        <v>35</v>
      </c>
      <c r="E584">
        <v>34.42</v>
      </c>
      <c r="F584">
        <v>61</v>
      </c>
      <c r="G584">
        <v>0.5642622950819672</v>
      </c>
      <c r="H584">
        <v>0.08948285880302149</v>
      </c>
      <c r="I584">
        <v>0.1212534537772467</v>
      </c>
      <c r="J584">
        <v>-0.05</v>
      </c>
      <c r="K584">
        <v>0.1095572466889783</v>
      </c>
      <c r="L584" t="s">
        <v>825</v>
      </c>
      <c r="M584" t="s">
        <v>902</v>
      </c>
      <c r="N584">
        <v>4.651351351351352</v>
      </c>
      <c r="O584">
        <v>7.4</v>
      </c>
      <c r="P584">
        <v>3.08</v>
      </c>
      <c r="Q584">
        <v>0.4162162162162162</v>
      </c>
      <c r="R584">
        <v>2</v>
      </c>
      <c r="S584">
        <v>-0.1195040198145056</v>
      </c>
      <c r="T584" t="s">
        <v>971</v>
      </c>
      <c r="U584">
        <v>0.3527571372702381</v>
      </c>
      <c r="V584" t="s">
        <v>1004</v>
      </c>
      <c r="W584" t="s">
        <v>1009</v>
      </c>
      <c r="X584" t="s">
        <v>1013</v>
      </c>
      <c r="Y584">
        <v>62469.041489</v>
      </c>
      <c r="Z584" s="2">
        <v>45168</v>
      </c>
      <c r="AA584" t="s">
        <v>1022</v>
      </c>
    </row>
    <row r="585" spans="1:27">
      <c r="A585" s="1" t="s">
        <v>610</v>
      </c>
      <c r="B585">
        <f>HYPERLINK("https://www.suredividend.com/sure-analysis-NHI/","National Health Investors, Inc.")</f>
        <v>0</v>
      </c>
      <c r="C585" t="s">
        <v>898</v>
      </c>
      <c r="D585">
        <v>51</v>
      </c>
      <c r="E585">
        <v>50.09</v>
      </c>
      <c r="F585">
        <v>54</v>
      </c>
      <c r="G585">
        <v>0.9275925925925926</v>
      </c>
      <c r="H585">
        <v>0.07187063286085046</v>
      </c>
      <c r="I585">
        <v>0.01514608864761624</v>
      </c>
      <c r="J585">
        <v>0.04</v>
      </c>
      <c r="K585">
        <v>0.1095556183445456</v>
      </c>
      <c r="L585" t="s">
        <v>825</v>
      </c>
      <c r="M585" t="s">
        <v>902</v>
      </c>
      <c r="N585">
        <v>11.54147465437788</v>
      </c>
      <c r="O585">
        <v>4.34</v>
      </c>
      <c r="P585">
        <v>3.6</v>
      </c>
      <c r="Q585">
        <v>0.8294930875576038</v>
      </c>
      <c r="R585">
        <v>0</v>
      </c>
      <c r="S585">
        <v>0.009805797673485328</v>
      </c>
      <c r="T585" t="s">
        <v>911</v>
      </c>
      <c r="U585">
        <v>-0.187217127537243</v>
      </c>
      <c r="V585" t="s">
        <v>1005</v>
      </c>
      <c r="W585" t="s">
        <v>1008</v>
      </c>
      <c r="X585" t="s">
        <v>1019</v>
      </c>
      <c r="Y585">
        <v>2203.049431</v>
      </c>
      <c r="Z585" s="2">
        <v>45149</v>
      </c>
      <c r="AA585" t="s">
        <v>1026</v>
      </c>
    </row>
    <row r="586" spans="1:27">
      <c r="A586" s="1" t="s">
        <v>611</v>
      </c>
      <c r="B586">
        <f>HYPERLINK("https://www.suredividend.com/sure-analysis-FITB/","Fifth Third Bancorp")</f>
        <v>0</v>
      </c>
      <c r="C586" t="s">
        <v>899</v>
      </c>
      <c r="D586">
        <v>29</v>
      </c>
      <c r="E586">
        <v>27.25</v>
      </c>
      <c r="F586">
        <v>33</v>
      </c>
      <c r="G586">
        <v>0.8257575757575758</v>
      </c>
      <c r="H586">
        <v>0.05137614678899082</v>
      </c>
      <c r="I586">
        <v>0.03903334823174376</v>
      </c>
      <c r="J586">
        <v>0.03</v>
      </c>
      <c r="K586">
        <v>0.1086604193526106</v>
      </c>
      <c r="L586" t="s">
        <v>825</v>
      </c>
      <c r="M586" t="s">
        <v>902</v>
      </c>
      <c r="N586">
        <v>8.384615384615385</v>
      </c>
      <c r="O586">
        <v>3.25</v>
      </c>
      <c r="P586">
        <v>1.4</v>
      </c>
      <c r="Q586">
        <v>0.4307692307692307</v>
      </c>
      <c r="R586">
        <v>13</v>
      </c>
      <c r="S586">
        <v>0.01791773022210408</v>
      </c>
      <c r="T586" t="s">
        <v>911</v>
      </c>
      <c r="U586">
        <v>-0.203040457229064</v>
      </c>
      <c r="V586" t="s">
        <v>1004</v>
      </c>
      <c r="W586" t="s">
        <v>1008</v>
      </c>
      <c r="X586" t="s">
        <v>1015</v>
      </c>
      <c r="Y586">
        <v>18704.014155</v>
      </c>
      <c r="Z586" s="2">
        <v>45128</v>
      </c>
      <c r="AA586" t="s">
        <v>1021</v>
      </c>
    </row>
    <row r="587" spans="1:27">
      <c r="A587" s="1" t="s">
        <v>612</v>
      </c>
      <c r="B587">
        <f>HYPERLINK("https://www.suredividend.com/sure-analysis-ING/","ING Groep N.V.")</f>
        <v>0</v>
      </c>
      <c r="C587" t="s">
        <v>899</v>
      </c>
      <c r="D587">
        <v>14.67</v>
      </c>
      <c r="E587">
        <v>13.75</v>
      </c>
      <c r="F587">
        <v>17</v>
      </c>
      <c r="G587">
        <v>0.8088235294117647</v>
      </c>
      <c r="H587">
        <v>0.07272727272727272</v>
      </c>
      <c r="I587">
        <v>0.0433481363609951</v>
      </c>
      <c r="J587">
        <v>0.01</v>
      </c>
      <c r="K587">
        <v>0.1085267213684731</v>
      </c>
      <c r="L587" t="s">
        <v>825</v>
      </c>
      <c r="M587" t="s">
        <v>902</v>
      </c>
      <c r="N587">
        <v>6.875</v>
      </c>
      <c r="O587">
        <v>2</v>
      </c>
      <c r="P587">
        <v>1</v>
      </c>
      <c r="Q587">
        <v>0.5</v>
      </c>
      <c r="R587">
        <v>0</v>
      </c>
      <c r="S587">
        <v>0.009805797673485328</v>
      </c>
      <c r="T587" t="s">
        <v>947</v>
      </c>
      <c r="U587">
        <v>0.5266417193760961</v>
      </c>
      <c r="V587" t="s">
        <v>1004</v>
      </c>
      <c r="W587" t="s">
        <v>1009</v>
      </c>
      <c r="X587" t="s">
        <v>1015</v>
      </c>
      <c r="Y587">
        <v>50057.850545</v>
      </c>
      <c r="Z587" s="2">
        <v>45145</v>
      </c>
      <c r="AA587" t="s">
        <v>1032</v>
      </c>
    </row>
    <row r="588" spans="1:27">
      <c r="A588" s="1" t="s">
        <v>613</v>
      </c>
      <c r="B588">
        <f>HYPERLINK("https://www.suredividend.com/sure-analysis-CC/","Chemours Company")</f>
        <v>0</v>
      </c>
      <c r="C588" t="s">
        <v>899</v>
      </c>
      <c r="D588">
        <v>37</v>
      </c>
      <c r="E588">
        <v>31.55</v>
      </c>
      <c r="F588">
        <v>41</v>
      </c>
      <c r="G588">
        <v>0.7695121951219512</v>
      </c>
      <c r="H588">
        <v>0.03169572107765452</v>
      </c>
      <c r="I588">
        <v>0.05379685625622788</v>
      </c>
      <c r="J588">
        <v>0.03</v>
      </c>
      <c r="K588">
        <v>0.1073425787066604</v>
      </c>
      <c r="L588" t="s">
        <v>825</v>
      </c>
      <c r="M588" t="s">
        <v>825</v>
      </c>
      <c r="N588">
        <v>7.790123456790124</v>
      </c>
      <c r="O588">
        <v>4.05</v>
      </c>
      <c r="P588">
        <v>1</v>
      </c>
      <c r="Q588">
        <v>0.2469135802469136</v>
      </c>
      <c r="R588">
        <v>0</v>
      </c>
      <c r="S588">
        <v>0</v>
      </c>
      <c r="T588" t="s">
        <v>917</v>
      </c>
      <c r="U588">
        <v>-0.102213057489914</v>
      </c>
      <c r="V588" t="s">
        <v>1004</v>
      </c>
      <c r="W588" t="s">
        <v>1008</v>
      </c>
      <c r="X588" t="s">
        <v>1010</v>
      </c>
      <c r="Y588">
        <v>4719.215743</v>
      </c>
      <c r="Z588" s="2">
        <v>45137</v>
      </c>
      <c r="AA588" t="s">
        <v>1021</v>
      </c>
    </row>
    <row r="589" spans="1:27">
      <c r="A589" s="1" t="s">
        <v>614</v>
      </c>
      <c r="B589">
        <f>HYPERLINK("https://www.suredividend.com/sure-analysis-FFIN/","First Financial Bankshares, Inc.")</f>
        <v>0</v>
      </c>
      <c r="C589" t="s">
        <v>899</v>
      </c>
      <c r="D589">
        <v>29.3</v>
      </c>
      <c r="E589">
        <v>27.27</v>
      </c>
      <c r="F589">
        <v>28.8</v>
      </c>
      <c r="G589">
        <v>0.9468749999999999</v>
      </c>
      <c r="H589">
        <v>0.0264026402640264</v>
      </c>
      <c r="I589">
        <v>0.01097745294817321</v>
      </c>
      <c r="J589">
        <v>0.07000000000000001</v>
      </c>
      <c r="K589">
        <v>0.1064914443274798</v>
      </c>
      <c r="L589" t="s">
        <v>825</v>
      </c>
      <c r="M589" t="s">
        <v>825</v>
      </c>
      <c r="N589">
        <v>18.9375</v>
      </c>
      <c r="O589">
        <v>1.44</v>
      </c>
      <c r="P589">
        <v>0.72</v>
      </c>
      <c r="Q589">
        <v>0.5</v>
      </c>
      <c r="R589">
        <v>13</v>
      </c>
      <c r="S589">
        <v>0.100082101138866</v>
      </c>
      <c r="T589" t="s">
        <v>972</v>
      </c>
      <c r="U589">
        <v>-0.351703330278032</v>
      </c>
      <c r="V589" t="s">
        <v>1004</v>
      </c>
      <c r="W589" t="s">
        <v>1008</v>
      </c>
      <c r="X589" t="s">
        <v>1015</v>
      </c>
      <c r="Y589">
        <v>3876.850883</v>
      </c>
      <c r="Z589" s="2">
        <v>45160</v>
      </c>
      <c r="AA589" t="s">
        <v>1024</v>
      </c>
    </row>
    <row r="590" spans="1:27">
      <c r="A590" s="1" t="s">
        <v>615</v>
      </c>
      <c r="B590">
        <f>HYPERLINK("https://www.suredividend.com/sure-analysis-VTRS/","Viatris Inc")</f>
        <v>0</v>
      </c>
      <c r="C590" t="s">
        <v>899</v>
      </c>
      <c r="D590">
        <v>11</v>
      </c>
      <c r="E590">
        <v>9.75</v>
      </c>
      <c r="F590">
        <v>11</v>
      </c>
      <c r="G590">
        <v>0.8863636363636364</v>
      </c>
      <c r="H590">
        <v>0.04923076923076923</v>
      </c>
      <c r="I590">
        <v>0.02441897433224605</v>
      </c>
      <c r="J590">
        <v>0.04</v>
      </c>
      <c r="K590">
        <v>0.1051789556387031</v>
      </c>
      <c r="L590" t="s">
        <v>825</v>
      </c>
      <c r="M590" t="s">
        <v>580</v>
      </c>
      <c r="N590">
        <v>6.5</v>
      </c>
      <c r="O590">
        <v>1.5</v>
      </c>
      <c r="P590">
        <v>0.48</v>
      </c>
      <c r="Q590">
        <v>0.32</v>
      </c>
      <c r="R590">
        <v>1</v>
      </c>
      <c r="S590">
        <v>0.03857377308425858</v>
      </c>
      <c r="T590" t="s">
        <v>959</v>
      </c>
      <c r="U590">
        <v>0.035036021770362</v>
      </c>
      <c r="V590" t="s">
        <v>1004</v>
      </c>
      <c r="W590" t="s">
        <v>1008</v>
      </c>
      <c r="X590" t="s">
        <v>1014</v>
      </c>
      <c r="Y590">
        <v>11839.385726</v>
      </c>
      <c r="Z590" s="2">
        <v>45146</v>
      </c>
      <c r="AA590" t="s">
        <v>1031</v>
      </c>
    </row>
    <row r="591" spans="1:27">
      <c r="A591" s="1" t="s">
        <v>616</v>
      </c>
      <c r="B591">
        <f>HYPERLINK("https://www.suredividend.com/sure-analysis-EMRAF/","Emera Inc.")</f>
        <v>0</v>
      </c>
      <c r="C591" t="s">
        <v>899</v>
      </c>
      <c r="D591">
        <v>38</v>
      </c>
      <c r="E591">
        <v>37.57</v>
      </c>
      <c r="F591">
        <v>39</v>
      </c>
      <c r="G591">
        <v>0.9633333333333334</v>
      </c>
      <c r="H591">
        <v>0.05456481235027948</v>
      </c>
      <c r="I591">
        <v>0.007499136038948695</v>
      </c>
      <c r="J591">
        <v>0.05</v>
      </c>
      <c r="K591">
        <v>0.1035206461310512</v>
      </c>
      <c r="L591" t="s">
        <v>825</v>
      </c>
      <c r="M591" t="s">
        <v>580</v>
      </c>
      <c r="N591">
        <v>15.98723404255319</v>
      </c>
      <c r="O591">
        <v>2.35</v>
      </c>
      <c r="P591">
        <v>2.05</v>
      </c>
      <c r="Q591">
        <v>0.8723404255319148</v>
      </c>
      <c r="R591">
        <v>0</v>
      </c>
      <c r="S591">
        <v>0.04461742008699598</v>
      </c>
      <c r="T591" t="s">
        <v>957</v>
      </c>
      <c r="U591">
        <v>-0.176066873537807</v>
      </c>
      <c r="V591" t="s">
        <v>1004</v>
      </c>
      <c r="W591" t="s">
        <v>1009</v>
      </c>
      <c r="X591" t="s">
        <v>1018</v>
      </c>
      <c r="Y591">
        <v>10132.910063</v>
      </c>
      <c r="Z591" s="2">
        <v>45155</v>
      </c>
      <c r="AA591" t="s">
        <v>1026</v>
      </c>
    </row>
    <row r="592" spans="1:27">
      <c r="A592" s="1" t="s">
        <v>617</v>
      </c>
      <c r="B592">
        <f>HYPERLINK("https://www.suredividend.com/sure-analysis-PFE/","Pfizer Inc.")</f>
        <v>0</v>
      </c>
      <c r="C592" t="s">
        <v>899</v>
      </c>
      <c r="D592">
        <v>36</v>
      </c>
      <c r="E592">
        <v>34.08</v>
      </c>
      <c r="F592">
        <v>37</v>
      </c>
      <c r="G592">
        <v>0.921081081081081</v>
      </c>
      <c r="H592">
        <v>0.04812206572769953</v>
      </c>
      <c r="I592">
        <v>0.01657734644572129</v>
      </c>
      <c r="J592">
        <v>0.05</v>
      </c>
      <c r="K592">
        <v>0.1030878928380747</v>
      </c>
      <c r="L592" t="s">
        <v>825</v>
      </c>
      <c r="M592" t="s">
        <v>580</v>
      </c>
      <c r="N592">
        <v>10.17313432835821</v>
      </c>
      <c r="O592">
        <v>3.35</v>
      </c>
      <c r="P592">
        <v>1.64</v>
      </c>
      <c r="Q592">
        <v>0.4895522388059701</v>
      </c>
      <c r="R592">
        <v>14</v>
      </c>
      <c r="S592">
        <v>0.009571122817161548</v>
      </c>
      <c r="T592" t="s">
        <v>937</v>
      </c>
      <c r="U592">
        <v>-0.256146862529841</v>
      </c>
      <c r="V592" t="s">
        <v>1004</v>
      </c>
      <c r="W592" t="s">
        <v>1008</v>
      </c>
      <c r="X592" t="s">
        <v>1014</v>
      </c>
      <c r="Y592">
        <v>192809.519316</v>
      </c>
      <c r="Z592" s="2">
        <v>45152</v>
      </c>
      <c r="AA592" t="s">
        <v>1029</v>
      </c>
    </row>
    <row r="593" spans="1:27">
      <c r="A593" s="1" t="s">
        <v>618</v>
      </c>
      <c r="B593">
        <f>HYPERLINK("https://www.suredividend.com/sure-analysis-OFC/","Corporate Office Properties Trust")</f>
        <v>0</v>
      </c>
      <c r="C593" t="s">
        <v>899</v>
      </c>
      <c r="D593">
        <v>26</v>
      </c>
      <c r="E593">
        <v>24.55</v>
      </c>
      <c r="F593">
        <v>30</v>
      </c>
      <c r="G593">
        <v>0.8183333333333334</v>
      </c>
      <c r="H593">
        <v>0.04643584521384928</v>
      </c>
      <c r="I593">
        <v>0.04091184753401556</v>
      </c>
      <c r="J593">
        <v>0.025</v>
      </c>
      <c r="K593">
        <v>0.1015701694621054</v>
      </c>
      <c r="L593" t="s">
        <v>825</v>
      </c>
      <c r="M593" t="s">
        <v>580</v>
      </c>
      <c r="N593">
        <v>10.22916666666667</v>
      </c>
      <c r="O593">
        <v>2.4</v>
      </c>
      <c r="P593">
        <v>1.14</v>
      </c>
      <c r="Q593">
        <v>0.475</v>
      </c>
      <c r="R593">
        <v>1</v>
      </c>
      <c r="S593">
        <v>0.01031145931793609</v>
      </c>
      <c r="T593" t="s">
        <v>911</v>
      </c>
      <c r="U593">
        <v>-0.029261711662815</v>
      </c>
      <c r="V593" t="s">
        <v>1005</v>
      </c>
      <c r="W593" t="s">
        <v>1008</v>
      </c>
      <c r="X593" t="s">
        <v>1019</v>
      </c>
      <c r="Y593">
        <v>2817.87004</v>
      </c>
      <c r="Z593" s="2">
        <v>45145</v>
      </c>
      <c r="AA593" t="s">
        <v>1027</v>
      </c>
    </row>
    <row r="594" spans="1:27">
      <c r="A594" s="1" t="s">
        <v>619</v>
      </c>
      <c r="B594">
        <f>HYPERLINK("https://www.suredividend.com/sure-analysis-BAYRY/","Bayer AG")</f>
        <v>0</v>
      </c>
      <c r="C594" t="s">
        <v>899</v>
      </c>
      <c r="D594">
        <v>14</v>
      </c>
      <c r="E594">
        <v>13.04</v>
      </c>
      <c r="F594">
        <v>15</v>
      </c>
      <c r="G594">
        <v>0.8693333333333333</v>
      </c>
      <c r="H594">
        <v>0.05061349693251534</v>
      </c>
      <c r="I594">
        <v>0.02840157603566729</v>
      </c>
      <c r="J594">
        <v>0.03</v>
      </c>
      <c r="K594">
        <v>0.1010173442597349</v>
      </c>
      <c r="L594" t="s">
        <v>825</v>
      </c>
      <c r="M594" t="s">
        <v>580</v>
      </c>
      <c r="N594">
        <v>7.670588235294117</v>
      </c>
      <c r="O594">
        <v>1.7</v>
      </c>
      <c r="P594">
        <v>0.66</v>
      </c>
      <c r="Q594">
        <v>0.3882352941176471</v>
      </c>
      <c r="R594">
        <v>1</v>
      </c>
      <c r="S594">
        <v>0.03922410156720635</v>
      </c>
      <c r="T594" t="s">
        <v>991</v>
      </c>
      <c r="U594">
        <v>-0.004373177842565</v>
      </c>
      <c r="V594" t="s">
        <v>1004</v>
      </c>
      <c r="W594" t="s">
        <v>1009</v>
      </c>
      <c r="X594" t="s">
        <v>1014</v>
      </c>
      <c r="Y594">
        <v>53679.65184</v>
      </c>
      <c r="Z594" s="2">
        <v>45170</v>
      </c>
      <c r="AA594" t="s">
        <v>1028</v>
      </c>
    </row>
    <row r="595" spans="1:27">
      <c r="A595" s="1" t="s">
        <v>620</v>
      </c>
      <c r="B595">
        <f>HYPERLINK("https://www.suredividend.com/sure-analysis-CPT/","Camden Property Trust")</f>
        <v>0</v>
      </c>
      <c r="C595" t="s">
        <v>899</v>
      </c>
      <c r="D595">
        <v>109</v>
      </c>
      <c r="E595">
        <v>102.07</v>
      </c>
      <c r="F595">
        <v>110</v>
      </c>
      <c r="G595">
        <v>0.9279090909090908</v>
      </c>
      <c r="H595">
        <v>0.03918879200548643</v>
      </c>
      <c r="I595">
        <v>0.01507682844191871</v>
      </c>
      <c r="J595">
        <v>0.05</v>
      </c>
      <c r="K595">
        <v>0.09896431868171596</v>
      </c>
      <c r="L595" t="s">
        <v>825</v>
      </c>
      <c r="M595" t="s">
        <v>825</v>
      </c>
      <c r="N595">
        <v>14.83575581395349</v>
      </c>
      <c r="O595">
        <v>6.88</v>
      </c>
      <c r="P595">
        <v>4</v>
      </c>
      <c r="Q595">
        <v>0.5813953488372093</v>
      </c>
      <c r="R595">
        <v>12</v>
      </c>
      <c r="S595">
        <v>0.05020040579475671</v>
      </c>
      <c r="T595" t="s">
        <v>911</v>
      </c>
      <c r="U595">
        <v>-0.206673572936419</v>
      </c>
      <c r="V595" t="s">
        <v>1005</v>
      </c>
      <c r="W595" t="s">
        <v>1008</v>
      </c>
      <c r="X595" t="s">
        <v>1019</v>
      </c>
      <c r="Y595">
        <v>11046.479758</v>
      </c>
      <c r="Z595" s="2">
        <v>45143</v>
      </c>
      <c r="AA595" t="s">
        <v>1032</v>
      </c>
    </row>
    <row r="596" spans="1:27">
      <c r="A596" s="1" t="s">
        <v>621</v>
      </c>
      <c r="B596">
        <f>HYPERLINK("https://www.suredividend.com/sure-analysis-NWL/","Newell Brands Inc")</f>
        <v>0</v>
      </c>
      <c r="C596" t="s">
        <v>899</v>
      </c>
      <c r="D596">
        <v>11</v>
      </c>
      <c r="E596">
        <v>9.42</v>
      </c>
      <c r="F596">
        <v>8.5</v>
      </c>
      <c r="G596">
        <v>1.108235294117647</v>
      </c>
      <c r="H596">
        <v>0.029723991507431</v>
      </c>
      <c r="I596">
        <v>-0.02034399575870982</v>
      </c>
      <c r="J596">
        <v>0.1</v>
      </c>
      <c r="K596">
        <v>0.09881312812453324</v>
      </c>
      <c r="L596" t="s">
        <v>825</v>
      </c>
      <c r="M596" t="s">
        <v>825</v>
      </c>
      <c r="N596">
        <v>11.08235294117647</v>
      </c>
      <c r="O596">
        <v>0.85</v>
      </c>
      <c r="P596">
        <v>0.28</v>
      </c>
      <c r="Q596">
        <v>0.3294117647058824</v>
      </c>
      <c r="R596">
        <v>0</v>
      </c>
      <c r="S596">
        <v>0</v>
      </c>
      <c r="T596" t="s">
        <v>925</v>
      </c>
      <c r="U596">
        <v>-0.438535309503051</v>
      </c>
      <c r="V596" t="s">
        <v>1004</v>
      </c>
      <c r="W596" t="s">
        <v>1008</v>
      </c>
      <c r="X596" t="s">
        <v>1011</v>
      </c>
      <c r="Y596">
        <v>4001.172</v>
      </c>
      <c r="Z596" s="2">
        <v>45147</v>
      </c>
      <c r="AA596" t="s">
        <v>1030</v>
      </c>
    </row>
    <row r="597" spans="1:27">
      <c r="A597" s="1" t="s">
        <v>622</v>
      </c>
      <c r="B597">
        <f>HYPERLINK("https://www.suredividend.com/sure-analysis-DOC/","Physicians Realty Trust")</f>
        <v>0</v>
      </c>
      <c r="C597" t="s">
        <v>899</v>
      </c>
      <c r="D597">
        <v>14.53</v>
      </c>
      <c r="E597">
        <v>13.23</v>
      </c>
      <c r="F597">
        <v>15</v>
      </c>
      <c r="G597">
        <v>0.882</v>
      </c>
      <c r="H597">
        <v>0.06953892668178382</v>
      </c>
      <c r="I597">
        <v>0.02543062323625467</v>
      </c>
      <c r="J597">
        <v>0.02</v>
      </c>
      <c r="K597">
        <v>0.09849007908735463</v>
      </c>
      <c r="L597" t="s">
        <v>825</v>
      </c>
      <c r="M597" t="s">
        <v>902</v>
      </c>
      <c r="N597">
        <v>13.23</v>
      </c>
      <c r="O597">
        <v>1</v>
      </c>
      <c r="P597">
        <v>0.92</v>
      </c>
      <c r="Q597">
        <v>0.92</v>
      </c>
      <c r="R597">
        <v>0</v>
      </c>
      <c r="S597">
        <v>0</v>
      </c>
      <c r="T597" t="s">
        <v>944</v>
      </c>
      <c r="U597">
        <v>-0.189921183165454</v>
      </c>
      <c r="V597" t="s">
        <v>1005</v>
      </c>
      <c r="W597" t="s">
        <v>1008</v>
      </c>
      <c r="X597" t="s">
        <v>1019</v>
      </c>
      <c r="Y597">
        <v>3173.828011</v>
      </c>
      <c r="Z597" s="2">
        <v>45146</v>
      </c>
      <c r="AA597" t="s">
        <v>1021</v>
      </c>
    </row>
    <row r="598" spans="1:27">
      <c r="A598" s="1" t="s">
        <v>623</v>
      </c>
      <c r="B598">
        <f>HYPERLINK("https://www.suredividend.com/sure-analysis-AKR/","Acadia Realty Trust")</f>
        <v>0</v>
      </c>
      <c r="C598" t="s">
        <v>899</v>
      </c>
      <c r="D598">
        <v>16</v>
      </c>
      <c r="E598">
        <v>15.3</v>
      </c>
      <c r="F598">
        <v>16.9</v>
      </c>
      <c r="G598">
        <v>0.9053254437869823</v>
      </c>
      <c r="H598">
        <v>0.04705882352941176</v>
      </c>
      <c r="I598">
        <v>0.02009132612636422</v>
      </c>
      <c r="J598">
        <v>0.03</v>
      </c>
      <c r="K598">
        <v>0.0980945376724629</v>
      </c>
      <c r="L598" t="s">
        <v>825</v>
      </c>
      <c r="M598" t="s">
        <v>825</v>
      </c>
      <c r="N598">
        <v>11.76923076923077</v>
      </c>
      <c r="O598">
        <v>1.3</v>
      </c>
      <c r="P598">
        <v>0.72</v>
      </c>
      <c r="Q598">
        <v>0.5538461538461538</v>
      </c>
      <c r="R598">
        <v>2</v>
      </c>
      <c r="S598">
        <v>0.100082101138866</v>
      </c>
      <c r="T598" t="s">
        <v>911</v>
      </c>
      <c r="U598">
        <v>-0.023146757984449</v>
      </c>
      <c r="V598" t="s">
        <v>1005</v>
      </c>
      <c r="W598" t="s">
        <v>1008</v>
      </c>
      <c r="X598" t="s">
        <v>1019</v>
      </c>
      <c r="Y598">
        <v>1457.218771</v>
      </c>
      <c r="Z598" s="2">
        <v>45140</v>
      </c>
      <c r="AA598" t="s">
        <v>1032</v>
      </c>
    </row>
    <row r="599" spans="1:27">
      <c r="A599" s="1" t="s">
        <v>624</v>
      </c>
      <c r="B599">
        <f>HYPERLINK("https://www.suredividend.com/sure-analysis-UE/","Urban Edge Properties")</f>
        <v>0</v>
      </c>
      <c r="C599" t="s">
        <v>899</v>
      </c>
      <c r="D599">
        <v>17</v>
      </c>
      <c r="E599">
        <v>16.17</v>
      </c>
      <c r="F599">
        <v>18</v>
      </c>
      <c r="G599">
        <v>0.8983333333333334</v>
      </c>
      <c r="H599">
        <v>0.03957946815089672</v>
      </c>
      <c r="I599">
        <v>0.02167436612010643</v>
      </c>
      <c r="J599">
        <v>0.045</v>
      </c>
      <c r="K599">
        <v>0.09727286095027665</v>
      </c>
      <c r="L599" t="s">
        <v>825</v>
      </c>
      <c r="M599" t="s">
        <v>825</v>
      </c>
      <c r="N599">
        <v>13.82051282051282</v>
      </c>
      <c r="O599">
        <v>1.17</v>
      </c>
      <c r="P599">
        <v>0.64</v>
      </c>
      <c r="Q599">
        <v>0.5470085470085471</v>
      </c>
      <c r="R599">
        <v>1</v>
      </c>
      <c r="S599">
        <v>0.009204005948121541</v>
      </c>
      <c r="T599" t="s">
        <v>912</v>
      </c>
      <c r="U599">
        <v>0.03759228282879</v>
      </c>
      <c r="V599" t="s">
        <v>1005</v>
      </c>
      <c r="W599" t="s">
        <v>1008</v>
      </c>
      <c r="X599" t="s">
        <v>1019</v>
      </c>
      <c r="Y599">
        <v>1941.053433</v>
      </c>
      <c r="Z599" s="2">
        <v>45142</v>
      </c>
      <c r="AA599" t="s">
        <v>1026</v>
      </c>
    </row>
    <row r="600" spans="1:27">
      <c r="A600" s="1" t="s">
        <v>625</v>
      </c>
      <c r="B600">
        <f>HYPERLINK("https://www.suredividend.com/sure-analysis-WFC/","Wells Fargo &amp; Co.")</f>
        <v>0</v>
      </c>
      <c r="C600" t="s">
        <v>899</v>
      </c>
      <c r="D600">
        <v>43</v>
      </c>
      <c r="E600">
        <v>42.25</v>
      </c>
      <c r="F600">
        <v>51</v>
      </c>
      <c r="G600">
        <v>0.8284313725490197</v>
      </c>
      <c r="H600">
        <v>0.03313609467455621</v>
      </c>
      <c r="I600">
        <v>0.03836177597063539</v>
      </c>
      <c r="J600">
        <v>0.02</v>
      </c>
      <c r="K600">
        <v>0.09717152403811946</v>
      </c>
      <c r="L600" t="s">
        <v>825</v>
      </c>
      <c r="M600" t="s">
        <v>825</v>
      </c>
      <c r="N600">
        <v>8.711340206185568</v>
      </c>
      <c r="O600">
        <v>4.85</v>
      </c>
      <c r="P600">
        <v>1.4</v>
      </c>
      <c r="Q600">
        <v>0.288659793814433</v>
      </c>
      <c r="R600">
        <v>3</v>
      </c>
      <c r="S600">
        <v>0.1503346840762383</v>
      </c>
      <c r="T600" t="s">
        <v>955</v>
      </c>
      <c r="U600">
        <v>-0.03879177889047501</v>
      </c>
      <c r="V600" t="s">
        <v>1004</v>
      </c>
      <c r="W600" t="s">
        <v>1008</v>
      </c>
      <c r="X600" t="s">
        <v>1015</v>
      </c>
      <c r="Y600">
        <v>155644.643156</v>
      </c>
      <c r="Z600" s="2">
        <v>45125</v>
      </c>
      <c r="AA600" t="s">
        <v>1030</v>
      </c>
    </row>
    <row r="601" spans="1:27">
      <c r="A601" s="1" t="s">
        <v>626</v>
      </c>
      <c r="B601">
        <f>HYPERLINK("https://www.suredividend.com/sure-analysis-WSBC/","Wesbanco, Inc.")</f>
        <v>0</v>
      </c>
      <c r="C601" t="s">
        <v>899</v>
      </c>
      <c r="D601">
        <v>28</v>
      </c>
      <c r="E601">
        <v>24.56</v>
      </c>
      <c r="F601">
        <v>26</v>
      </c>
      <c r="G601">
        <v>0.9446153846153845</v>
      </c>
      <c r="H601">
        <v>0.05700325732899023</v>
      </c>
      <c r="I601">
        <v>0.01146066284498692</v>
      </c>
      <c r="J601">
        <v>0.035</v>
      </c>
      <c r="K601">
        <v>0.09696548813201566</v>
      </c>
      <c r="L601" t="s">
        <v>825</v>
      </c>
      <c r="M601" t="s">
        <v>580</v>
      </c>
      <c r="N601">
        <v>9.374045801526716</v>
      </c>
      <c r="O601">
        <v>2.62</v>
      </c>
      <c r="P601">
        <v>1.4</v>
      </c>
      <c r="Q601">
        <v>0.5343511450381678</v>
      </c>
      <c r="R601">
        <v>11</v>
      </c>
      <c r="S601">
        <v>0.05037650558764373</v>
      </c>
      <c r="T601" t="s">
        <v>924</v>
      </c>
      <c r="U601">
        <v>-0.248296127632732</v>
      </c>
      <c r="V601" t="s">
        <v>1004</v>
      </c>
      <c r="W601" t="s">
        <v>1008</v>
      </c>
      <c r="X601" t="s">
        <v>1015</v>
      </c>
      <c r="Y601">
        <v>1450.044165</v>
      </c>
      <c r="Z601" s="2">
        <v>45138</v>
      </c>
      <c r="AA601" t="s">
        <v>1026</v>
      </c>
    </row>
    <row r="602" spans="1:27">
      <c r="A602" s="1" t="s">
        <v>627</v>
      </c>
      <c r="B602">
        <f>HYPERLINK("https://www.suredividend.com/sure-analysis-PSTL/","Postal Realty Trust Inc")</f>
        <v>0</v>
      </c>
      <c r="C602" t="s">
        <v>899</v>
      </c>
      <c r="D602">
        <v>14.84</v>
      </c>
      <c r="E602">
        <v>14.03</v>
      </c>
      <c r="F602">
        <v>14.73</v>
      </c>
      <c r="G602">
        <v>0.952477936184657</v>
      </c>
      <c r="H602">
        <v>0.06771204561653599</v>
      </c>
      <c r="I602">
        <v>0.009785232620463935</v>
      </c>
      <c r="J602">
        <v>0.03</v>
      </c>
      <c r="K602">
        <v>0.09678634075784576</v>
      </c>
      <c r="L602" t="s">
        <v>825</v>
      </c>
      <c r="M602" t="s">
        <v>902</v>
      </c>
      <c r="N602">
        <v>14.76842105263158</v>
      </c>
      <c r="O602">
        <v>0.95</v>
      </c>
      <c r="P602">
        <v>0.95</v>
      </c>
      <c r="Q602">
        <v>1</v>
      </c>
      <c r="R602">
        <v>3</v>
      </c>
      <c r="S602">
        <v>0.02975477857041309</v>
      </c>
      <c r="T602" t="s">
        <v>910</v>
      </c>
      <c r="U602">
        <v>-0.030669106619518</v>
      </c>
      <c r="V602" t="s">
        <v>1005</v>
      </c>
      <c r="W602" t="s">
        <v>1008</v>
      </c>
      <c r="X602" t="s">
        <v>1019</v>
      </c>
      <c r="Y602">
        <v>290.558316</v>
      </c>
      <c r="Z602" s="2">
        <v>45148</v>
      </c>
      <c r="AA602" t="s">
        <v>1032</v>
      </c>
    </row>
    <row r="603" spans="1:27">
      <c r="A603" s="1" t="s">
        <v>628</v>
      </c>
      <c r="B603">
        <f>HYPERLINK("https://www.suredividend.com/sure-analysis-KTB/","Kontoor Brands Inc")</f>
        <v>0</v>
      </c>
      <c r="C603" t="s">
        <v>899</v>
      </c>
      <c r="D603">
        <v>50</v>
      </c>
      <c r="E603">
        <v>43.09</v>
      </c>
      <c r="F603">
        <v>51</v>
      </c>
      <c r="G603">
        <v>0.8449019607843138</v>
      </c>
      <c r="H603">
        <v>0.04455790206544441</v>
      </c>
      <c r="I603">
        <v>0.03428145187585585</v>
      </c>
      <c r="J603">
        <v>0.025</v>
      </c>
      <c r="K603">
        <v>0.0962218902428944</v>
      </c>
      <c r="L603" t="s">
        <v>825</v>
      </c>
      <c r="M603" t="s">
        <v>580</v>
      </c>
      <c r="N603">
        <v>9.266666666666667</v>
      </c>
      <c r="O603">
        <v>4.65</v>
      </c>
      <c r="P603">
        <v>1.92</v>
      </c>
      <c r="Q603">
        <v>0.4129032258064516</v>
      </c>
      <c r="R603">
        <v>3</v>
      </c>
      <c r="S603">
        <v>0.03038784497717151</v>
      </c>
      <c r="T603" t="s">
        <v>924</v>
      </c>
      <c r="U603">
        <v>0.199610580334306</v>
      </c>
      <c r="V603" t="s">
        <v>1004</v>
      </c>
      <c r="W603" t="s">
        <v>1008</v>
      </c>
      <c r="X603" t="s">
        <v>1013</v>
      </c>
      <c r="Y603">
        <v>2448.1431</v>
      </c>
      <c r="Z603" s="2">
        <v>45159</v>
      </c>
      <c r="AA603" t="s">
        <v>1028</v>
      </c>
    </row>
    <row r="604" spans="1:27">
      <c r="A604" s="1" t="s">
        <v>629</v>
      </c>
      <c r="B604">
        <f>HYPERLINK("https://www.suredividend.com/sure-analysis-KRG/","Kite Realty Group Trust")</f>
        <v>0</v>
      </c>
      <c r="C604" t="s">
        <v>899</v>
      </c>
      <c r="D604">
        <v>24</v>
      </c>
      <c r="E604">
        <v>22.48</v>
      </c>
      <c r="F604">
        <v>24</v>
      </c>
      <c r="G604">
        <v>0.9366666666666666</v>
      </c>
      <c r="H604">
        <v>0.04270462633451957</v>
      </c>
      <c r="I604">
        <v>0.01317155168782902</v>
      </c>
      <c r="J604">
        <v>0.05</v>
      </c>
      <c r="K604">
        <v>0.09617854550421634</v>
      </c>
      <c r="L604" t="s">
        <v>825</v>
      </c>
      <c r="M604" t="s">
        <v>825</v>
      </c>
      <c r="N604">
        <v>11.46938775510204</v>
      </c>
      <c r="O604">
        <v>1.96</v>
      </c>
      <c r="P604">
        <v>0.96</v>
      </c>
      <c r="Q604">
        <v>0.4897959183673469</v>
      </c>
      <c r="R604">
        <v>3</v>
      </c>
      <c r="S604">
        <v>0.01020619660890776</v>
      </c>
      <c r="T604" t="s">
        <v>907</v>
      </c>
      <c r="U604">
        <v>0.183876483083778</v>
      </c>
      <c r="V604" t="s">
        <v>1005</v>
      </c>
      <c r="W604" t="s">
        <v>1008</v>
      </c>
      <c r="X604" t="s">
        <v>1019</v>
      </c>
      <c r="Y604">
        <v>5012.674969</v>
      </c>
      <c r="Z604" s="2">
        <v>45141</v>
      </c>
      <c r="AA604" t="s">
        <v>1026</v>
      </c>
    </row>
    <row r="605" spans="1:27">
      <c r="A605" s="1" t="s">
        <v>630</v>
      </c>
      <c r="B605">
        <f>HYPERLINK("https://www.suredividend.com/sure-analysis-HUN/","Huntsman Corp")</f>
        <v>0</v>
      </c>
      <c r="C605" t="s">
        <v>899</v>
      </c>
      <c r="D605">
        <v>29</v>
      </c>
      <c r="E605">
        <v>24.9325</v>
      </c>
      <c r="F605">
        <v>26</v>
      </c>
      <c r="G605">
        <v>0.9589423076923077</v>
      </c>
      <c r="H605">
        <v>0.03810287776997894</v>
      </c>
      <c r="I605">
        <v>0.008420124450255528</v>
      </c>
      <c r="J605">
        <v>0.05</v>
      </c>
      <c r="K605">
        <v>0.09279558909344909</v>
      </c>
      <c r="L605" t="s">
        <v>825</v>
      </c>
      <c r="M605" t="s">
        <v>825</v>
      </c>
      <c r="N605">
        <v>12.46625</v>
      </c>
      <c r="O605">
        <v>2</v>
      </c>
      <c r="P605">
        <v>0.95</v>
      </c>
      <c r="Q605">
        <v>0.475</v>
      </c>
      <c r="R605">
        <v>3</v>
      </c>
      <c r="S605">
        <v>0.059780741378197</v>
      </c>
      <c r="T605" t="s">
        <v>912</v>
      </c>
      <c r="U605">
        <v>-0.06127174450073301</v>
      </c>
      <c r="V605" t="s">
        <v>1004</v>
      </c>
      <c r="W605" t="s">
        <v>1008</v>
      </c>
      <c r="X605" t="s">
        <v>1010</v>
      </c>
      <c r="Y605">
        <v>4529.21281</v>
      </c>
      <c r="Z605" s="2">
        <v>45140</v>
      </c>
      <c r="AA605" t="s">
        <v>1032</v>
      </c>
    </row>
    <row r="606" spans="1:27">
      <c r="A606" s="1" t="s">
        <v>631</v>
      </c>
      <c r="B606">
        <f>HYPERLINK("https://www.suredividend.com/sure-analysis-NTAP/","Netapp Inc")</f>
        <v>0</v>
      </c>
      <c r="C606" t="s">
        <v>899</v>
      </c>
      <c r="D606">
        <v>78</v>
      </c>
      <c r="E606">
        <v>77.97</v>
      </c>
      <c r="F606">
        <v>86</v>
      </c>
      <c r="G606">
        <v>0.9066279069767442</v>
      </c>
      <c r="H606">
        <v>0.02565089136847505</v>
      </c>
      <c r="I606">
        <v>0.0197980645718383</v>
      </c>
      <c r="J606">
        <v>0.05</v>
      </c>
      <c r="K606">
        <v>0.0925148059136478</v>
      </c>
      <c r="L606" t="s">
        <v>825</v>
      </c>
      <c r="M606" t="s">
        <v>825</v>
      </c>
      <c r="N606">
        <v>13.56</v>
      </c>
      <c r="O606">
        <v>5.75</v>
      </c>
      <c r="P606">
        <v>2</v>
      </c>
      <c r="Q606">
        <v>0.3478260869565217</v>
      </c>
      <c r="R606">
        <v>8</v>
      </c>
      <c r="S606">
        <v>0.04978904632428516</v>
      </c>
      <c r="T606" t="s">
        <v>907</v>
      </c>
      <c r="U606">
        <v>0.106883822423724</v>
      </c>
      <c r="V606" t="s">
        <v>1004</v>
      </c>
      <c r="W606" t="s">
        <v>1008</v>
      </c>
      <c r="X606" t="s">
        <v>1016</v>
      </c>
      <c r="Y606">
        <v>16353.216</v>
      </c>
      <c r="Z606" s="2">
        <v>45180</v>
      </c>
      <c r="AA606" t="s">
        <v>1026</v>
      </c>
    </row>
    <row r="607" spans="1:27">
      <c r="A607" s="1" t="s">
        <v>632</v>
      </c>
      <c r="B607">
        <f>HYPERLINK("https://www.suredividend.com/sure-analysis-KMI/","Kinder Morgan Inc")</f>
        <v>0</v>
      </c>
      <c r="C607" t="s">
        <v>898</v>
      </c>
      <c r="D607">
        <v>16.7</v>
      </c>
      <c r="E607">
        <v>17.16</v>
      </c>
      <c r="F607">
        <v>18.1</v>
      </c>
      <c r="G607">
        <v>0.9480662983425414</v>
      </c>
      <c r="H607">
        <v>0.06585081585081584</v>
      </c>
      <c r="I607">
        <v>0.01072325520500828</v>
      </c>
      <c r="J607">
        <v>0.026</v>
      </c>
      <c r="K607">
        <v>0.09244389282861176</v>
      </c>
      <c r="L607" t="s">
        <v>825</v>
      </c>
      <c r="M607" t="s">
        <v>902</v>
      </c>
      <c r="N607">
        <v>8.056338028169014</v>
      </c>
      <c r="O607">
        <v>2.13</v>
      </c>
      <c r="P607">
        <v>1.13</v>
      </c>
      <c r="Q607">
        <v>0.5305164319248826</v>
      </c>
      <c r="R607">
        <v>6</v>
      </c>
      <c r="S607">
        <v>0.02683875946922498</v>
      </c>
      <c r="T607" t="s">
        <v>918</v>
      </c>
      <c r="U607">
        <v>-0.026499889181248</v>
      </c>
      <c r="V607" t="s">
        <v>1004</v>
      </c>
      <c r="W607" t="s">
        <v>1008</v>
      </c>
      <c r="X607" t="s">
        <v>1020</v>
      </c>
      <c r="Y607">
        <v>38168.472737</v>
      </c>
      <c r="Z607" s="2">
        <v>45148</v>
      </c>
      <c r="AA607" t="s">
        <v>1033</v>
      </c>
    </row>
    <row r="608" spans="1:27">
      <c r="A608" s="1" t="s">
        <v>633</v>
      </c>
      <c r="B608">
        <f>HYPERLINK("https://www.suredividend.com/sure-analysis-TRST/","Trustco Bank Corp.")</f>
        <v>0</v>
      </c>
      <c r="C608" t="s">
        <v>899</v>
      </c>
      <c r="D608">
        <v>30</v>
      </c>
      <c r="E608">
        <v>27.19</v>
      </c>
      <c r="F608">
        <v>33</v>
      </c>
      <c r="G608">
        <v>0.823939393939394</v>
      </c>
      <c r="H608">
        <v>0.05296064729680029</v>
      </c>
      <c r="I608">
        <v>0.03949150965697856</v>
      </c>
      <c r="J608">
        <v>0.01</v>
      </c>
      <c r="K608">
        <v>0.09133498159736941</v>
      </c>
      <c r="L608" t="s">
        <v>825</v>
      </c>
      <c r="M608" t="s">
        <v>580</v>
      </c>
      <c r="N608">
        <v>8.289634146341465</v>
      </c>
      <c r="O608">
        <v>3.28</v>
      </c>
      <c r="P608">
        <v>1.44</v>
      </c>
      <c r="Q608">
        <v>0.4390243902439024</v>
      </c>
      <c r="R608">
        <v>2</v>
      </c>
      <c r="S608">
        <v>0.009538511824044305</v>
      </c>
      <c r="T608" t="s">
        <v>916</v>
      </c>
      <c r="U608">
        <v>-0.128847721944755</v>
      </c>
      <c r="V608" t="s">
        <v>1004</v>
      </c>
      <c r="W608" t="s">
        <v>1008</v>
      </c>
      <c r="X608" t="s">
        <v>1015</v>
      </c>
      <c r="Y608">
        <v>520.3182430000001</v>
      </c>
      <c r="Z608" s="2">
        <v>45141</v>
      </c>
      <c r="AA608" t="s">
        <v>1026</v>
      </c>
    </row>
    <row r="609" spans="1:27">
      <c r="A609" s="1" t="s">
        <v>634</v>
      </c>
      <c r="B609">
        <f>HYPERLINK("https://www.suredividend.com/sure-analysis-RL/","Ralph Lauren Corp")</f>
        <v>0</v>
      </c>
      <c r="C609" t="s">
        <v>899</v>
      </c>
      <c r="D609">
        <v>118</v>
      </c>
      <c r="E609">
        <v>114.21</v>
      </c>
      <c r="F609">
        <v>120</v>
      </c>
      <c r="G609">
        <v>0.95175</v>
      </c>
      <c r="H609">
        <v>0.02626740215392698</v>
      </c>
      <c r="I609">
        <v>0.009939650152738899</v>
      </c>
      <c r="J609">
        <v>0.06</v>
      </c>
      <c r="K609">
        <v>0.09063764912945649</v>
      </c>
      <c r="L609" t="s">
        <v>825</v>
      </c>
      <c r="M609" t="s">
        <v>825</v>
      </c>
      <c r="N609">
        <v>14.24064837905237</v>
      </c>
      <c r="O609">
        <v>8.02</v>
      </c>
      <c r="P609">
        <v>3</v>
      </c>
      <c r="Q609">
        <v>0.3740648379052369</v>
      </c>
      <c r="R609">
        <v>2</v>
      </c>
      <c r="S609">
        <v>0.01425445365579359</v>
      </c>
      <c r="T609" t="s">
        <v>911</v>
      </c>
      <c r="U609">
        <v>0.218068623087592</v>
      </c>
      <c r="V609" t="s">
        <v>1004</v>
      </c>
      <c r="W609" t="s">
        <v>1008</v>
      </c>
      <c r="X609" t="s">
        <v>1013</v>
      </c>
      <c r="Y609">
        <v>7958.0498</v>
      </c>
      <c r="Z609" s="2">
        <v>45083</v>
      </c>
      <c r="AA609" t="s">
        <v>1024</v>
      </c>
    </row>
    <row r="610" spans="1:27">
      <c r="A610" s="1" t="s">
        <v>635</v>
      </c>
      <c r="B610">
        <f>HYPERLINK("https://www.suredividend.com/sure-analysis-CNA/","CNA Financial Corp.")</f>
        <v>0</v>
      </c>
      <c r="C610" t="s">
        <v>899</v>
      </c>
      <c r="D610">
        <v>42</v>
      </c>
      <c r="E610">
        <v>39.08</v>
      </c>
      <c r="F610">
        <v>44</v>
      </c>
      <c r="G610">
        <v>0.8881818181818182</v>
      </c>
      <c r="H610">
        <v>0.04298874104401228</v>
      </c>
      <c r="I610">
        <v>0.0239992163652738</v>
      </c>
      <c r="J610">
        <v>0.03</v>
      </c>
      <c r="K610">
        <v>0.09026288766984791</v>
      </c>
      <c r="L610" t="s">
        <v>825</v>
      </c>
      <c r="M610" t="s">
        <v>580</v>
      </c>
      <c r="N610">
        <v>8.881818181818181</v>
      </c>
      <c r="O610">
        <v>4.4</v>
      </c>
      <c r="P610">
        <v>1.68</v>
      </c>
      <c r="Q610">
        <v>0.3818181818181818</v>
      </c>
      <c r="R610">
        <v>7</v>
      </c>
      <c r="S610">
        <v>0.03025579475561258</v>
      </c>
      <c r="T610" t="s">
        <v>947</v>
      </c>
      <c r="U610">
        <v>0.023812442777361</v>
      </c>
      <c r="V610" t="s">
        <v>1004</v>
      </c>
      <c r="W610" t="s">
        <v>1008</v>
      </c>
      <c r="X610" t="s">
        <v>1015</v>
      </c>
      <c r="Y610">
        <v>10631.323177</v>
      </c>
      <c r="Z610" s="2">
        <v>45139</v>
      </c>
      <c r="AA610" t="s">
        <v>1032</v>
      </c>
    </row>
    <row r="611" spans="1:27">
      <c r="A611" s="1" t="s">
        <v>636</v>
      </c>
      <c r="B611">
        <f>HYPERLINK("https://www.suredividend.com/sure-analysis-CRI/","Carters Inc")</f>
        <v>0</v>
      </c>
      <c r="C611" t="s">
        <v>899</v>
      </c>
      <c r="D611">
        <v>73</v>
      </c>
      <c r="E611">
        <v>68.29000000000001</v>
      </c>
      <c r="F611">
        <v>72</v>
      </c>
      <c r="G611">
        <v>0.9484722222222223</v>
      </c>
      <c r="H611">
        <v>0.04539464050373408</v>
      </c>
      <c r="I611">
        <v>0.01063672721842357</v>
      </c>
      <c r="J611">
        <v>0.04</v>
      </c>
      <c r="K611">
        <v>0.08996674696441387</v>
      </c>
      <c r="L611" t="s">
        <v>825</v>
      </c>
      <c r="M611" t="s">
        <v>825</v>
      </c>
      <c r="N611">
        <v>11.45805369127517</v>
      </c>
      <c r="O611">
        <v>5.96</v>
      </c>
      <c r="P611">
        <v>3.1</v>
      </c>
      <c r="Q611">
        <v>0.5201342281879194</v>
      </c>
      <c r="R611">
        <v>2</v>
      </c>
      <c r="S611">
        <v>0.03991042329200911</v>
      </c>
      <c r="T611" t="s">
        <v>929</v>
      </c>
      <c r="U611">
        <v>-0.09180447115729201</v>
      </c>
      <c r="V611" t="s">
        <v>1004</v>
      </c>
      <c r="W611" t="s">
        <v>1008</v>
      </c>
      <c r="X611" t="s">
        <v>1013</v>
      </c>
      <c r="Y611">
        <v>2549.213365</v>
      </c>
      <c r="Z611" s="2">
        <v>45155</v>
      </c>
      <c r="AA611" t="s">
        <v>1027</v>
      </c>
    </row>
    <row r="612" spans="1:27">
      <c r="A612" s="1" t="s">
        <v>637</v>
      </c>
      <c r="B612">
        <f>HYPERLINK("https://www.suredividend.com/sure-analysis-IMBBY/","Imperial Brands Plc")</f>
        <v>0</v>
      </c>
      <c r="C612" t="s">
        <v>899</v>
      </c>
      <c r="D612">
        <v>22</v>
      </c>
      <c r="E612">
        <v>22.23</v>
      </c>
      <c r="F612">
        <v>22</v>
      </c>
      <c r="G612">
        <v>1.010454545454545</v>
      </c>
      <c r="H612">
        <v>0.07692307692307691</v>
      </c>
      <c r="I612">
        <v>-0.002077893108473172</v>
      </c>
      <c r="J612">
        <v>0.03</v>
      </c>
      <c r="K612">
        <v>0.08904495974673732</v>
      </c>
      <c r="L612" t="s">
        <v>825</v>
      </c>
      <c r="M612" t="s">
        <v>902</v>
      </c>
      <c r="N612">
        <v>6.695783132530121</v>
      </c>
      <c r="O612">
        <v>3.32</v>
      </c>
      <c r="P612">
        <v>1.71</v>
      </c>
      <c r="Q612">
        <v>0.5150602409638554</v>
      </c>
      <c r="R612">
        <v>0</v>
      </c>
      <c r="S612">
        <v>0</v>
      </c>
      <c r="T612" t="s">
        <v>932</v>
      </c>
      <c r="U612">
        <v>0.04264827998022001</v>
      </c>
      <c r="V612" t="s">
        <v>1004</v>
      </c>
      <c r="W612" t="s">
        <v>1009</v>
      </c>
      <c r="X612" t="s">
        <v>1011</v>
      </c>
      <c r="Y612">
        <v>20119.69645</v>
      </c>
      <c r="Z612" s="2">
        <v>45075</v>
      </c>
      <c r="AA612" t="s">
        <v>1021</v>
      </c>
    </row>
    <row r="613" spans="1:27">
      <c r="A613" s="1" t="s">
        <v>638</v>
      </c>
      <c r="B613">
        <f>HYPERLINK("https://www.suredividend.com/sure-analysis-PLYM/","Plymouth Industrial Reit Inc")</f>
        <v>0</v>
      </c>
      <c r="C613" t="s">
        <v>899</v>
      </c>
      <c r="D613">
        <v>22</v>
      </c>
      <c r="E613">
        <v>22.07</v>
      </c>
      <c r="F613">
        <v>24</v>
      </c>
      <c r="G613">
        <v>0.9195833333333333</v>
      </c>
      <c r="H613">
        <v>0.04077933846850929</v>
      </c>
      <c r="I613">
        <v>0.01690827577017551</v>
      </c>
      <c r="J613">
        <v>0.035</v>
      </c>
      <c r="K613">
        <v>0.0847886235325841</v>
      </c>
      <c r="L613" t="s">
        <v>825</v>
      </c>
      <c r="M613" t="s">
        <v>825</v>
      </c>
      <c r="N613">
        <v>11.92972972972973</v>
      </c>
      <c r="O613">
        <v>1.85</v>
      </c>
      <c r="P613">
        <v>0.9</v>
      </c>
      <c r="Q613">
        <v>0.4864864864864865</v>
      </c>
      <c r="R613">
        <v>2</v>
      </c>
      <c r="S613">
        <v>0.01087212085035083</v>
      </c>
      <c r="T613" t="s">
        <v>911</v>
      </c>
      <c r="U613">
        <v>0.158615851267977</v>
      </c>
      <c r="V613" t="s">
        <v>1005</v>
      </c>
      <c r="W613" t="s">
        <v>1008</v>
      </c>
      <c r="X613" t="s">
        <v>1019</v>
      </c>
      <c r="Y613">
        <v>993.960203</v>
      </c>
      <c r="Z613" s="2">
        <v>45145</v>
      </c>
      <c r="AA613" t="s">
        <v>1026</v>
      </c>
    </row>
    <row r="614" spans="1:27">
      <c r="A614" s="1" t="s">
        <v>639</v>
      </c>
      <c r="B614">
        <f>HYPERLINK("https://www.suredividend.com/sure-analysis-WEYS/","Weyco Group, Inc")</f>
        <v>0</v>
      </c>
      <c r="C614" t="s">
        <v>899</v>
      </c>
      <c r="D614">
        <v>26</v>
      </c>
      <c r="E614">
        <v>26.86</v>
      </c>
      <c r="F614">
        <v>32</v>
      </c>
      <c r="G614">
        <v>0.839375</v>
      </c>
      <c r="H614">
        <v>0.03723008190618019</v>
      </c>
      <c r="I614">
        <v>0.03563994743079779</v>
      </c>
      <c r="J614">
        <v>0.02</v>
      </c>
      <c r="K614">
        <v>0.0846901694327209</v>
      </c>
      <c r="L614" t="s">
        <v>825</v>
      </c>
      <c r="M614" t="s">
        <v>825</v>
      </c>
      <c r="N614">
        <v>11.67826086956522</v>
      </c>
      <c r="O614">
        <v>2.3</v>
      </c>
      <c r="P614">
        <v>1</v>
      </c>
      <c r="Q614">
        <v>0.4347826086956522</v>
      </c>
      <c r="R614">
        <v>1</v>
      </c>
      <c r="S614">
        <v>0</v>
      </c>
      <c r="T614" t="s">
        <v>922</v>
      </c>
      <c r="U614">
        <v>0.164370521651839</v>
      </c>
      <c r="V614" t="s">
        <v>1004</v>
      </c>
      <c r="W614" t="s">
        <v>1008</v>
      </c>
      <c r="X614" t="s">
        <v>1013</v>
      </c>
      <c r="Y614">
        <v>256.20645</v>
      </c>
      <c r="Z614" s="2">
        <v>45160</v>
      </c>
      <c r="AA614" t="s">
        <v>1029</v>
      </c>
    </row>
    <row r="615" spans="1:27">
      <c r="A615" s="1" t="s">
        <v>640</v>
      </c>
      <c r="B615">
        <f>HYPERLINK("https://www.suredividend.com/sure-analysis-GNTX/","Gentex Corp.")</f>
        <v>0</v>
      </c>
      <c r="C615" t="s">
        <v>899</v>
      </c>
      <c r="D615">
        <v>34</v>
      </c>
      <c r="E615">
        <v>31.94</v>
      </c>
      <c r="F615">
        <v>28</v>
      </c>
      <c r="G615">
        <v>1.140714285714286</v>
      </c>
      <c r="H615">
        <v>0.01502817783343769</v>
      </c>
      <c r="I615">
        <v>-0.02598729036905689</v>
      </c>
      <c r="J615">
        <v>0.1</v>
      </c>
      <c r="K615">
        <v>0.08467946251181191</v>
      </c>
      <c r="L615" t="s">
        <v>825</v>
      </c>
      <c r="M615" t="s">
        <v>642</v>
      </c>
      <c r="N615">
        <v>18.045197740113</v>
      </c>
      <c r="O615">
        <v>1.77</v>
      </c>
      <c r="P615">
        <v>0.48</v>
      </c>
      <c r="Q615">
        <v>0.2711864406779661</v>
      </c>
      <c r="R615">
        <v>0</v>
      </c>
      <c r="S615">
        <v>0.05922384104881218</v>
      </c>
      <c r="T615" t="s">
        <v>907</v>
      </c>
      <c r="U615">
        <v>0.192095838327977</v>
      </c>
      <c r="V615" t="s">
        <v>1004</v>
      </c>
      <c r="W615" t="s">
        <v>1008</v>
      </c>
      <c r="X615" t="s">
        <v>1012</v>
      </c>
      <c r="Y615">
        <v>7567.988928</v>
      </c>
      <c r="Z615" s="2">
        <v>45141</v>
      </c>
      <c r="AA615" t="s">
        <v>1026</v>
      </c>
    </row>
    <row r="616" spans="1:27">
      <c r="A616" s="1" t="s">
        <v>641</v>
      </c>
      <c r="B616">
        <f>HYPERLINK("https://www.suredividend.com/sure-analysis-AVY/","Avery Dennison Corp.")</f>
        <v>0</v>
      </c>
      <c r="C616" t="s">
        <v>899</v>
      </c>
      <c r="D616">
        <v>178</v>
      </c>
      <c r="E616">
        <v>181.23</v>
      </c>
      <c r="F616">
        <v>155</v>
      </c>
      <c r="G616">
        <v>1.169225806451613</v>
      </c>
      <c r="H616">
        <v>0.01787783479556365</v>
      </c>
      <c r="I616">
        <v>-0.03078456550292419</v>
      </c>
      <c r="J616">
        <v>0.1</v>
      </c>
      <c r="K616">
        <v>0.08290189929366898</v>
      </c>
      <c r="L616" t="s">
        <v>825</v>
      </c>
      <c r="M616" t="s">
        <v>642</v>
      </c>
      <c r="N616">
        <v>21.07325581395349</v>
      </c>
      <c r="O616">
        <v>8.6</v>
      </c>
      <c r="P616">
        <v>3.24</v>
      </c>
      <c r="Q616">
        <v>0.3767441860465117</v>
      </c>
      <c r="R616">
        <v>13</v>
      </c>
      <c r="S616">
        <v>0.0753954169487896</v>
      </c>
      <c r="T616" t="s">
        <v>940</v>
      </c>
      <c r="U616">
        <v>-0.036481579093748</v>
      </c>
      <c r="V616" t="s">
        <v>1004</v>
      </c>
      <c r="W616" t="s">
        <v>1008</v>
      </c>
      <c r="X616" t="s">
        <v>1012</v>
      </c>
      <c r="Y616">
        <v>14656.406212</v>
      </c>
      <c r="Z616" s="2">
        <v>45156</v>
      </c>
      <c r="AA616" t="s">
        <v>1022</v>
      </c>
    </row>
    <row r="617" spans="1:27">
      <c r="A617" s="1" t="s">
        <v>642</v>
      </c>
      <c r="B617">
        <f>HYPERLINK("https://www.suredividend.com/sure-analysis-F/","Ford Motor Co.")</f>
        <v>0</v>
      </c>
      <c r="C617" t="s">
        <v>899</v>
      </c>
      <c r="D617">
        <v>12.73</v>
      </c>
      <c r="E617">
        <v>12.64</v>
      </c>
      <c r="F617">
        <v>15.75</v>
      </c>
      <c r="G617">
        <v>0.8025396825396826</v>
      </c>
      <c r="H617">
        <v>0.04746835443037974</v>
      </c>
      <c r="I617">
        <v>0.04497691609399723</v>
      </c>
      <c r="J617">
        <v>0</v>
      </c>
      <c r="K617">
        <v>0.08205874587981299</v>
      </c>
      <c r="L617" t="s">
        <v>825</v>
      </c>
      <c r="M617" t="s">
        <v>580</v>
      </c>
      <c r="N617">
        <v>6.019047619047619</v>
      </c>
      <c r="O617">
        <v>2.1</v>
      </c>
      <c r="P617">
        <v>0.6</v>
      </c>
      <c r="Q617">
        <v>0.2857142857142857</v>
      </c>
      <c r="R617">
        <v>2</v>
      </c>
      <c r="S617">
        <v>0</v>
      </c>
      <c r="T617" t="s">
        <v>992</v>
      </c>
      <c r="U617">
        <v>-0.162118326390244</v>
      </c>
      <c r="V617" t="s">
        <v>1004</v>
      </c>
      <c r="W617" t="s">
        <v>1008</v>
      </c>
      <c r="X617" t="s">
        <v>1013</v>
      </c>
      <c r="Y617">
        <v>48945.600399</v>
      </c>
      <c r="Z617" s="2">
        <v>45149</v>
      </c>
      <c r="AA617" t="s">
        <v>1030</v>
      </c>
    </row>
    <row r="618" spans="1:27">
      <c r="A618" s="1" t="s">
        <v>643</v>
      </c>
      <c r="B618">
        <f>HYPERLINK("https://www.suredividend.com/sure-analysis-STAG/","STAG Industrial Inc")</f>
        <v>0</v>
      </c>
      <c r="C618" t="s">
        <v>899</v>
      </c>
      <c r="D618">
        <v>36</v>
      </c>
      <c r="E618">
        <v>36.05</v>
      </c>
      <c r="F618">
        <v>36</v>
      </c>
      <c r="G618">
        <v>1.001388888888889</v>
      </c>
      <c r="H618">
        <v>0.04077669902912621</v>
      </c>
      <c r="I618">
        <v>-0.0002775465318027859</v>
      </c>
      <c r="J618">
        <v>0.05</v>
      </c>
      <c r="K618">
        <v>0.08193487973038893</v>
      </c>
      <c r="L618" t="s">
        <v>825</v>
      </c>
      <c r="M618" t="s">
        <v>825</v>
      </c>
      <c r="N618">
        <v>16.02222222222222</v>
      </c>
      <c r="O618">
        <v>2.25</v>
      </c>
      <c r="P618">
        <v>1.47</v>
      </c>
      <c r="Q618">
        <v>0.6533333333333333</v>
      </c>
      <c r="R618">
        <v>12</v>
      </c>
      <c r="S618">
        <v>0.006712012076735441</v>
      </c>
      <c r="T618" t="s">
        <v>925</v>
      </c>
      <c r="U618">
        <v>0.168606313300847</v>
      </c>
      <c r="V618" t="s">
        <v>1005</v>
      </c>
      <c r="W618" t="s">
        <v>1008</v>
      </c>
      <c r="X618" t="s">
        <v>1019</v>
      </c>
      <c r="Y618">
        <v>6536.187925</v>
      </c>
      <c r="Z618" s="2">
        <v>45153</v>
      </c>
      <c r="AA618" t="s">
        <v>1022</v>
      </c>
    </row>
    <row r="619" spans="1:27">
      <c r="A619" s="1" t="s">
        <v>644</v>
      </c>
      <c r="B619">
        <f>HYPERLINK("https://www.suredividend.com/sure-analysis-MAN/","ManpowerGroup")</f>
        <v>0</v>
      </c>
      <c r="C619" t="s">
        <v>899</v>
      </c>
      <c r="D619">
        <v>81</v>
      </c>
      <c r="E619">
        <v>73.84</v>
      </c>
      <c r="F619">
        <v>75</v>
      </c>
      <c r="G619">
        <v>0.9845333333333334</v>
      </c>
      <c r="H619">
        <v>0.03981581798483207</v>
      </c>
      <c r="I619">
        <v>0.003122369139711978</v>
      </c>
      <c r="J619">
        <v>0.05</v>
      </c>
      <c r="K619">
        <v>0.08039516823043424</v>
      </c>
      <c r="L619" t="s">
        <v>825</v>
      </c>
      <c r="M619" t="s">
        <v>825</v>
      </c>
      <c r="N619">
        <v>12.79722703639515</v>
      </c>
      <c r="O619">
        <v>5.77</v>
      </c>
      <c r="P619">
        <v>2.94</v>
      </c>
      <c r="Q619">
        <v>0.5095320623916811</v>
      </c>
      <c r="R619">
        <v>13</v>
      </c>
      <c r="S619">
        <v>-0.04138123663706228</v>
      </c>
      <c r="T619" t="s">
        <v>960</v>
      </c>
      <c r="U619">
        <v>0.013629259570169</v>
      </c>
      <c r="V619" t="s">
        <v>1004</v>
      </c>
      <c r="W619" t="s">
        <v>1008</v>
      </c>
      <c r="X619" t="s">
        <v>1012</v>
      </c>
      <c r="Y619">
        <v>3681.8108</v>
      </c>
      <c r="Z619" s="2">
        <v>45133</v>
      </c>
      <c r="AA619" t="s">
        <v>1024</v>
      </c>
    </row>
    <row r="620" spans="1:27">
      <c r="A620" s="1" t="s">
        <v>645</v>
      </c>
      <c r="B620">
        <f>HYPERLINK("https://www.suredividend.com/sure-analysis-ALL/","Allstate Corp (The)")</f>
        <v>0</v>
      </c>
      <c r="C620" t="s">
        <v>899</v>
      </c>
      <c r="D620">
        <v>109</v>
      </c>
      <c r="E620">
        <v>108.9</v>
      </c>
      <c r="F620">
        <v>95</v>
      </c>
      <c r="G620">
        <v>1.146315789473684</v>
      </c>
      <c r="H620">
        <v>0.03269054178145087</v>
      </c>
      <c r="I620">
        <v>-0.02694106445319178</v>
      </c>
      <c r="J620">
        <v>0.08</v>
      </c>
      <c r="K620">
        <v>0.08029832346064381</v>
      </c>
      <c r="L620" t="s">
        <v>825</v>
      </c>
      <c r="M620" t="s">
        <v>825</v>
      </c>
      <c r="N620">
        <v>12.1</v>
      </c>
      <c r="O620">
        <v>9</v>
      </c>
      <c r="P620">
        <v>3.56</v>
      </c>
      <c r="Q620">
        <v>0.3955555555555555</v>
      </c>
      <c r="R620">
        <v>11</v>
      </c>
      <c r="S620">
        <v>0.04983529865060143</v>
      </c>
      <c r="T620" t="s">
        <v>925</v>
      </c>
      <c r="U620">
        <v>-0.112460330648854</v>
      </c>
      <c r="V620" t="s">
        <v>1004</v>
      </c>
      <c r="W620" t="s">
        <v>1008</v>
      </c>
      <c r="X620" t="s">
        <v>1015</v>
      </c>
      <c r="Y620">
        <v>28639.710325</v>
      </c>
      <c r="Z620" s="2">
        <v>45155</v>
      </c>
      <c r="AA620" t="s">
        <v>1026</v>
      </c>
    </row>
    <row r="621" spans="1:27">
      <c r="A621" s="1" t="s">
        <v>646</v>
      </c>
      <c r="B621">
        <f>HYPERLINK("https://www.suredividend.com/sure-analysis-WRK/","WestRock Co")</f>
        <v>0</v>
      </c>
      <c r="C621" t="s">
        <v>898</v>
      </c>
      <c r="D621">
        <v>32</v>
      </c>
      <c r="E621">
        <v>35.77</v>
      </c>
      <c r="F621">
        <v>31</v>
      </c>
      <c r="G621">
        <v>1.153870967741936</v>
      </c>
      <c r="H621">
        <v>0.03075202683813251</v>
      </c>
      <c r="I621">
        <v>-0.02821867076800233</v>
      </c>
      <c r="J621">
        <v>0.08</v>
      </c>
      <c r="K621">
        <v>0.07988076347362028</v>
      </c>
      <c r="L621" t="s">
        <v>825</v>
      </c>
      <c r="M621" t="s">
        <v>825</v>
      </c>
      <c r="N621">
        <v>12.775</v>
      </c>
      <c r="O621">
        <v>2.8</v>
      </c>
      <c r="P621">
        <v>1.1</v>
      </c>
      <c r="Q621">
        <v>0.3928571428571429</v>
      </c>
      <c r="R621">
        <v>2</v>
      </c>
      <c r="S621">
        <v>0.08049924032577382</v>
      </c>
      <c r="T621" t="s">
        <v>906</v>
      </c>
      <c r="U621">
        <v>-0.125454763522968</v>
      </c>
      <c r="V621" t="s">
        <v>1004</v>
      </c>
      <c r="W621" t="s">
        <v>1008</v>
      </c>
      <c r="X621" t="s">
        <v>1013</v>
      </c>
      <c r="Y621">
        <v>8969.77816</v>
      </c>
      <c r="Z621" s="2">
        <v>45161</v>
      </c>
      <c r="AA621" t="s">
        <v>1022</v>
      </c>
    </row>
    <row r="622" spans="1:27">
      <c r="A622" s="1" t="s">
        <v>647</v>
      </c>
      <c r="B622">
        <f>HYPERLINK("https://www.suredividend.com/sure-analysis-ET/","Energy Transfer LP")</f>
        <v>0</v>
      </c>
      <c r="C622" t="s">
        <v>899</v>
      </c>
      <c r="D622">
        <v>13</v>
      </c>
      <c r="E622">
        <v>13.54</v>
      </c>
      <c r="F622">
        <v>12</v>
      </c>
      <c r="G622">
        <v>1.128333333333333</v>
      </c>
      <c r="H622">
        <v>0.09158050221565732</v>
      </c>
      <c r="I622">
        <v>-0.02385908565530792</v>
      </c>
      <c r="J622">
        <v>0.02</v>
      </c>
      <c r="K622">
        <v>0.07933781366283288</v>
      </c>
      <c r="L622" t="s">
        <v>825</v>
      </c>
      <c r="M622" t="s">
        <v>902</v>
      </c>
      <c r="N622">
        <v>5.526530612244898</v>
      </c>
      <c r="O622">
        <v>2.45</v>
      </c>
      <c r="P622">
        <v>1.24</v>
      </c>
      <c r="Q622">
        <v>0.5061224489795918</v>
      </c>
      <c r="R622">
        <v>2</v>
      </c>
      <c r="S622">
        <v>0.02013999925026777</v>
      </c>
      <c r="T622" t="s">
        <v>947</v>
      </c>
      <c r="U622">
        <v>0.237655159916643</v>
      </c>
      <c r="V622" t="s">
        <v>1006</v>
      </c>
      <c r="W622" t="s">
        <v>1008</v>
      </c>
      <c r="X622" t="s">
        <v>1020</v>
      </c>
      <c r="Y622">
        <v>42936.20833</v>
      </c>
      <c r="Z622" s="2">
        <v>45153</v>
      </c>
      <c r="AA622" t="s">
        <v>1022</v>
      </c>
    </row>
    <row r="623" spans="1:27">
      <c r="A623" s="1" t="s">
        <v>648</v>
      </c>
      <c r="B623">
        <f>HYPERLINK("https://www.suredividend.com/sure-analysis-EGP/","Eastgroup Properties, Inc.")</f>
        <v>0</v>
      </c>
      <c r="C623" t="s">
        <v>899</v>
      </c>
      <c r="D623">
        <v>186</v>
      </c>
      <c r="E623">
        <v>176.25</v>
      </c>
      <c r="F623">
        <v>161</v>
      </c>
      <c r="G623">
        <v>1.09472049689441</v>
      </c>
      <c r="H623">
        <v>0.02882269503546099</v>
      </c>
      <c r="I623">
        <v>-0.01793699748811095</v>
      </c>
      <c r="J623">
        <v>0.07000000000000001</v>
      </c>
      <c r="K623">
        <v>0.07892787064600548</v>
      </c>
      <c r="L623" t="s">
        <v>825</v>
      </c>
      <c r="M623" t="s">
        <v>642</v>
      </c>
      <c r="N623">
        <v>22.94921875</v>
      </c>
      <c r="O623">
        <v>7.68</v>
      </c>
      <c r="P623">
        <v>5.08</v>
      </c>
      <c r="Q623">
        <v>0.6614583333333334</v>
      </c>
      <c r="R623">
        <v>13</v>
      </c>
      <c r="S623">
        <v>0.07667523886283889</v>
      </c>
      <c r="T623" t="s">
        <v>911</v>
      </c>
      <c r="U623">
        <v>0.05816436995224401</v>
      </c>
      <c r="V623" t="s">
        <v>1005</v>
      </c>
      <c r="W623" t="s">
        <v>1008</v>
      </c>
      <c r="X623" t="s">
        <v>1019</v>
      </c>
      <c r="Y623">
        <v>8036.504781</v>
      </c>
      <c r="Z623" s="2">
        <v>45133</v>
      </c>
      <c r="AA623" t="s">
        <v>1032</v>
      </c>
    </row>
    <row r="624" spans="1:27">
      <c r="A624" s="1" t="s">
        <v>649</v>
      </c>
      <c r="B624">
        <f>HYPERLINK("https://www.suredividend.com/sure-analysis-GOLD/","Barrick Gold Corp.")</f>
        <v>0</v>
      </c>
      <c r="C624" t="s">
        <v>899</v>
      </c>
      <c r="D624">
        <v>17</v>
      </c>
      <c r="E624">
        <v>16.12</v>
      </c>
      <c r="F624">
        <v>16</v>
      </c>
      <c r="G624">
        <v>1.0075</v>
      </c>
      <c r="H624">
        <v>0.02481389578163772</v>
      </c>
      <c r="I624">
        <v>-0.001493286903644253</v>
      </c>
      <c r="J624">
        <v>0.06</v>
      </c>
      <c r="K624">
        <v>0.0785783285568058</v>
      </c>
      <c r="L624" t="s">
        <v>825</v>
      </c>
      <c r="M624" t="s">
        <v>642</v>
      </c>
      <c r="N624">
        <v>17.91111111111111</v>
      </c>
      <c r="O624">
        <v>0.9</v>
      </c>
      <c r="P624">
        <v>0.4</v>
      </c>
      <c r="Q624">
        <v>0.4444444444444445</v>
      </c>
      <c r="R624">
        <v>6</v>
      </c>
      <c r="S624">
        <v>0.01924487649145656</v>
      </c>
      <c r="T624" t="s">
        <v>925</v>
      </c>
      <c r="U624">
        <v>0.027535387550496</v>
      </c>
      <c r="V624" t="s">
        <v>1004</v>
      </c>
      <c r="W624" t="s">
        <v>1009</v>
      </c>
      <c r="X624" t="s">
        <v>1010</v>
      </c>
      <c r="Y624">
        <v>28175.260389</v>
      </c>
      <c r="Z624" s="2">
        <v>45149</v>
      </c>
      <c r="AA624" t="s">
        <v>1030</v>
      </c>
    </row>
    <row r="625" spans="1:27">
      <c r="A625" s="1" t="s">
        <v>650</v>
      </c>
      <c r="B625">
        <f>HYPERLINK("https://www.suredividend.com/sure-analysis-MS/","Morgan Stanley")</f>
        <v>0</v>
      </c>
      <c r="C625" t="s">
        <v>899</v>
      </c>
      <c r="D625">
        <v>92</v>
      </c>
      <c r="E625">
        <v>87.25</v>
      </c>
      <c r="F625">
        <v>72</v>
      </c>
      <c r="G625">
        <v>1.211805555555556</v>
      </c>
      <c r="H625">
        <v>0.03896848137535817</v>
      </c>
      <c r="I625">
        <v>-0.03769351580205293</v>
      </c>
      <c r="J625">
        <v>0.08</v>
      </c>
      <c r="K625">
        <v>0.07855820452206252</v>
      </c>
      <c r="L625" t="s">
        <v>825</v>
      </c>
      <c r="M625" t="s">
        <v>825</v>
      </c>
      <c r="N625">
        <v>14.54166666666667</v>
      </c>
      <c r="O625">
        <v>6</v>
      </c>
      <c r="P625">
        <v>3.4</v>
      </c>
      <c r="Q625">
        <v>0.5666666666666667</v>
      </c>
      <c r="R625">
        <v>10</v>
      </c>
      <c r="S625">
        <v>0.0801851873035635</v>
      </c>
      <c r="T625" t="s">
        <v>918</v>
      </c>
      <c r="U625">
        <v>-0.016717526104971</v>
      </c>
      <c r="V625" t="s">
        <v>1004</v>
      </c>
      <c r="W625" t="s">
        <v>1008</v>
      </c>
      <c r="X625" t="s">
        <v>1015</v>
      </c>
      <c r="Y625">
        <v>141753.490919</v>
      </c>
      <c r="Z625" s="2">
        <v>45125</v>
      </c>
      <c r="AA625" t="s">
        <v>1032</v>
      </c>
    </row>
    <row r="626" spans="1:27">
      <c r="A626" s="1" t="s">
        <v>651</v>
      </c>
      <c r="B626">
        <f>HYPERLINK("https://www.suredividend.com/sure-analysis-TJX/","TJX Companies, Inc.")</f>
        <v>0</v>
      </c>
      <c r="C626" t="s">
        <v>899</v>
      </c>
      <c r="D626">
        <v>90</v>
      </c>
      <c r="E626">
        <v>92.92</v>
      </c>
      <c r="F626">
        <v>75</v>
      </c>
      <c r="G626">
        <v>1.238933333333333</v>
      </c>
      <c r="H626">
        <v>0.01431338786052518</v>
      </c>
      <c r="I626">
        <v>-0.04194506465666314</v>
      </c>
      <c r="J626">
        <v>0.11</v>
      </c>
      <c r="K626">
        <v>0.07847777026258251</v>
      </c>
      <c r="L626" t="s">
        <v>825</v>
      </c>
      <c r="M626" t="s">
        <v>642</v>
      </c>
      <c r="N626">
        <v>25.88300835654596</v>
      </c>
      <c r="O626">
        <v>3.59</v>
      </c>
      <c r="P626">
        <v>1.33</v>
      </c>
      <c r="Q626">
        <v>0.3704735376044568</v>
      </c>
      <c r="R626">
        <v>2</v>
      </c>
      <c r="S626">
        <v>0.1098883056567086</v>
      </c>
      <c r="T626" t="s">
        <v>906</v>
      </c>
      <c r="U626">
        <v>0.398321346927197</v>
      </c>
      <c r="V626" t="s">
        <v>1004</v>
      </c>
      <c r="W626" t="s">
        <v>1008</v>
      </c>
      <c r="X626" t="s">
        <v>1013</v>
      </c>
      <c r="Y626">
        <v>105461.345468</v>
      </c>
      <c r="Z626" s="2">
        <v>45157</v>
      </c>
      <c r="AA626" t="s">
        <v>1036</v>
      </c>
    </row>
    <row r="627" spans="1:27">
      <c r="A627" s="1" t="s">
        <v>652</v>
      </c>
      <c r="B627">
        <f>HYPERLINK("https://www.suredividend.com/sure-analysis-CWEN/","Clearway Energy Inc")</f>
        <v>0</v>
      </c>
      <c r="C627" t="s">
        <v>899</v>
      </c>
      <c r="D627">
        <v>25</v>
      </c>
      <c r="E627">
        <v>24.85</v>
      </c>
      <c r="F627">
        <v>27</v>
      </c>
      <c r="G627">
        <v>0.9203703703703704</v>
      </c>
      <c r="H627">
        <v>0.03621730382293763</v>
      </c>
      <c r="I627">
        <v>0.01673429833624263</v>
      </c>
      <c r="J627">
        <v>0.03</v>
      </c>
      <c r="K627">
        <v>0.07821646291350914</v>
      </c>
      <c r="L627" t="s">
        <v>825</v>
      </c>
      <c r="M627" t="s">
        <v>580</v>
      </c>
      <c r="N627">
        <v>8.423728813559322</v>
      </c>
      <c r="O627">
        <v>2.95</v>
      </c>
      <c r="P627">
        <v>0.9</v>
      </c>
      <c r="Q627">
        <v>0.3050847457627118</v>
      </c>
      <c r="R627">
        <v>4</v>
      </c>
      <c r="S627">
        <v>0.02933837941335904</v>
      </c>
      <c r="T627" t="s">
        <v>916</v>
      </c>
      <c r="U627">
        <v>-0.344537184858192</v>
      </c>
      <c r="V627" t="s">
        <v>1004</v>
      </c>
      <c r="W627" t="s">
        <v>1008</v>
      </c>
      <c r="X627" t="s">
        <v>1018</v>
      </c>
      <c r="Y627">
        <v>2817.293278</v>
      </c>
      <c r="Z627" s="2">
        <v>45155</v>
      </c>
      <c r="AA627" t="s">
        <v>1026</v>
      </c>
    </row>
    <row r="628" spans="1:27">
      <c r="A628" s="1" t="s">
        <v>653</v>
      </c>
      <c r="B628">
        <f>HYPERLINK("https://www.suredividend.com/sure-analysis-DD/","DuPont de Nemours Inc")</f>
        <v>0</v>
      </c>
      <c r="C628" t="s">
        <v>899</v>
      </c>
      <c r="D628">
        <v>76</v>
      </c>
      <c r="E628">
        <v>74.18000000000001</v>
      </c>
      <c r="F628">
        <v>59</v>
      </c>
      <c r="G628">
        <v>1.25728813559322</v>
      </c>
      <c r="H628">
        <v>0.01941224049609059</v>
      </c>
      <c r="I628">
        <v>-0.04475881975962415</v>
      </c>
      <c r="J628">
        <v>0.11</v>
      </c>
      <c r="K628">
        <v>0.07808351145836934</v>
      </c>
      <c r="L628" t="s">
        <v>825</v>
      </c>
      <c r="M628" t="s">
        <v>642</v>
      </c>
      <c r="N628">
        <v>21.50144927536232</v>
      </c>
      <c r="O628">
        <v>3.45</v>
      </c>
      <c r="P628">
        <v>1.44</v>
      </c>
      <c r="Q628">
        <v>0.4173913043478261</v>
      </c>
      <c r="R628">
        <v>2</v>
      </c>
      <c r="S628">
        <v>0.06032490771095733</v>
      </c>
      <c r="T628" t="s">
        <v>918</v>
      </c>
      <c r="U628">
        <v>0.287751376124791</v>
      </c>
      <c r="V628" t="s">
        <v>1004</v>
      </c>
      <c r="W628" t="s">
        <v>1008</v>
      </c>
      <c r="X628" t="s">
        <v>1010</v>
      </c>
      <c r="Y628">
        <v>34516.797868</v>
      </c>
      <c r="Z628" s="2">
        <v>45149</v>
      </c>
      <c r="AA628" t="s">
        <v>1030</v>
      </c>
    </row>
    <row r="629" spans="1:27">
      <c r="A629" s="1" t="s">
        <v>654</v>
      </c>
      <c r="B629">
        <f>HYPERLINK("https://www.suredividend.com/sure-analysis-WSR/","Whitestone REIT")</f>
        <v>0</v>
      </c>
      <c r="C629" t="s">
        <v>898</v>
      </c>
      <c r="D629">
        <v>10</v>
      </c>
      <c r="E629">
        <v>9.94</v>
      </c>
      <c r="F629">
        <v>10</v>
      </c>
      <c r="G629">
        <v>0.994</v>
      </c>
      <c r="H629">
        <v>0.04828973843058351</v>
      </c>
      <c r="I629">
        <v>0.001204339099700746</v>
      </c>
      <c r="J629">
        <v>0.03</v>
      </c>
      <c r="K629">
        <v>0.07776101261210244</v>
      </c>
      <c r="L629" t="s">
        <v>825</v>
      </c>
      <c r="M629" t="s">
        <v>825</v>
      </c>
      <c r="N629">
        <v>10.80434782608696</v>
      </c>
      <c r="O629">
        <v>0.92</v>
      </c>
      <c r="P629">
        <v>0.48</v>
      </c>
      <c r="Q629">
        <v>0.5217391304347826</v>
      </c>
      <c r="R629">
        <v>1</v>
      </c>
      <c r="S629">
        <v>0.05922384104881218</v>
      </c>
      <c r="T629" t="s">
        <v>920</v>
      </c>
      <c r="U629">
        <v>0.016080215775494</v>
      </c>
      <c r="V629" t="s">
        <v>1005</v>
      </c>
      <c r="W629" t="s">
        <v>1008</v>
      </c>
      <c r="X629" t="s">
        <v>1019</v>
      </c>
      <c r="Y629">
        <v>488.769516</v>
      </c>
      <c r="Z629" s="2">
        <v>45180</v>
      </c>
      <c r="AA629" t="s">
        <v>1036</v>
      </c>
    </row>
    <row r="630" spans="1:27">
      <c r="A630" s="1" t="s">
        <v>655</v>
      </c>
      <c r="B630">
        <f>HYPERLINK("https://www.suredividend.com/sure-analysis-BRX/","Brixmor Property Group Inc")</f>
        <v>0</v>
      </c>
      <c r="C630" t="s">
        <v>899</v>
      </c>
      <c r="D630">
        <v>23</v>
      </c>
      <c r="E630">
        <v>22.36</v>
      </c>
      <c r="F630">
        <v>23</v>
      </c>
      <c r="G630">
        <v>0.9721739130434782</v>
      </c>
      <c r="H630">
        <v>0.04651162790697674</v>
      </c>
      <c r="I630">
        <v>0.005660071546039092</v>
      </c>
      <c r="J630">
        <v>0.03</v>
      </c>
      <c r="K630">
        <v>0.07675135926361865</v>
      </c>
      <c r="L630" t="s">
        <v>825</v>
      </c>
      <c r="M630" t="s">
        <v>825</v>
      </c>
      <c r="N630">
        <v>11.12437810945274</v>
      </c>
      <c r="O630">
        <v>2.01</v>
      </c>
      <c r="P630">
        <v>1.04</v>
      </c>
      <c r="Q630">
        <v>0.5174129353233832</v>
      </c>
      <c r="R630">
        <v>2</v>
      </c>
      <c r="S630">
        <v>0.03074302873787649</v>
      </c>
      <c r="T630" t="s">
        <v>944</v>
      </c>
      <c r="U630">
        <v>0.022808446359429</v>
      </c>
      <c r="V630" t="s">
        <v>1005</v>
      </c>
      <c r="W630" t="s">
        <v>1008</v>
      </c>
      <c r="X630" t="s">
        <v>1019</v>
      </c>
      <c r="Y630">
        <v>6757.327066</v>
      </c>
      <c r="Z630" s="2">
        <v>45140</v>
      </c>
      <c r="AA630" t="s">
        <v>1036</v>
      </c>
    </row>
    <row r="631" spans="1:27">
      <c r="A631" s="1" t="s">
        <v>656</v>
      </c>
      <c r="B631">
        <f>HYPERLINK("https://www.suredividend.com/sure-analysis-MDU/","MDU Resources Group Inc")</f>
        <v>0</v>
      </c>
      <c r="C631" t="s">
        <v>899</v>
      </c>
      <c r="D631">
        <v>21</v>
      </c>
      <c r="E631">
        <v>19.49</v>
      </c>
      <c r="F631">
        <v>19</v>
      </c>
      <c r="G631">
        <v>1.02578947368421</v>
      </c>
      <c r="H631">
        <v>0.02565418163160595</v>
      </c>
      <c r="I631">
        <v>-0.005079562040692598</v>
      </c>
      <c r="J631">
        <v>0.06</v>
      </c>
      <c r="K631">
        <v>0.07616698095531316</v>
      </c>
      <c r="L631" t="s">
        <v>825</v>
      </c>
      <c r="M631" t="s">
        <v>825</v>
      </c>
      <c r="N631">
        <v>15.592</v>
      </c>
      <c r="O631">
        <v>1.25</v>
      </c>
      <c r="P631">
        <v>0.5</v>
      </c>
      <c r="Q631">
        <v>0.4</v>
      </c>
      <c r="R631">
        <v>0</v>
      </c>
      <c r="S631">
        <v>0.0265520397411132</v>
      </c>
      <c r="T631" t="s">
        <v>972</v>
      </c>
      <c r="U631">
        <v>-0.048377752027809</v>
      </c>
      <c r="V631" t="s">
        <v>1004</v>
      </c>
      <c r="W631" t="s">
        <v>1008</v>
      </c>
      <c r="X631" t="s">
        <v>1012</v>
      </c>
      <c r="Y631">
        <v>4013.712332</v>
      </c>
      <c r="Z631" s="2">
        <v>45153</v>
      </c>
      <c r="AA631" t="s">
        <v>1030</v>
      </c>
    </row>
    <row r="632" spans="1:27">
      <c r="A632" s="1" t="s">
        <v>657</v>
      </c>
      <c r="B632">
        <f>HYPERLINK("https://www.suredividend.com/sure-analysis-LAZ/","Lazard Ltd.")</f>
        <v>0</v>
      </c>
      <c r="C632" t="s">
        <v>899</v>
      </c>
      <c r="D632">
        <v>33</v>
      </c>
      <c r="E632">
        <v>33.02</v>
      </c>
      <c r="F632">
        <v>29</v>
      </c>
      <c r="G632">
        <v>1.138620689655172</v>
      </c>
      <c r="H632">
        <v>0.06056935190793458</v>
      </c>
      <c r="I632">
        <v>-0.02562936765635937</v>
      </c>
      <c r="J632">
        <v>0.05</v>
      </c>
      <c r="K632">
        <v>0.07603796647782279</v>
      </c>
      <c r="L632" t="s">
        <v>825</v>
      </c>
      <c r="M632" t="s">
        <v>902</v>
      </c>
      <c r="N632">
        <v>12.7</v>
      </c>
      <c r="O632">
        <v>2.6</v>
      </c>
      <c r="P632">
        <v>2</v>
      </c>
      <c r="Q632">
        <v>0.7692307692307692</v>
      </c>
      <c r="R632">
        <v>1</v>
      </c>
      <c r="S632">
        <v>0.02016978262061087</v>
      </c>
      <c r="T632" t="s">
        <v>910</v>
      </c>
      <c r="U632">
        <v>-0.081989454874362</v>
      </c>
      <c r="V632" t="s">
        <v>1006</v>
      </c>
      <c r="W632" t="s">
        <v>1009</v>
      </c>
      <c r="X632" t="s">
        <v>1015</v>
      </c>
      <c r="Y632">
        <v>3753.983169</v>
      </c>
      <c r="Z632" s="2">
        <v>45149</v>
      </c>
      <c r="AA632" t="s">
        <v>1029</v>
      </c>
    </row>
    <row r="633" spans="1:27">
      <c r="A633" s="1" t="s">
        <v>658</v>
      </c>
      <c r="B633">
        <f>HYPERLINK("https://www.suredividend.com/sure-analysis-LYB/","LyondellBasell Industries NV")</f>
        <v>0</v>
      </c>
      <c r="C633" t="s">
        <v>899</v>
      </c>
      <c r="D633">
        <v>96</v>
      </c>
      <c r="E633">
        <v>98.84</v>
      </c>
      <c r="F633">
        <v>84</v>
      </c>
      <c r="G633">
        <v>1.176666666666667</v>
      </c>
      <c r="H633">
        <v>0.05058680696074463</v>
      </c>
      <c r="I633">
        <v>-0.03201347906401708</v>
      </c>
      <c r="J633">
        <v>0.06</v>
      </c>
      <c r="K633">
        <v>0.07558543199247758</v>
      </c>
      <c r="L633" t="s">
        <v>825</v>
      </c>
      <c r="M633" t="s">
        <v>580</v>
      </c>
      <c r="N633">
        <v>11.36091954022989</v>
      </c>
      <c r="O633">
        <v>8.699999999999999</v>
      </c>
      <c r="P633">
        <v>5</v>
      </c>
      <c r="Q633">
        <v>0.574712643678161</v>
      </c>
      <c r="R633">
        <v>13</v>
      </c>
      <c r="S633">
        <v>0.05996426187273829</v>
      </c>
      <c r="T633" t="s">
        <v>927</v>
      </c>
      <c r="U633">
        <v>0.238187287877926</v>
      </c>
      <c r="V633" t="s">
        <v>1004</v>
      </c>
      <c r="W633" t="s">
        <v>1009</v>
      </c>
      <c r="X633" t="s">
        <v>1010</v>
      </c>
      <c r="Y633">
        <v>32478.076197</v>
      </c>
      <c r="Z633" s="2">
        <v>45144</v>
      </c>
      <c r="AA633" t="s">
        <v>1032</v>
      </c>
    </row>
    <row r="634" spans="1:27">
      <c r="A634" s="1" t="s">
        <v>659</v>
      </c>
      <c r="B634">
        <f>HYPERLINK("https://www.suredividend.com/sure-analysis-IVZ/","Invesco Ltd")</f>
        <v>0</v>
      </c>
      <c r="C634" t="s">
        <v>899</v>
      </c>
      <c r="D634">
        <v>15</v>
      </c>
      <c r="E634">
        <v>15.31</v>
      </c>
      <c r="F634">
        <v>16</v>
      </c>
      <c r="G634">
        <v>0.956875</v>
      </c>
      <c r="H634">
        <v>0.05225342913128674</v>
      </c>
      <c r="I634">
        <v>0.008855482343367971</v>
      </c>
      <c r="J634">
        <v>0.02</v>
      </c>
      <c r="K634">
        <v>0.07509917797348264</v>
      </c>
      <c r="L634" t="s">
        <v>825</v>
      </c>
      <c r="M634" t="s">
        <v>580</v>
      </c>
      <c r="N634">
        <v>9.877419354838709</v>
      </c>
      <c r="O634">
        <v>1.55</v>
      </c>
      <c r="P634">
        <v>0.8</v>
      </c>
      <c r="Q634">
        <v>0.5161290322580645</v>
      </c>
      <c r="R634">
        <v>2</v>
      </c>
      <c r="S634">
        <v>0.02610140214872025</v>
      </c>
      <c r="T634" t="s">
        <v>915</v>
      </c>
      <c r="U634">
        <v>-0.075257186666111</v>
      </c>
      <c r="V634" t="s">
        <v>1004</v>
      </c>
      <c r="W634" t="s">
        <v>1009</v>
      </c>
      <c r="X634" t="s">
        <v>1015</v>
      </c>
      <c r="Y634">
        <v>6980.535665</v>
      </c>
      <c r="Z634" s="2">
        <v>45155</v>
      </c>
      <c r="AA634" t="s">
        <v>1028</v>
      </c>
    </row>
    <row r="635" spans="1:27">
      <c r="A635" s="1" t="s">
        <v>660</v>
      </c>
      <c r="B635">
        <f>HYPERLINK("https://www.suredividend.com/sure-analysis-APO/","Apollo Global Management Inc")</f>
        <v>0</v>
      </c>
      <c r="C635" t="s">
        <v>899</v>
      </c>
      <c r="D635">
        <v>82</v>
      </c>
      <c r="E635">
        <v>90.59999999999999</v>
      </c>
      <c r="F635">
        <v>68</v>
      </c>
      <c r="G635">
        <v>1.332352941176471</v>
      </c>
      <c r="H635">
        <v>0.01898454746136866</v>
      </c>
      <c r="I635">
        <v>-0.05577359102197865</v>
      </c>
      <c r="J635">
        <v>0.12</v>
      </c>
      <c r="K635">
        <v>0.07460962871918397</v>
      </c>
      <c r="L635" t="s">
        <v>825</v>
      </c>
      <c r="M635" t="s">
        <v>642</v>
      </c>
      <c r="N635">
        <v>13.42222222222222</v>
      </c>
      <c r="O635">
        <v>6.75</v>
      </c>
      <c r="P635">
        <v>1.72</v>
      </c>
      <c r="Q635">
        <v>0.2548148148148148</v>
      </c>
      <c r="R635">
        <v>1</v>
      </c>
      <c r="S635">
        <v>0.05045837224621441</v>
      </c>
      <c r="T635" t="s">
        <v>932</v>
      </c>
      <c r="U635">
        <v>0.566724822231644</v>
      </c>
      <c r="V635" t="s">
        <v>1004</v>
      </c>
      <c r="W635" t="s">
        <v>1008</v>
      </c>
      <c r="X635" t="s">
        <v>1015</v>
      </c>
      <c r="Y635">
        <v>51110.912936</v>
      </c>
      <c r="Z635" s="2">
        <v>45155</v>
      </c>
      <c r="AA635" t="s">
        <v>1030</v>
      </c>
    </row>
    <row r="636" spans="1:27">
      <c r="A636" s="1" t="s">
        <v>661</v>
      </c>
      <c r="B636">
        <f>HYPERLINK("https://www.suredividend.com/sure-analysis-WMB/","Williams Cos Inc")</f>
        <v>0</v>
      </c>
      <c r="C636" t="s">
        <v>899</v>
      </c>
      <c r="D636">
        <v>35</v>
      </c>
      <c r="E636">
        <v>34.26</v>
      </c>
      <c r="F636">
        <v>32</v>
      </c>
      <c r="G636">
        <v>1.070625</v>
      </c>
      <c r="H636">
        <v>0.05224751897256276</v>
      </c>
      <c r="I636">
        <v>-0.01355579930089068</v>
      </c>
      <c r="J636">
        <v>0.04</v>
      </c>
      <c r="K636">
        <v>0.07428874282457221</v>
      </c>
      <c r="L636" t="s">
        <v>825</v>
      </c>
      <c r="M636" t="s">
        <v>580</v>
      </c>
      <c r="N636">
        <v>8.157142857142857</v>
      </c>
      <c r="O636">
        <v>4.2</v>
      </c>
      <c r="P636">
        <v>1.79</v>
      </c>
      <c r="Q636">
        <v>0.4261904761904762</v>
      </c>
      <c r="R636">
        <v>6</v>
      </c>
      <c r="S636">
        <v>0.04020920480467827</v>
      </c>
      <c r="T636" t="s">
        <v>962</v>
      </c>
      <c r="U636">
        <v>0.065731551706387</v>
      </c>
      <c r="V636" t="s">
        <v>1004</v>
      </c>
      <c r="W636" t="s">
        <v>1008</v>
      </c>
      <c r="X636" t="s">
        <v>1020</v>
      </c>
      <c r="Y636">
        <v>41552.957176</v>
      </c>
      <c r="Z636" s="2">
        <v>45162</v>
      </c>
      <c r="AA636" t="s">
        <v>1022</v>
      </c>
    </row>
    <row r="637" spans="1:27">
      <c r="A637" s="1" t="s">
        <v>662</v>
      </c>
      <c r="B637">
        <f>HYPERLINK("https://www.suredividend.com/sure-analysis-PRU/","Prudential Financial Inc.")</f>
        <v>0</v>
      </c>
      <c r="C637" t="s">
        <v>898</v>
      </c>
      <c r="D637">
        <v>95</v>
      </c>
      <c r="E637">
        <v>96.58</v>
      </c>
      <c r="F637">
        <v>94</v>
      </c>
      <c r="G637">
        <v>1.027446808510638</v>
      </c>
      <c r="H637">
        <v>0.05177055290950507</v>
      </c>
      <c r="I637">
        <v>-0.0054007428998607</v>
      </c>
      <c r="J637">
        <v>0.03</v>
      </c>
      <c r="K637">
        <v>0.072623645041203</v>
      </c>
      <c r="L637" t="s">
        <v>825</v>
      </c>
      <c r="M637" t="s">
        <v>902</v>
      </c>
      <c r="N637">
        <v>8.198641765704584</v>
      </c>
      <c r="O637">
        <v>11.78</v>
      </c>
      <c r="P637">
        <v>5</v>
      </c>
      <c r="Q637">
        <v>0.4244482173174873</v>
      </c>
      <c r="R637">
        <v>15</v>
      </c>
      <c r="S637">
        <v>0.03988835529073098</v>
      </c>
      <c r="T637" t="s">
        <v>949</v>
      </c>
      <c r="U637">
        <v>0.020371516635435</v>
      </c>
      <c r="V637" t="s">
        <v>1004</v>
      </c>
      <c r="W637" t="s">
        <v>1008</v>
      </c>
      <c r="X637" t="s">
        <v>1015</v>
      </c>
      <c r="Y637">
        <v>35065.8</v>
      </c>
      <c r="Z637" s="2">
        <v>45141</v>
      </c>
      <c r="AA637" t="s">
        <v>1021</v>
      </c>
    </row>
    <row r="638" spans="1:27">
      <c r="A638" s="1" t="s">
        <v>663</v>
      </c>
      <c r="B638">
        <f>HYPERLINK("https://www.suredividend.com/sure-analysis-ELS/","Equity Lifestyle Properties Inc.")</f>
        <v>0</v>
      </c>
      <c r="C638" t="s">
        <v>899</v>
      </c>
      <c r="D638">
        <v>70</v>
      </c>
      <c r="E638">
        <v>65.63</v>
      </c>
      <c r="F638">
        <v>60</v>
      </c>
      <c r="G638">
        <v>1.093833333333333</v>
      </c>
      <c r="H638">
        <v>0.02727411244857535</v>
      </c>
      <c r="I638">
        <v>-0.01777774690264211</v>
      </c>
      <c r="J638">
        <v>0.065</v>
      </c>
      <c r="K638">
        <v>0.07232173379180518</v>
      </c>
      <c r="L638" t="s">
        <v>825</v>
      </c>
      <c r="M638" t="s">
        <v>825</v>
      </c>
      <c r="N638">
        <v>23.02807017543859</v>
      </c>
      <c r="O638">
        <v>2.85</v>
      </c>
      <c r="P638">
        <v>1.79</v>
      </c>
      <c r="Q638">
        <v>0.6280701754385964</v>
      </c>
      <c r="R638">
        <v>19</v>
      </c>
      <c r="S638">
        <v>0.06478668246147556</v>
      </c>
      <c r="T638" t="s">
        <v>911</v>
      </c>
      <c r="U638">
        <v>-0.07553298210414801</v>
      </c>
      <c r="V638" t="s">
        <v>1005</v>
      </c>
      <c r="W638" t="s">
        <v>1008</v>
      </c>
      <c r="X638" t="s">
        <v>1019</v>
      </c>
      <c r="Y638">
        <v>12273.733942</v>
      </c>
      <c r="Z638" s="2">
        <v>45145</v>
      </c>
      <c r="AA638" t="s">
        <v>1027</v>
      </c>
    </row>
    <row r="639" spans="1:27">
      <c r="A639" s="1" t="s">
        <v>664</v>
      </c>
      <c r="B639">
        <f>HYPERLINK("https://www.suredividend.com/sure-analysis-MPWR/","Monolithic Power System Inc")</f>
        <v>0</v>
      </c>
      <c r="C639" t="s">
        <v>900</v>
      </c>
      <c r="D639">
        <v>534</v>
      </c>
      <c r="E639">
        <v>470.36</v>
      </c>
      <c r="F639">
        <v>300</v>
      </c>
      <c r="G639">
        <v>1.567866666666667</v>
      </c>
      <c r="H639">
        <v>0.008504124500382685</v>
      </c>
      <c r="I639">
        <v>-0.08601688081339043</v>
      </c>
      <c r="J639">
        <v>0.16</v>
      </c>
      <c r="K639">
        <v>0.0719747188177593</v>
      </c>
      <c r="L639" t="s">
        <v>825</v>
      </c>
      <c r="M639" t="s">
        <v>642</v>
      </c>
      <c r="N639">
        <v>39.19666666666667</v>
      </c>
      <c r="O639">
        <v>12</v>
      </c>
      <c r="P639">
        <v>4</v>
      </c>
      <c r="Q639">
        <v>0.3333333333333333</v>
      </c>
      <c r="R639">
        <v>6</v>
      </c>
      <c r="S639">
        <v>0.1999209000665154</v>
      </c>
      <c r="T639" t="s">
        <v>911</v>
      </c>
      <c r="U639">
        <v>0.07114113799875101</v>
      </c>
      <c r="V639" t="s">
        <v>1004</v>
      </c>
      <c r="W639" t="s">
        <v>1008</v>
      </c>
      <c r="X639" t="s">
        <v>1016</v>
      </c>
      <c r="Y639">
        <v>22653.38412</v>
      </c>
      <c r="Z639" s="2">
        <v>45140</v>
      </c>
      <c r="AA639" t="s">
        <v>1032</v>
      </c>
    </row>
    <row r="640" spans="1:27">
      <c r="A640" s="1" t="s">
        <v>665</v>
      </c>
      <c r="B640">
        <f>HYPERLINK("https://www.suredividend.com/sure-analysis-GRMN/","Garmin Ltd")</f>
        <v>0</v>
      </c>
      <c r="C640" t="s">
        <v>899</v>
      </c>
      <c r="D640">
        <v>104</v>
      </c>
      <c r="E640">
        <v>105.75</v>
      </c>
      <c r="F640">
        <v>99</v>
      </c>
      <c r="G640">
        <v>1.068181818181818</v>
      </c>
      <c r="H640">
        <v>0.02761229314420804</v>
      </c>
      <c r="I640">
        <v>-0.01310496582571075</v>
      </c>
      <c r="J640">
        <v>0.06</v>
      </c>
      <c r="K640">
        <v>0.07160428968424326</v>
      </c>
      <c r="L640" t="s">
        <v>825</v>
      </c>
      <c r="M640" t="s">
        <v>642</v>
      </c>
      <c r="N640">
        <v>20.33653846153846</v>
      </c>
      <c r="O640">
        <v>5.2</v>
      </c>
      <c r="P640">
        <v>2.92</v>
      </c>
      <c r="Q640">
        <v>0.5615384615384615</v>
      </c>
      <c r="R640">
        <v>5</v>
      </c>
      <c r="S640">
        <v>0.05018351330582038</v>
      </c>
      <c r="T640" t="s">
        <v>951</v>
      </c>
      <c r="U640">
        <v>0.171573455426305</v>
      </c>
      <c r="V640" t="s">
        <v>1004</v>
      </c>
      <c r="W640" t="s">
        <v>1009</v>
      </c>
      <c r="X640" t="s">
        <v>1016</v>
      </c>
      <c r="Y640">
        <v>20223.028072</v>
      </c>
      <c r="Z640" s="2">
        <v>45149</v>
      </c>
      <c r="AA640" t="s">
        <v>1030</v>
      </c>
    </row>
    <row r="641" spans="1:27">
      <c r="A641" s="1" t="s">
        <v>666</v>
      </c>
      <c r="B641">
        <f>HYPERLINK("https://www.suredividend.com/sure-analysis-NEWT/","NewtekOne Inc")</f>
        <v>0</v>
      </c>
      <c r="C641" t="s">
        <v>900</v>
      </c>
      <c r="D641">
        <v>18.51</v>
      </c>
      <c r="E641">
        <v>16.07</v>
      </c>
      <c r="F641">
        <v>18.5</v>
      </c>
      <c r="G641">
        <v>0.8686486486486487</v>
      </c>
      <c r="H641">
        <v>0.04480398257622899</v>
      </c>
      <c r="I641">
        <v>0.02856364591544125</v>
      </c>
      <c r="J641">
        <v>0</v>
      </c>
      <c r="K641">
        <v>0.07133922774933987</v>
      </c>
      <c r="L641" t="s">
        <v>825</v>
      </c>
      <c r="M641" t="s">
        <v>580</v>
      </c>
      <c r="N641">
        <v>8.686486486486487</v>
      </c>
      <c r="O641">
        <v>1.85</v>
      </c>
      <c r="P641">
        <v>0.72</v>
      </c>
      <c r="Q641">
        <v>0.3891891891891892</v>
      </c>
      <c r="R641">
        <v>0</v>
      </c>
      <c r="S641">
        <v>0.05024607263868264</v>
      </c>
      <c r="T641" t="s">
        <v>921</v>
      </c>
      <c r="U641">
        <v>-0.166284928996793</v>
      </c>
      <c r="V641" t="s">
        <v>1007</v>
      </c>
      <c r="W641" t="s">
        <v>1008</v>
      </c>
      <c r="X641" t="s">
        <v>1015</v>
      </c>
      <c r="Y641">
        <v>404.109178</v>
      </c>
      <c r="Z641" s="2">
        <v>45145</v>
      </c>
      <c r="AA641" t="s">
        <v>1032</v>
      </c>
    </row>
    <row r="642" spans="1:27">
      <c r="A642" s="1" t="s">
        <v>667</v>
      </c>
      <c r="B642">
        <f>HYPERLINK("https://www.suredividend.com/sure-analysis-PLD/","Prologis Inc")</f>
        <v>0</v>
      </c>
      <c r="C642" t="s">
        <v>899</v>
      </c>
      <c r="D642">
        <v>122</v>
      </c>
      <c r="E642">
        <v>121.24</v>
      </c>
      <c r="F642">
        <v>100</v>
      </c>
      <c r="G642">
        <v>1.2124</v>
      </c>
      <c r="H642">
        <v>0.02870339821840977</v>
      </c>
      <c r="I642">
        <v>-0.03778789883823463</v>
      </c>
      <c r="J642">
        <v>0.08</v>
      </c>
      <c r="K642">
        <v>0.06864697708319767</v>
      </c>
      <c r="L642" t="s">
        <v>825</v>
      </c>
      <c r="M642" t="s">
        <v>642</v>
      </c>
      <c r="N642">
        <v>21.72759856630824</v>
      </c>
      <c r="O642">
        <v>5.58</v>
      </c>
      <c r="P642">
        <v>3.48</v>
      </c>
      <c r="Q642">
        <v>0.6236559139784946</v>
      </c>
      <c r="R642">
        <v>9</v>
      </c>
      <c r="S642">
        <v>0.07986218022009695</v>
      </c>
      <c r="T642" t="s">
        <v>904</v>
      </c>
      <c r="U642">
        <v>-0.037073233114639</v>
      </c>
      <c r="V642" t="s">
        <v>1005</v>
      </c>
      <c r="W642" t="s">
        <v>1008</v>
      </c>
      <c r="X642" t="s">
        <v>1019</v>
      </c>
      <c r="Y642">
        <v>112692.68676</v>
      </c>
      <c r="Z642" s="2">
        <v>45125</v>
      </c>
      <c r="AA642" t="s">
        <v>1032</v>
      </c>
    </row>
    <row r="643" spans="1:27">
      <c r="A643" s="1" t="s">
        <v>668</v>
      </c>
      <c r="B643">
        <f>HYPERLINK("https://www.suredividend.com/sure-analysis-FNF/","Fidelity National Financial Inc")</f>
        <v>0</v>
      </c>
      <c r="C643" t="s">
        <v>899</v>
      </c>
      <c r="D643">
        <v>41</v>
      </c>
      <c r="E643">
        <v>42.17</v>
      </c>
      <c r="F643">
        <v>35</v>
      </c>
      <c r="G643">
        <v>1.204857142857143</v>
      </c>
      <c r="H643">
        <v>0.04268437277685559</v>
      </c>
      <c r="I643">
        <v>-0.03658614280541561</v>
      </c>
      <c r="J643">
        <v>0.07000000000000001</v>
      </c>
      <c r="K643">
        <v>0.06820690057173806</v>
      </c>
      <c r="L643" t="s">
        <v>825</v>
      </c>
      <c r="M643" t="s">
        <v>580</v>
      </c>
      <c r="N643">
        <v>10.95324675324675</v>
      </c>
      <c r="O643">
        <v>3.85</v>
      </c>
      <c r="P643">
        <v>1.8</v>
      </c>
      <c r="Q643">
        <v>0.4675324675324675</v>
      </c>
      <c r="R643">
        <v>12</v>
      </c>
      <c r="S643">
        <v>0.02027234317185655</v>
      </c>
      <c r="T643" t="s">
        <v>904</v>
      </c>
      <c r="U643">
        <v>0.066194024813697</v>
      </c>
      <c r="V643" t="s">
        <v>1004</v>
      </c>
      <c r="W643" t="s">
        <v>1008</v>
      </c>
      <c r="X643" t="s">
        <v>1015</v>
      </c>
      <c r="Y643">
        <v>11608.235686</v>
      </c>
      <c r="Z643" s="2">
        <v>45161</v>
      </c>
      <c r="AA643" t="s">
        <v>1026</v>
      </c>
    </row>
    <row r="644" spans="1:27">
      <c r="A644" s="1" t="s">
        <v>669</v>
      </c>
      <c r="B644">
        <f>HYPERLINK("https://www.suredividend.com/sure-analysis-REG/","Regency Centers Corporation")</f>
        <v>0</v>
      </c>
      <c r="C644" t="s">
        <v>899</v>
      </c>
      <c r="D644">
        <v>66</v>
      </c>
      <c r="E644">
        <v>63.02</v>
      </c>
      <c r="F644">
        <v>60</v>
      </c>
      <c r="G644">
        <v>1.050333333333333</v>
      </c>
      <c r="H644">
        <v>0.04125674389082831</v>
      </c>
      <c r="I644">
        <v>-0.009773441258511095</v>
      </c>
      <c r="J644">
        <v>0.04</v>
      </c>
      <c r="K644">
        <v>0.06768153312239655</v>
      </c>
      <c r="L644" t="s">
        <v>825</v>
      </c>
      <c r="M644" t="s">
        <v>825</v>
      </c>
      <c r="N644">
        <v>15.2590799031477</v>
      </c>
      <c r="O644">
        <v>4.13</v>
      </c>
      <c r="P644">
        <v>2.6</v>
      </c>
      <c r="Q644">
        <v>0.6295399515738499</v>
      </c>
      <c r="R644">
        <v>10</v>
      </c>
      <c r="S644">
        <v>0.03513507885904987</v>
      </c>
      <c r="T644" t="s">
        <v>972</v>
      </c>
      <c r="U644">
        <v>0.07316405676372001</v>
      </c>
      <c r="V644" t="s">
        <v>1005</v>
      </c>
      <c r="W644" t="s">
        <v>1008</v>
      </c>
      <c r="X644" t="s">
        <v>1019</v>
      </c>
      <c r="Y644">
        <v>10997.216885</v>
      </c>
      <c r="Z644" s="2">
        <v>45143</v>
      </c>
      <c r="AA644" t="s">
        <v>1032</v>
      </c>
    </row>
    <row r="645" spans="1:27">
      <c r="A645" s="1" t="s">
        <v>670</v>
      </c>
      <c r="B645">
        <f>HYPERLINK("https://www.suredividend.com/sure-analysis-E/","Eni Spa")</f>
        <v>0</v>
      </c>
      <c r="C645" t="s">
        <v>899</v>
      </c>
      <c r="D645">
        <v>30</v>
      </c>
      <c r="E645">
        <v>32.52</v>
      </c>
      <c r="F645">
        <v>63</v>
      </c>
      <c r="G645">
        <v>0.5161904761904762</v>
      </c>
      <c r="H645">
        <v>0.05842558425584255</v>
      </c>
      <c r="I645">
        <v>0.1414003529459471</v>
      </c>
      <c r="J645">
        <v>-0.11</v>
      </c>
      <c r="K645">
        <v>0.06701125208280723</v>
      </c>
      <c r="L645" t="s">
        <v>825</v>
      </c>
      <c r="M645" t="s">
        <v>902</v>
      </c>
      <c r="N645">
        <v>6.504</v>
      </c>
      <c r="O645">
        <v>5</v>
      </c>
      <c r="P645">
        <v>1.9</v>
      </c>
      <c r="Q645">
        <v>0.38</v>
      </c>
      <c r="R645">
        <v>2</v>
      </c>
      <c r="S645">
        <v>0.01031145931793609</v>
      </c>
      <c r="T645" t="s">
        <v>977</v>
      </c>
      <c r="U645">
        <v>0.432764670830482</v>
      </c>
      <c r="V645" t="s">
        <v>1004</v>
      </c>
      <c r="W645" t="s">
        <v>1009</v>
      </c>
      <c r="X645" t="s">
        <v>1020</v>
      </c>
      <c r="Y645">
        <v>54791.47202</v>
      </c>
      <c r="Z645" s="2">
        <v>45140</v>
      </c>
      <c r="AA645" t="s">
        <v>1022</v>
      </c>
    </row>
    <row r="646" spans="1:27">
      <c r="A646" s="1" t="s">
        <v>671</v>
      </c>
      <c r="B646">
        <f>HYPERLINK("https://www.suredividend.com/sure-analysis-AMH/","American Homes 4 Rent")</f>
        <v>0</v>
      </c>
      <c r="C646" t="s">
        <v>899</v>
      </c>
      <c r="D646">
        <v>37</v>
      </c>
      <c r="E646">
        <v>35.86</v>
      </c>
      <c r="F646">
        <v>34</v>
      </c>
      <c r="G646">
        <v>1.054705882352941</v>
      </c>
      <c r="H646">
        <v>0.0245398773006135</v>
      </c>
      <c r="I646">
        <v>-0.01059585294459453</v>
      </c>
      <c r="J646">
        <v>0.05</v>
      </c>
      <c r="K646">
        <v>0.06577627479884773</v>
      </c>
      <c r="L646" t="s">
        <v>825</v>
      </c>
      <c r="M646" t="s">
        <v>642</v>
      </c>
      <c r="N646">
        <v>21.86585365853659</v>
      </c>
      <c r="O646">
        <v>1.64</v>
      </c>
      <c r="P646">
        <v>0.88</v>
      </c>
      <c r="Q646">
        <v>0.5365853658536586</v>
      </c>
      <c r="R646">
        <v>3</v>
      </c>
      <c r="S646">
        <v>0.1004267384562354</v>
      </c>
      <c r="T646" t="s">
        <v>912</v>
      </c>
      <c r="U646">
        <v>-0.005691539891425</v>
      </c>
      <c r="V646" t="s">
        <v>1005</v>
      </c>
      <c r="W646" t="s">
        <v>1008</v>
      </c>
      <c r="X646" t="s">
        <v>1019</v>
      </c>
      <c r="Y646">
        <v>13124.822454</v>
      </c>
      <c r="Z646" s="2">
        <v>45137</v>
      </c>
      <c r="AA646" t="s">
        <v>1021</v>
      </c>
    </row>
    <row r="647" spans="1:27">
      <c r="A647" s="1" t="s">
        <v>672</v>
      </c>
      <c r="B647">
        <f>HYPERLINK("https://www.suredividend.com/sure-analysis-TAP/","Molson Coors Beverage Company")</f>
        <v>0</v>
      </c>
      <c r="C647" t="s">
        <v>899</v>
      </c>
      <c r="D647">
        <v>67</v>
      </c>
      <c r="E647">
        <v>63.23</v>
      </c>
      <c r="F647">
        <v>70</v>
      </c>
      <c r="G647">
        <v>0.9032857142857142</v>
      </c>
      <c r="H647">
        <v>0.02593705519531868</v>
      </c>
      <c r="I647">
        <v>0.02055160873286366</v>
      </c>
      <c r="J647">
        <v>0.02</v>
      </c>
      <c r="K647">
        <v>0.06477005761377441</v>
      </c>
      <c r="L647" t="s">
        <v>825</v>
      </c>
      <c r="M647" t="s">
        <v>825</v>
      </c>
      <c r="N647">
        <v>12.69678714859438</v>
      </c>
      <c r="O647">
        <v>4.98</v>
      </c>
      <c r="P647">
        <v>1.64</v>
      </c>
      <c r="Q647">
        <v>0.3293172690763052</v>
      </c>
      <c r="R647">
        <v>3</v>
      </c>
      <c r="S647">
        <v>0.04048836820440749</v>
      </c>
      <c r="T647" t="s">
        <v>916</v>
      </c>
      <c r="U647">
        <v>0.236862318253223</v>
      </c>
      <c r="V647" t="s">
        <v>1004</v>
      </c>
      <c r="W647" t="s">
        <v>1008</v>
      </c>
      <c r="X647" t="s">
        <v>1011</v>
      </c>
      <c r="Y647">
        <v>13047.422938</v>
      </c>
      <c r="Z647" s="2">
        <v>45142</v>
      </c>
      <c r="AA647" t="s">
        <v>1026</v>
      </c>
    </row>
    <row r="648" spans="1:27">
      <c r="A648" s="1" t="s">
        <v>673</v>
      </c>
      <c r="B648">
        <f>HYPERLINK("https://www.suredividend.com/sure-analysis-WY/","Weyerhaeuser Co.")</f>
        <v>0</v>
      </c>
      <c r="C648" t="s">
        <v>899</v>
      </c>
      <c r="D648">
        <v>34.2</v>
      </c>
      <c r="E648">
        <v>32.15</v>
      </c>
      <c r="F648">
        <v>27.5</v>
      </c>
      <c r="G648">
        <v>1.169090909090909</v>
      </c>
      <c r="H648">
        <v>0.02363919129082426</v>
      </c>
      <c r="I648">
        <v>-0.03076219965113269</v>
      </c>
      <c r="J648">
        <v>0.068</v>
      </c>
      <c r="K648">
        <v>0.06405304848452986</v>
      </c>
      <c r="L648" t="s">
        <v>825</v>
      </c>
      <c r="M648" t="s">
        <v>642</v>
      </c>
      <c r="N648">
        <v>19.84567901234568</v>
      </c>
      <c r="O648">
        <v>1.62</v>
      </c>
      <c r="P648">
        <v>0.76</v>
      </c>
      <c r="Q648">
        <v>0.4691358024691358</v>
      </c>
      <c r="R648">
        <v>1</v>
      </c>
      <c r="S648">
        <v>0.1347612291333644</v>
      </c>
      <c r="T648" t="s">
        <v>916</v>
      </c>
      <c r="U648">
        <v>-0.017178825362812</v>
      </c>
      <c r="V648" t="s">
        <v>1005</v>
      </c>
      <c r="W648" t="s">
        <v>1008</v>
      </c>
      <c r="X648" t="s">
        <v>1019</v>
      </c>
      <c r="Y648">
        <v>23595.85292</v>
      </c>
      <c r="Z648" s="2">
        <v>45145</v>
      </c>
      <c r="AA648" t="s">
        <v>1033</v>
      </c>
    </row>
    <row r="649" spans="1:27">
      <c r="A649" s="1" t="s">
        <v>674</v>
      </c>
      <c r="B649">
        <f>HYPERLINK("https://www.suredividend.com/sure-analysis-ALLY/","Ally Financial Inc")</f>
        <v>0</v>
      </c>
      <c r="C649" t="s">
        <v>899</v>
      </c>
      <c r="D649">
        <v>29</v>
      </c>
      <c r="E649">
        <v>28.35</v>
      </c>
      <c r="F649">
        <v>26</v>
      </c>
      <c r="G649">
        <v>1.090384615384616</v>
      </c>
      <c r="H649">
        <v>0.04232804232804233</v>
      </c>
      <c r="I649">
        <v>-0.01715720805013099</v>
      </c>
      <c r="J649">
        <v>0.04</v>
      </c>
      <c r="K649">
        <v>0.06361990746101576</v>
      </c>
      <c r="L649" t="s">
        <v>825</v>
      </c>
      <c r="M649" t="s">
        <v>580</v>
      </c>
      <c r="N649">
        <v>8.723076923076924</v>
      </c>
      <c r="O649">
        <v>3.25</v>
      </c>
      <c r="P649">
        <v>1.2</v>
      </c>
      <c r="Q649">
        <v>0.3692307692307692</v>
      </c>
      <c r="R649">
        <v>6</v>
      </c>
      <c r="S649">
        <v>0.04978904632428516</v>
      </c>
      <c r="T649" t="s">
        <v>957</v>
      </c>
      <c r="U649">
        <v>-0.129717817595402</v>
      </c>
      <c r="V649" t="s">
        <v>1004</v>
      </c>
      <c r="W649" t="s">
        <v>1008</v>
      </c>
      <c r="X649" t="s">
        <v>1015</v>
      </c>
      <c r="Y649">
        <v>8659.474829000001</v>
      </c>
      <c r="Z649" s="2">
        <v>45143</v>
      </c>
      <c r="AA649" t="s">
        <v>1028</v>
      </c>
    </row>
    <row r="650" spans="1:27">
      <c r="A650" s="1" t="s">
        <v>675</v>
      </c>
      <c r="B650">
        <f>HYPERLINK("https://www.suredividend.com/sure-analysis-BP/","BP plc")</f>
        <v>0</v>
      </c>
      <c r="C650" t="s">
        <v>899</v>
      </c>
      <c r="D650">
        <v>37</v>
      </c>
      <c r="E650">
        <v>38.26</v>
      </c>
      <c r="F650">
        <v>72</v>
      </c>
      <c r="G650">
        <v>0.5313888888888889</v>
      </c>
      <c r="H650">
        <v>0.04547830632514376</v>
      </c>
      <c r="I650">
        <v>0.1347952418483074</v>
      </c>
      <c r="J650">
        <v>-0.1</v>
      </c>
      <c r="K650">
        <v>0.06344757533623291</v>
      </c>
      <c r="L650" t="s">
        <v>825</v>
      </c>
      <c r="M650" t="s">
        <v>580</v>
      </c>
      <c r="N650">
        <v>6.376666666666666</v>
      </c>
      <c r="O650">
        <v>6</v>
      </c>
      <c r="P650">
        <v>1.74</v>
      </c>
      <c r="Q650">
        <v>0.29</v>
      </c>
      <c r="R650">
        <v>2</v>
      </c>
      <c r="S650">
        <v>0.0302922291651091</v>
      </c>
      <c r="T650" t="s">
        <v>915</v>
      </c>
      <c r="U650">
        <v>0.251946925336645</v>
      </c>
      <c r="V650" t="s">
        <v>1004</v>
      </c>
      <c r="W650" t="s">
        <v>1009</v>
      </c>
      <c r="X650" t="s">
        <v>1020</v>
      </c>
      <c r="Y650">
        <v>109298.894064</v>
      </c>
      <c r="Z650" s="2">
        <v>45140</v>
      </c>
      <c r="AA650" t="s">
        <v>1022</v>
      </c>
    </row>
    <row r="651" spans="1:27">
      <c r="A651" s="1" t="s">
        <v>676</v>
      </c>
      <c r="B651">
        <f>HYPERLINK("https://www.suredividend.com/sure-analysis-RPT/","RPT Realty")</f>
        <v>0</v>
      </c>
      <c r="C651" t="s">
        <v>899</v>
      </c>
      <c r="D651">
        <v>10.58</v>
      </c>
      <c r="E651">
        <v>11.26</v>
      </c>
      <c r="F651">
        <v>10.4</v>
      </c>
      <c r="G651">
        <v>1.082692307692308</v>
      </c>
      <c r="H651">
        <v>0.04973357015985791</v>
      </c>
      <c r="I651">
        <v>-0.0157645807236183</v>
      </c>
      <c r="J651">
        <v>0.025</v>
      </c>
      <c r="K651">
        <v>0.06333671218983872</v>
      </c>
      <c r="L651" t="s">
        <v>825</v>
      </c>
      <c r="M651" t="s">
        <v>580</v>
      </c>
      <c r="N651">
        <v>11.37373737373737</v>
      </c>
      <c r="O651">
        <v>0.99</v>
      </c>
      <c r="P651">
        <v>0.5600000000000001</v>
      </c>
      <c r="Q651">
        <v>0.5656565656565657</v>
      </c>
      <c r="R651">
        <v>3</v>
      </c>
      <c r="S651">
        <v>0.07925772298130362</v>
      </c>
      <c r="T651" t="s">
        <v>951</v>
      </c>
      <c r="U651">
        <v>0.216032826474894</v>
      </c>
      <c r="V651" t="s">
        <v>1005</v>
      </c>
      <c r="W651" t="s">
        <v>1008</v>
      </c>
      <c r="X651" t="s">
        <v>1019</v>
      </c>
      <c r="Y651">
        <v>987.418816</v>
      </c>
      <c r="Z651" s="2">
        <v>45142</v>
      </c>
      <c r="AA651" t="s">
        <v>1032</v>
      </c>
    </row>
    <row r="652" spans="1:27">
      <c r="A652" s="1" t="s">
        <v>677</v>
      </c>
      <c r="B652">
        <f>HYPERLINK("https://www.suredividend.com/sure-analysis-EXPO/","Exponent Inc.")</f>
        <v>0</v>
      </c>
      <c r="C652" t="s">
        <v>899</v>
      </c>
      <c r="D652">
        <v>93</v>
      </c>
      <c r="E652">
        <v>90.28</v>
      </c>
      <c r="F652">
        <v>79</v>
      </c>
      <c r="G652">
        <v>1.142784810126582</v>
      </c>
      <c r="H652">
        <v>0.01151971643774923</v>
      </c>
      <c r="I652">
        <v>-0.0263404942689297</v>
      </c>
      <c r="J652">
        <v>0.08</v>
      </c>
      <c r="K652">
        <v>0.06323775062042936</v>
      </c>
      <c r="L652" t="s">
        <v>825</v>
      </c>
      <c r="M652" t="s">
        <v>642</v>
      </c>
      <c r="N652">
        <v>43.40384615384615</v>
      </c>
      <c r="O652">
        <v>2.08</v>
      </c>
      <c r="P652">
        <v>1.04</v>
      </c>
      <c r="Q652">
        <v>0.5</v>
      </c>
      <c r="R652">
        <v>10</v>
      </c>
      <c r="S652">
        <v>0.08026826569151013</v>
      </c>
      <c r="T652" t="s">
        <v>924</v>
      </c>
      <c r="U652">
        <v>-0.046212560479328</v>
      </c>
      <c r="V652" t="s">
        <v>1004</v>
      </c>
      <c r="W652" t="s">
        <v>1008</v>
      </c>
      <c r="X652" t="s">
        <v>1012</v>
      </c>
      <c r="Y652">
        <v>4541.827321</v>
      </c>
      <c r="Z652" s="2">
        <v>45138</v>
      </c>
      <c r="AA652" t="s">
        <v>1026</v>
      </c>
    </row>
    <row r="653" spans="1:27">
      <c r="A653" s="1" t="s">
        <v>678</v>
      </c>
      <c r="B653">
        <f>HYPERLINK("https://www.suredividend.com/sure-analysis-FR/","First Industrial Realty Trust, Inc.")</f>
        <v>0</v>
      </c>
      <c r="C653" t="s">
        <v>899</v>
      </c>
      <c r="D653">
        <v>51</v>
      </c>
      <c r="E653">
        <v>50.12</v>
      </c>
      <c r="F653">
        <v>45</v>
      </c>
      <c r="G653">
        <v>1.113777777777778</v>
      </c>
      <c r="H653">
        <v>0.02553870710295291</v>
      </c>
      <c r="I653">
        <v>-0.0213209532544717</v>
      </c>
      <c r="J653">
        <v>0.06</v>
      </c>
      <c r="K653">
        <v>0.06248077070896985</v>
      </c>
      <c r="L653" t="s">
        <v>825</v>
      </c>
      <c r="M653" t="s">
        <v>642</v>
      </c>
      <c r="N653">
        <v>20.62551440329218</v>
      </c>
      <c r="O653">
        <v>2.43</v>
      </c>
      <c r="P653">
        <v>1.28</v>
      </c>
      <c r="Q653">
        <v>0.5267489711934156</v>
      </c>
      <c r="R653">
        <v>11</v>
      </c>
      <c r="S653">
        <v>0.05963727749054959</v>
      </c>
      <c r="T653" t="s">
        <v>911</v>
      </c>
      <c r="U653">
        <v>-0.031736359420689</v>
      </c>
      <c r="V653" t="s">
        <v>1005</v>
      </c>
      <c r="W653" t="s">
        <v>1008</v>
      </c>
      <c r="X653" t="s">
        <v>1019</v>
      </c>
      <c r="Y653">
        <v>6682.795226</v>
      </c>
      <c r="Z653" s="2">
        <v>45145</v>
      </c>
      <c r="AA653" t="s">
        <v>1027</v>
      </c>
    </row>
    <row r="654" spans="1:27">
      <c r="A654" s="1" t="s">
        <v>679</v>
      </c>
      <c r="B654">
        <f>HYPERLINK("https://www.suredividend.com/sure-analysis-SU/","Suncor Energy, Inc.")</f>
        <v>0</v>
      </c>
      <c r="C654" t="s">
        <v>899</v>
      </c>
      <c r="D654">
        <v>33</v>
      </c>
      <c r="E654">
        <v>34.39</v>
      </c>
      <c r="F654">
        <v>51</v>
      </c>
      <c r="G654">
        <v>0.6743137254901961</v>
      </c>
      <c r="H654">
        <v>0.04536202384414074</v>
      </c>
      <c r="I654">
        <v>0.08200084529307339</v>
      </c>
      <c r="J654">
        <v>-0.06</v>
      </c>
      <c r="K654">
        <v>0.05906728592247212</v>
      </c>
      <c r="L654" t="s">
        <v>825</v>
      </c>
      <c r="M654" t="s">
        <v>580</v>
      </c>
      <c r="N654">
        <v>8.817948717948719</v>
      </c>
      <c r="O654">
        <v>3.9</v>
      </c>
      <c r="P654">
        <v>1.56</v>
      </c>
      <c r="Q654">
        <v>0.4</v>
      </c>
      <c r="R654">
        <v>2</v>
      </c>
      <c r="S654">
        <v>0.02441897433224605</v>
      </c>
      <c r="T654" t="s">
        <v>916</v>
      </c>
      <c r="U654">
        <v>0.125896264130583</v>
      </c>
      <c r="V654" t="s">
        <v>1004</v>
      </c>
      <c r="W654" t="s">
        <v>1009</v>
      </c>
      <c r="X654" t="s">
        <v>1020</v>
      </c>
      <c r="Y654">
        <v>45065.573989</v>
      </c>
      <c r="Z654" s="2">
        <v>45167</v>
      </c>
      <c r="AA654" t="s">
        <v>1022</v>
      </c>
    </row>
    <row r="655" spans="1:27">
      <c r="A655" s="1" t="s">
        <v>680</v>
      </c>
      <c r="B655">
        <f>HYPERLINK("https://www.suredividend.com/sure-analysis-SCHL/","Scholastic Corp.")</f>
        <v>0</v>
      </c>
      <c r="C655" t="s">
        <v>899</v>
      </c>
      <c r="D655">
        <v>43</v>
      </c>
      <c r="E655">
        <v>41.79</v>
      </c>
      <c r="F655">
        <v>44</v>
      </c>
      <c r="G655">
        <v>0.9497727272727272</v>
      </c>
      <c r="H655">
        <v>0.0191433357262503</v>
      </c>
      <c r="I655">
        <v>0.01035980651915858</v>
      </c>
      <c r="J655">
        <v>0.03</v>
      </c>
      <c r="K655">
        <v>0.05840502392147151</v>
      </c>
      <c r="L655" t="s">
        <v>825</v>
      </c>
      <c r="M655" t="s">
        <v>642</v>
      </c>
      <c r="N655">
        <v>16.07307692307692</v>
      </c>
      <c r="O655">
        <v>2.6</v>
      </c>
      <c r="P655">
        <v>0.8</v>
      </c>
      <c r="Q655">
        <v>0.3076923076923077</v>
      </c>
      <c r="R655">
        <v>1</v>
      </c>
      <c r="S655">
        <v>0.03928904495613805</v>
      </c>
      <c r="T655" t="s">
        <v>925</v>
      </c>
      <c r="U655">
        <v>-0.06011663913886001</v>
      </c>
      <c r="V655" t="s">
        <v>1004</v>
      </c>
      <c r="W655" t="s">
        <v>1008</v>
      </c>
      <c r="X655" t="s">
        <v>1017</v>
      </c>
      <c r="Y655">
        <v>1298.68522</v>
      </c>
      <c r="Z655" s="2">
        <v>45170</v>
      </c>
      <c r="AA655" t="s">
        <v>1028</v>
      </c>
    </row>
    <row r="656" spans="1:27">
      <c r="A656" s="1" t="s">
        <v>681</v>
      </c>
      <c r="B656">
        <f>HYPERLINK("https://www.suredividend.com/sure-analysis-IFF/","International Flavors &amp; Fragrances Inc.")</f>
        <v>0</v>
      </c>
      <c r="C656" t="s">
        <v>899</v>
      </c>
      <c r="D656">
        <v>70</v>
      </c>
      <c r="E656">
        <v>67.53</v>
      </c>
      <c r="F656">
        <v>66</v>
      </c>
      <c r="G656">
        <v>1.023181818181818</v>
      </c>
      <c r="H656">
        <v>0.04797867614393603</v>
      </c>
      <c r="I656">
        <v>-0.004572952379240935</v>
      </c>
      <c r="J656">
        <v>0.02</v>
      </c>
      <c r="K656">
        <v>0.05812955061136593</v>
      </c>
      <c r="L656" t="s">
        <v>825</v>
      </c>
      <c r="M656" t="s">
        <v>902</v>
      </c>
      <c r="N656">
        <v>20.40181268882175</v>
      </c>
      <c r="O656">
        <v>3.31</v>
      </c>
      <c r="P656">
        <v>3.24</v>
      </c>
      <c r="Q656">
        <v>0.9788519637462236</v>
      </c>
      <c r="R656">
        <v>21</v>
      </c>
      <c r="S656">
        <v>0.01028027494046713</v>
      </c>
      <c r="T656" t="s">
        <v>934</v>
      </c>
      <c r="U656">
        <v>-0.3969261832334851</v>
      </c>
      <c r="V656" t="s">
        <v>1004</v>
      </c>
      <c r="W656" t="s">
        <v>1008</v>
      </c>
      <c r="X656" t="s">
        <v>1010</v>
      </c>
      <c r="Y656">
        <v>17382.702401</v>
      </c>
      <c r="Z656" s="2">
        <v>45170</v>
      </c>
      <c r="AA656" t="s">
        <v>1029</v>
      </c>
    </row>
    <row r="657" spans="1:27">
      <c r="A657" s="1" t="s">
        <v>682</v>
      </c>
      <c r="B657">
        <f>HYPERLINK("https://www.suredividend.com/sure-analysis-VALE/","Vale S.A.")</f>
        <v>0</v>
      </c>
      <c r="C657" t="s">
        <v>899</v>
      </c>
      <c r="D657">
        <v>13</v>
      </c>
      <c r="E657">
        <v>13.7</v>
      </c>
      <c r="F657">
        <v>13</v>
      </c>
      <c r="G657">
        <v>1.053846153846154</v>
      </c>
      <c r="H657">
        <v>0.05547445255474453</v>
      </c>
      <c r="I657">
        <v>-0.01043447426357846</v>
      </c>
      <c r="J657">
        <v>0.02</v>
      </c>
      <c r="K657">
        <v>0.05790290438584078</v>
      </c>
      <c r="L657" t="s">
        <v>825</v>
      </c>
      <c r="M657" t="s">
        <v>580</v>
      </c>
      <c r="N657">
        <v>7.210526315789473</v>
      </c>
      <c r="O657">
        <v>1.9</v>
      </c>
      <c r="P657">
        <v>0.76</v>
      </c>
      <c r="Q657">
        <v>0.4</v>
      </c>
      <c r="R657">
        <v>0</v>
      </c>
      <c r="S657">
        <v>0</v>
      </c>
      <c r="T657" t="s">
        <v>917</v>
      </c>
      <c r="U657">
        <v>0.04445860948767701</v>
      </c>
      <c r="V657" t="s">
        <v>1004</v>
      </c>
      <c r="W657" t="s">
        <v>1009</v>
      </c>
      <c r="X657" t="s">
        <v>1010</v>
      </c>
      <c r="Y657">
        <v>61730.502925</v>
      </c>
      <c r="Z657" s="2">
        <v>45163</v>
      </c>
      <c r="AA657" t="s">
        <v>1028</v>
      </c>
    </row>
    <row r="658" spans="1:27">
      <c r="A658" s="1" t="s">
        <v>683</v>
      </c>
      <c r="B658">
        <f>HYPERLINK("https://www.suredividend.com/sure-analysis-NTR/","Nutrien Ltd")</f>
        <v>0</v>
      </c>
      <c r="C658" t="s">
        <v>898</v>
      </c>
      <c r="D658">
        <v>66</v>
      </c>
      <c r="E658">
        <v>62.95</v>
      </c>
      <c r="F658">
        <v>65</v>
      </c>
      <c r="G658">
        <v>0.9684615384615385</v>
      </c>
      <c r="H658">
        <v>0.03304209690230341</v>
      </c>
      <c r="I658">
        <v>0.006429885408206326</v>
      </c>
      <c r="J658">
        <v>0.02</v>
      </c>
      <c r="K658">
        <v>0.05638962952678161</v>
      </c>
      <c r="L658" t="s">
        <v>825</v>
      </c>
      <c r="M658" t="s">
        <v>825</v>
      </c>
      <c r="N658">
        <v>12.08253358925144</v>
      </c>
      <c r="O658">
        <v>5.21</v>
      </c>
      <c r="P658">
        <v>2.08</v>
      </c>
      <c r="Q658">
        <v>0.399232245681382</v>
      </c>
      <c r="R658">
        <v>5</v>
      </c>
      <c r="S658">
        <v>0.02031177855938826</v>
      </c>
      <c r="T658" t="s">
        <v>911</v>
      </c>
      <c r="U658">
        <v>-0.28733969952395</v>
      </c>
      <c r="V658" t="s">
        <v>1004</v>
      </c>
      <c r="W658" t="s">
        <v>1009</v>
      </c>
      <c r="X658" t="s">
        <v>1010</v>
      </c>
      <c r="Y658">
        <v>31143.765372</v>
      </c>
      <c r="Z658" s="2">
        <v>45155</v>
      </c>
      <c r="AA658" t="s">
        <v>1027</v>
      </c>
    </row>
    <row r="659" spans="1:27">
      <c r="A659" s="1" t="s">
        <v>684</v>
      </c>
      <c r="B659">
        <f>HYPERLINK("https://www.suredividend.com/sure-analysis-PKG/","Packaging Corp Of America")</f>
        <v>0</v>
      </c>
      <c r="C659" t="s">
        <v>899</v>
      </c>
      <c r="D659">
        <v>148</v>
      </c>
      <c r="E659">
        <v>147.56</v>
      </c>
      <c r="F659">
        <v>126</v>
      </c>
      <c r="G659">
        <v>1.171111111111111</v>
      </c>
      <c r="H659">
        <v>0.03388452155055571</v>
      </c>
      <c r="I659">
        <v>-0.03109682351836651</v>
      </c>
      <c r="J659">
        <v>0.055</v>
      </c>
      <c r="K659">
        <v>0.05590385166845069</v>
      </c>
      <c r="L659" t="s">
        <v>825</v>
      </c>
      <c r="M659" t="s">
        <v>825</v>
      </c>
      <c r="N659">
        <v>18.67848101265823</v>
      </c>
      <c r="O659">
        <v>7.9</v>
      </c>
      <c r="P659">
        <v>5</v>
      </c>
      <c r="Q659">
        <v>0.6329113924050632</v>
      </c>
      <c r="R659">
        <v>12</v>
      </c>
      <c r="S659">
        <v>0.04995366747811136</v>
      </c>
      <c r="T659" t="s">
        <v>912</v>
      </c>
      <c r="U659">
        <v>0.076111295800266</v>
      </c>
      <c r="V659" t="s">
        <v>1004</v>
      </c>
      <c r="W659" t="s">
        <v>1008</v>
      </c>
      <c r="X659" t="s">
        <v>1010</v>
      </c>
      <c r="Y659">
        <v>13213.920304</v>
      </c>
      <c r="Z659" s="2">
        <v>45134</v>
      </c>
      <c r="AA659" t="s">
        <v>1026</v>
      </c>
    </row>
    <row r="660" spans="1:27">
      <c r="A660" s="1" t="s">
        <v>685</v>
      </c>
      <c r="B660">
        <f>HYPERLINK("https://www.suredividend.com/sure-analysis-CNP/","Centerpoint Energy Inc.")</f>
        <v>0</v>
      </c>
      <c r="C660" t="s">
        <v>899</v>
      </c>
      <c r="D660">
        <v>30.1</v>
      </c>
      <c r="E660">
        <v>28.64</v>
      </c>
      <c r="F660">
        <v>23.8</v>
      </c>
      <c r="G660">
        <v>1.203361344537815</v>
      </c>
      <c r="H660">
        <v>0.02653631284916201</v>
      </c>
      <c r="I660">
        <v>-0.03634675388739983</v>
      </c>
      <c r="J660">
        <v>0.068</v>
      </c>
      <c r="K660">
        <v>0.05574460684624594</v>
      </c>
      <c r="L660" t="s">
        <v>825</v>
      </c>
      <c r="M660" t="s">
        <v>642</v>
      </c>
      <c r="N660">
        <v>19.22147651006711</v>
      </c>
      <c r="O660">
        <v>1.49</v>
      </c>
      <c r="P660">
        <v>0.76</v>
      </c>
      <c r="Q660">
        <v>0.5100671140939598</v>
      </c>
      <c r="R660">
        <v>3</v>
      </c>
      <c r="S660">
        <v>0.05642162229904302</v>
      </c>
      <c r="T660" t="s">
        <v>936</v>
      </c>
      <c r="U660">
        <v>-0.122456130558682</v>
      </c>
      <c r="V660" t="s">
        <v>1004</v>
      </c>
      <c r="W660" t="s">
        <v>1008</v>
      </c>
      <c r="X660" t="s">
        <v>1018</v>
      </c>
      <c r="Y660">
        <v>17862.509719</v>
      </c>
      <c r="Z660" s="2">
        <v>45140</v>
      </c>
      <c r="AA660" t="s">
        <v>1033</v>
      </c>
    </row>
    <row r="661" spans="1:27">
      <c r="A661" s="1" t="s">
        <v>686</v>
      </c>
      <c r="B661">
        <f>HYPERLINK("https://www.suredividend.com/sure-analysis-CMP/","Compass Minerals International Inc")</f>
        <v>0</v>
      </c>
      <c r="C661" t="s">
        <v>900</v>
      </c>
      <c r="D661">
        <v>34</v>
      </c>
      <c r="E661">
        <v>29.05</v>
      </c>
      <c r="F661">
        <v>27</v>
      </c>
      <c r="G661">
        <v>1.075925925925926</v>
      </c>
      <c r="H661">
        <v>0.02065404475043029</v>
      </c>
      <c r="I661">
        <v>-0.01452973314030781</v>
      </c>
      <c r="J661">
        <v>0.05</v>
      </c>
      <c r="K661">
        <v>0.05216391908714701</v>
      </c>
      <c r="L661" t="s">
        <v>825</v>
      </c>
      <c r="M661" t="s">
        <v>642</v>
      </c>
      <c r="N661">
        <v>19.36666666666667</v>
      </c>
      <c r="O661">
        <v>1.5</v>
      </c>
      <c r="P661">
        <v>0.6</v>
      </c>
      <c r="Q661">
        <v>0.4</v>
      </c>
      <c r="R661">
        <v>0</v>
      </c>
      <c r="S661">
        <v>0</v>
      </c>
      <c r="T661" t="s">
        <v>962</v>
      </c>
      <c r="U661">
        <v>-0.302178050327764</v>
      </c>
      <c r="V661" t="s">
        <v>1004</v>
      </c>
      <c r="W661" t="s">
        <v>1008</v>
      </c>
      <c r="X661" t="s">
        <v>1010</v>
      </c>
      <c r="Y661">
        <v>1195.013685</v>
      </c>
      <c r="Z661" s="2">
        <v>45152</v>
      </c>
      <c r="AA661" t="s">
        <v>1032</v>
      </c>
    </row>
    <row r="662" spans="1:27">
      <c r="A662" s="1" t="s">
        <v>687</v>
      </c>
      <c r="B662">
        <f>HYPERLINK("https://www.suredividend.com/sure-analysis-SSREY/","Swiss Re Ltd")</f>
        <v>0</v>
      </c>
      <c r="C662" t="s">
        <v>899</v>
      </c>
      <c r="D662">
        <v>25</v>
      </c>
      <c r="E662">
        <v>25.66</v>
      </c>
      <c r="F662">
        <v>25</v>
      </c>
      <c r="G662">
        <v>1.0264</v>
      </c>
      <c r="H662">
        <v>0.06235385814497273</v>
      </c>
      <c r="I662">
        <v>-0.005197950521842243</v>
      </c>
      <c r="J662">
        <v>0</v>
      </c>
      <c r="K662">
        <v>0.05160213115601042</v>
      </c>
      <c r="L662" t="s">
        <v>825</v>
      </c>
      <c r="M662" t="s">
        <v>580</v>
      </c>
      <c r="N662">
        <v>8.553333333333333</v>
      </c>
      <c r="O662">
        <v>3</v>
      </c>
      <c r="P662">
        <v>1.6</v>
      </c>
      <c r="Q662">
        <v>0.5333333333333333</v>
      </c>
      <c r="R662">
        <v>0</v>
      </c>
      <c r="S662">
        <v>0</v>
      </c>
      <c r="T662" t="s">
        <v>993</v>
      </c>
      <c r="U662">
        <v>0.167505720823798</v>
      </c>
      <c r="V662" t="s">
        <v>1004</v>
      </c>
      <c r="W662" t="s">
        <v>1009</v>
      </c>
      <c r="X662" t="s">
        <v>1015</v>
      </c>
      <c r="Y662">
        <v>32397.425104</v>
      </c>
      <c r="Z662" s="2">
        <v>45144</v>
      </c>
      <c r="AA662" t="s">
        <v>1032</v>
      </c>
    </row>
    <row r="663" spans="1:27">
      <c r="A663" s="1" t="s">
        <v>688</v>
      </c>
      <c r="B663">
        <f>HYPERLINK("https://www.suredividend.com/sure-analysis-SBS/","Companhia de Saneamento Basico do Estado de Sao Paulo.")</f>
        <v>0</v>
      </c>
      <c r="C663" t="s">
        <v>899</v>
      </c>
      <c r="D663">
        <v>11.4</v>
      </c>
      <c r="E663">
        <v>12.19</v>
      </c>
      <c r="F663">
        <v>11</v>
      </c>
      <c r="G663">
        <v>1.108181818181818</v>
      </c>
      <c r="H663">
        <v>0.02296964725184578</v>
      </c>
      <c r="I663">
        <v>-0.02033454117109945</v>
      </c>
      <c r="J663">
        <v>0.05</v>
      </c>
      <c r="K663">
        <v>0.05152343291632877</v>
      </c>
      <c r="L663" t="s">
        <v>825</v>
      </c>
      <c r="M663" t="s">
        <v>825</v>
      </c>
      <c r="N663">
        <v>12.19</v>
      </c>
      <c r="O663">
        <v>1</v>
      </c>
      <c r="P663">
        <v>0.28</v>
      </c>
      <c r="Q663">
        <v>0.28</v>
      </c>
      <c r="R663">
        <v>2</v>
      </c>
      <c r="S663">
        <v>0.05154749679728043</v>
      </c>
      <c r="T663" t="s">
        <v>991</v>
      </c>
      <c r="U663">
        <v>0.207048190944105</v>
      </c>
      <c r="V663" t="s">
        <v>1004</v>
      </c>
      <c r="W663" t="s">
        <v>1009</v>
      </c>
      <c r="X663" t="s">
        <v>1018</v>
      </c>
      <c r="Y663">
        <v>8161.107836</v>
      </c>
      <c r="Z663" s="2">
        <v>45152</v>
      </c>
      <c r="AA663" t="s">
        <v>1032</v>
      </c>
    </row>
    <row r="664" spans="1:27">
      <c r="A664" s="1" t="s">
        <v>689</v>
      </c>
      <c r="B664">
        <f>HYPERLINK("https://www.suredividend.com/sure-analysis-JJSF/","J&amp;J Snack Foods Corp.")</f>
        <v>0</v>
      </c>
      <c r="C664" t="s">
        <v>899</v>
      </c>
      <c r="D664">
        <v>174</v>
      </c>
      <c r="E664">
        <v>171.1</v>
      </c>
      <c r="F664">
        <v>144</v>
      </c>
      <c r="G664">
        <v>1.188194444444444</v>
      </c>
      <c r="H664">
        <v>0.01636469900642899</v>
      </c>
      <c r="I664">
        <v>-0.03389907815250137</v>
      </c>
      <c r="J664">
        <v>0.07000000000000001</v>
      </c>
      <c r="K664">
        <v>0.04940079256598318</v>
      </c>
      <c r="L664" t="s">
        <v>825</v>
      </c>
      <c r="M664" t="s">
        <v>642</v>
      </c>
      <c r="N664">
        <v>41.73170731707317</v>
      </c>
      <c r="O664">
        <v>4.1</v>
      </c>
      <c r="P664">
        <v>2.8</v>
      </c>
      <c r="Q664">
        <v>0.6829268292682927</v>
      </c>
      <c r="R664">
        <v>19</v>
      </c>
      <c r="S664">
        <v>0.04020579649530265</v>
      </c>
      <c r="T664" t="s">
        <v>951</v>
      </c>
      <c r="U664">
        <v>0.180707598889684</v>
      </c>
      <c r="V664" t="s">
        <v>1004</v>
      </c>
      <c r="W664" t="s">
        <v>1008</v>
      </c>
      <c r="X664" t="s">
        <v>1011</v>
      </c>
      <c r="Y664">
        <v>3254.960683</v>
      </c>
      <c r="Z664" s="2">
        <v>45141</v>
      </c>
      <c r="AA664" t="s">
        <v>1023</v>
      </c>
    </row>
    <row r="665" spans="1:27">
      <c r="A665" s="1" t="s">
        <v>690</v>
      </c>
      <c r="B665">
        <f>HYPERLINK("https://www.suredividend.com/sure-analysis-SKT/","Tanger Factory Outlet Centers, Inc.")</f>
        <v>0</v>
      </c>
      <c r="C665" t="s">
        <v>899</v>
      </c>
      <c r="D665">
        <v>24</v>
      </c>
      <c r="E665">
        <v>22.92</v>
      </c>
      <c r="F665">
        <v>21</v>
      </c>
      <c r="G665">
        <v>1.091428571428571</v>
      </c>
      <c r="H665">
        <v>0.03839441535776614</v>
      </c>
      <c r="I665">
        <v>-0.01734529868503976</v>
      </c>
      <c r="J665">
        <v>0.03</v>
      </c>
      <c r="K665">
        <v>0.04719730046943349</v>
      </c>
      <c r="L665" t="s">
        <v>825</v>
      </c>
      <c r="M665" t="s">
        <v>825</v>
      </c>
      <c r="N665">
        <v>12.12698412698413</v>
      </c>
      <c r="O665">
        <v>1.89</v>
      </c>
      <c r="P665">
        <v>0.88</v>
      </c>
      <c r="Q665">
        <v>0.4656084656084656</v>
      </c>
      <c r="R665">
        <v>3</v>
      </c>
      <c r="S665">
        <v>0.008929989071996269</v>
      </c>
      <c r="T665" t="s">
        <v>918</v>
      </c>
      <c r="U665">
        <v>0.5174216372840851</v>
      </c>
      <c r="V665" t="s">
        <v>1005</v>
      </c>
      <c r="W665" t="s">
        <v>1008</v>
      </c>
      <c r="X665" t="s">
        <v>1019</v>
      </c>
      <c r="Y665">
        <v>2418.094545</v>
      </c>
      <c r="Z665" s="2">
        <v>45145</v>
      </c>
      <c r="AA665" t="s">
        <v>1026</v>
      </c>
    </row>
    <row r="666" spans="1:27">
      <c r="A666" s="1" t="s">
        <v>691</v>
      </c>
      <c r="B666">
        <f>HYPERLINK("https://www.suredividend.com/sure-analysis-FUN/","Cedar Fair L.P.")</f>
        <v>0</v>
      </c>
      <c r="C666" t="s">
        <v>899</v>
      </c>
      <c r="D666">
        <v>39</v>
      </c>
      <c r="E666">
        <v>39.45</v>
      </c>
      <c r="F666">
        <v>37</v>
      </c>
      <c r="G666">
        <v>1.066216216216216</v>
      </c>
      <c r="H666">
        <v>0.03041825095057034</v>
      </c>
      <c r="I666">
        <v>-0.01274135966288847</v>
      </c>
      <c r="J666">
        <v>0.03</v>
      </c>
      <c r="K666">
        <v>0.04623037686871623</v>
      </c>
      <c r="L666" t="s">
        <v>825</v>
      </c>
      <c r="M666" t="s">
        <v>825</v>
      </c>
      <c r="N666">
        <v>16.16803278688525</v>
      </c>
      <c r="O666">
        <v>2.44</v>
      </c>
      <c r="P666">
        <v>1.2</v>
      </c>
      <c r="Q666">
        <v>0.4918032786885246</v>
      </c>
      <c r="R666">
        <v>0</v>
      </c>
      <c r="S666">
        <v>0.02983277847878951</v>
      </c>
      <c r="T666" t="s">
        <v>940</v>
      </c>
      <c r="U666">
        <v>-0.09701632748452201</v>
      </c>
      <c r="V666" t="s">
        <v>1004</v>
      </c>
      <c r="W666" t="s">
        <v>1008</v>
      </c>
      <c r="X666" t="s">
        <v>1013</v>
      </c>
      <c r="Y666">
        <v>2012.458132</v>
      </c>
      <c r="Z666" s="2">
        <v>45155</v>
      </c>
      <c r="AA666" t="s">
        <v>1021</v>
      </c>
    </row>
    <row r="667" spans="1:27">
      <c r="A667" s="1" t="s">
        <v>692</v>
      </c>
      <c r="B667">
        <f>HYPERLINK("https://www.suredividend.com/sure-analysis-HEP/","Holly Energy Partners L.P.")</f>
        <v>0</v>
      </c>
      <c r="C667" t="s">
        <v>899</v>
      </c>
      <c r="D667">
        <v>22</v>
      </c>
      <c r="E667">
        <v>23.28</v>
      </c>
      <c r="F667">
        <v>20</v>
      </c>
      <c r="G667">
        <v>1.164</v>
      </c>
      <c r="H667">
        <v>0.06013745704467353</v>
      </c>
      <c r="I667">
        <v>-0.0299158608568646</v>
      </c>
      <c r="J667">
        <v>0.02</v>
      </c>
      <c r="K667">
        <v>0.04550740255619701</v>
      </c>
      <c r="L667" t="s">
        <v>825</v>
      </c>
      <c r="M667" t="s">
        <v>580</v>
      </c>
      <c r="N667">
        <v>8.78490566037736</v>
      </c>
      <c r="O667">
        <v>2.65</v>
      </c>
      <c r="P667">
        <v>1.4</v>
      </c>
      <c r="Q667">
        <v>0.5283018867924528</v>
      </c>
      <c r="R667">
        <v>0</v>
      </c>
      <c r="S667">
        <v>0</v>
      </c>
      <c r="T667" t="s">
        <v>918</v>
      </c>
      <c r="U667">
        <v>0.349999710920833</v>
      </c>
      <c r="V667" t="s">
        <v>1006</v>
      </c>
      <c r="W667" t="s">
        <v>1008</v>
      </c>
      <c r="X667" t="s">
        <v>1020</v>
      </c>
      <c r="Y667">
        <v>2952.378693</v>
      </c>
      <c r="Z667" s="2">
        <v>45157</v>
      </c>
      <c r="AA667" t="s">
        <v>1022</v>
      </c>
    </row>
    <row r="668" spans="1:27">
      <c r="A668" s="1" t="s">
        <v>693</v>
      </c>
      <c r="B668">
        <f>HYPERLINK("https://www.suredividend.com/sure-analysis-FRFHF/","Fairfax Financial Holdings, Ltd.")</f>
        <v>0</v>
      </c>
      <c r="C668" t="s">
        <v>899</v>
      </c>
      <c r="D668">
        <v>830</v>
      </c>
      <c r="E668">
        <v>835.37</v>
      </c>
      <c r="F668">
        <v>850</v>
      </c>
      <c r="G668">
        <v>0.9827882352941176</v>
      </c>
      <c r="H668">
        <v>0.01197074350287896</v>
      </c>
      <c r="I668">
        <v>0.003478357294442569</v>
      </c>
      <c r="J668">
        <v>0.03</v>
      </c>
      <c r="K668">
        <v>0.04386522040644314</v>
      </c>
      <c r="L668" t="s">
        <v>825</v>
      </c>
      <c r="M668" t="s">
        <v>642</v>
      </c>
      <c r="N668">
        <v>26.1053125</v>
      </c>
      <c r="O668">
        <v>32</v>
      </c>
      <c r="P668">
        <v>10</v>
      </c>
      <c r="Q668">
        <v>0.3125</v>
      </c>
      <c r="R668">
        <v>0</v>
      </c>
      <c r="S668">
        <v>0</v>
      </c>
      <c r="T668" t="s">
        <v>994</v>
      </c>
      <c r="U668">
        <v>0.64383177627289</v>
      </c>
      <c r="V668" t="s">
        <v>1004</v>
      </c>
      <c r="W668" t="s">
        <v>1009</v>
      </c>
      <c r="X668" t="s">
        <v>1015</v>
      </c>
      <c r="Y668">
        <v>19406.030994</v>
      </c>
      <c r="Z668" s="2">
        <v>45162</v>
      </c>
      <c r="AA668" t="s">
        <v>1022</v>
      </c>
    </row>
    <row r="669" spans="1:27">
      <c r="A669" s="1" t="s">
        <v>694</v>
      </c>
      <c r="B669">
        <f>HYPERLINK("https://www.suredividend.com/sure-analysis-SHEL/","Shell Plc")</f>
        <v>0</v>
      </c>
      <c r="C669" t="s">
        <v>899</v>
      </c>
      <c r="D669">
        <v>61</v>
      </c>
      <c r="E669">
        <v>63.93</v>
      </c>
      <c r="F669">
        <v>97</v>
      </c>
      <c r="G669">
        <v>0.6590721649484536</v>
      </c>
      <c r="H669">
        <v>0.04145158767401846</v>
      </c>
      <c r="I669">
        <v>0.08695960848905515</v>
      </c>
      <c r="J669">
        <v>-0.08</v>
      </c>
      <c r="K669">
        <v>0.04298560537609286</v>
      </c>
      <c r="L669" t="s">
        <v>825</v>
      </c>
      <c r="M669" t="s">
        <v>580</v>
      </c>
      <c r="N669">
        <v>7.892592592592593</v>
      </c>
      <c r="O669">
        <v>8.1</v>
      </c>
      <c r="P669">
        <v>2.65</v>
      </c>
      <c r="Q669">
        <v>0.3271604938271605</v>
      </c>
      <c r="R669">
        <v>3</v>
      </c>
      <c r="S669">
        <v>0.04102180743826755</v>
      </c>
      <c r="T669" t="s">
        <v>915</v>
      </c>
      <c r="U669">
        <v>0.245252801673035</v>
      </c>
      <c r="V669" t="s">
        <v>1004</v>
      </c>
      <c r="W669" t="s">
        <v>1009</v>
      </c>
      <c r="X669" t="s">
        <v>1020</v>
      </c>
      <c r="Y669">
        <v>213473.726511</v>
      </c>
      <c r="Z669" s="2">
        <v>45139</v>
      </c>
      <c r="AA669" t="s">
        <v>1022</v>
      </c>
    </row>
    <row r="670" spans="1:27">
      <c r="A670" s="1" t="s">
        <v>695</v>
      </c>
      <c r="B670">
        <f>HYPERLINK("https://www.suredividend.com/sure-analysis-PSO/","Pearson plc")</f>
        <v>0</v>
      </c>
      <c r="C670" t="s">
        <v>899</v>
      </c>
      <c r="D670">
        <v>10.5</v>
      </c>
      <c r="E670">
        <v>11.05</v>
      </c>
      <c r="F670">
        <v>10.5</v>
      </c>
      <c r="G670">
        <v>1.052380952380952</v>
      </c>
      <c r="H670">
        <v>0.0253393665158371</v>
      </c>
      <c r="I670">
        <v>-0.01015907854132136</v>
      </c>
      <c r="J670">
        <v>0.03</v>
      </c>
      <c r="K670">
        <v>0.04197843857036121</v>
      </c>
      <c r="L670" t="s">
        <v>825</v>
      </c>
      <c r="M670" t="s">
        <v>642</v>
      </c>
      <c r="N670">
        <v>15.78571428571429</v>
      </c>
      <c r="O670">
        <v>0.7</v>
      </c>
      <c r="P670">
        <v>0.28</v>
      </c>
      <c r="Q670">
        <v>0.4000000000000001</v>
      </c>
      <c r="R670">
        <v>0</v>
      </c>
      <c r="S670">
        <v>0</v>
      </c>
      <c r="T670" t="s">
        <v>915</v>
      </c>
      <c r="U670">
        <v>0.035594396949323</v>
      </c>
      <c r="V670" t="s">
        <v>1004</v>
      </c>
      <c r="W670" t="s">
        <v>1009</v>
      </c>
      <c r="X670" t="s">
        <v>1017</v>
      </c>
      <c r="Y670">
        <v>7808.887857</v>
      </c>
      <c r="Z670" s="2">
        <v>45151</v>
      </c>
      <c r="AA670" t="s">
        <v>1028</v>
      </c>
    </row>
    <row r="671" spans="1:27">
      <c r="A671" s="1" t="s">
        <v>696</v>
      </c>
      <c r="B671">
        <f>HYPERLINK("https://www.suredividend.com/sure-analysis-GS/","Goldman Sachs Group, Inc.")</f>
        <v>0</v>
      </c>
      <c r="C671" t="s">
        <v>899</v>
      </c>
      <c r="D671">
        <v>341</v>
      </c>
      <c r="E671">
        <v>334.98</v>
      </c>
      <c r="F671">
        <v>273</v>
      </c>
      <c r="G671">
        <v>1.227032967032967</v>
      </c>
      <c r="H671">
        <v>0.0328377813600812</v>
      </c>
      <c r="I671">
        <v>-0.04009389507459049</v>
      </c>
      <c r="J671">
        <v>0.05</v>
      </c>
      <c r="K671">
        <v>0.04143735176625296</v>
      </c>
      <c r="L671" t="s">
        <v>825</v>
      </c>
      <c r="M671" t="s">
        <v>825</v>
      </c>
      <c r="N671">
        <v>12.88384615384615</v>
      </c>
      <c r="O671">
        <v>26</v>
      </c>
      <c r="P671">
        <v>11</v>
      </c>
      <c r="Q671">
        <v>0.4230769230769231</v>
      </c>
      <c r="R671">
        <v>12</v>
      </c>
      <c r="S671">
        <v>0.03995054213218108</v>
      </c>
      <c r="T671" t="s">
        <v>925</v>
      </c>
      <c r="U671">
        <v>-0.005115133344337001</v>
      </c>
      <c r="V671" t="s">
        <v>1004</v>
      </c>
      <c r="W671" t="s">
        <v>1008</v>
      </c>
      <c r="X671" t="s">
        <v>1015</v>
      </c>
      <c r="Y671">
        <v>109088.161365</v>
      </c>
      <c r="Z671" s="2">
        <v>45127</v>
      </c>
      <c r="AA671" t="s">
        <v>1030</v>
      </c>
    </row>
    <row r="672" spans="1:27">
      <c r="A672" s="1" t="s">
        <v>697</v>
      </c>
      <c r="B672">
        <f>HYPERLINK("https://www.suredividend.com/sure-analysis-BKR/","Baker Hughes Co")</f>
        <v>0</v>
      </c>
      <c r="C672" t="s">
        <v>899</v>
      </c>
      <c r="D672">
        <v>35</v>
      </c>
      <c r="E672">
        <v>36.24</v>
      </c>
      <c r="F672">
        <v>25</v>
      </c>
      <c r="G672">
        <v>1.4496</v>
      </c>
      <c r="H672">
        <v>0.02207505518763797</v>
      </c>
      <c r="I672">
        <v>-0.0715674373581745</v>
      </c>
      <c r="J672">
        <v>0.1</v>
      </c>
      <c r="K672">
        <v>0.04136667619597945</v>
      </c>
      <c r="L672" t="s">
        <v>825</v>
      </c>
      <c r="M672" t="s">
        <v>642</v>
      </c>
      <c r="N672">
        <v>24.16</v>
      </c>
      <c r="O672">
        <v>1.5</v>
      </c>
      <c r="P672">
        <v>0.8</v>
      </c>
      <c r="Q672">
        <v>0.5333333333333333</v>
      </c>
      <c r="R672">
        <v>2</v>
      </c>
      <c r="S672">
        <v>0.009805797673485328</v>
      </c>
      <c r="T672" t="s">
        <v>950</v>
      </c>
      <c r="U672">
        <v>0.5131986817633041</v>
      </c>
      <c r="V672" t="s">
        <v>1004</v>
      </c>
      <c r="W672" t="s">
        <v>1008</v>
      </c>
      <c r="X672" t="s">
        <v>1020</v>
      </c>
      <c r="Y672">
        <v>37458.161322</v>
      </c>
      <c r="Z672" s="2">
        <v>45128</v>
      </c>
      <c r="AA672" t="s">
        <v>1022</v>
      </c>
    </row>
    <row r="673" spans="1:27">
      <c r="A673" s="1" t="s">
        <v>698</v>
      </c>
      <c r="B673">
        <f>HYPERLINK("https://www.suredividend.com/sure-analysis-CME/","CME Group Inc")</f>
        <v>0</v>
      </c>
      <c r="C673" t="s">
        <v>899</v>
      </c>
      <c r="D673">
        <v>199.2</v>
      </c>
      <c r="E673">
        <v>207.42</v>
      </c>
      <c r="F673">
        <v>170.8</v>
      </c>
      <c r="G673">
        <v>1.21440281030445</v>
      </c>
      <c r="H673">
        <v>0.02121299778227751</v>
      </c>
      <c r="I673">
        <v>-0.03810548717931328</v>
      </c>
      <c r="J673">
        <v>0.052</v>
      </c>
      <c r="K673">
        <v>0.04125605351483164</v>
      </c>
      <c r="L673" t="s">
        <v>825</v>
      </c>
      <c r="M673" t="s">
        <v>642</v>
      </c>
      <c r="N673">
        <v>24.28805620608899</v>
      </c>
      <c r="O673">
        <v>8.539999999999999</v>
      </c>
      <c r="P673">
        <v>4.4</v>
      </c>
      <c r="Q673">
        <v>0.5152224824355973</v>
      </c>
      <c r="R673">
        <v>18</v>
      </c>
      <c r="S673">
        <v>0.1468650377418641</v>
      </c>
      <c r="T673" t="s">
        <v>924</v>
      </c>
      <c r="U673">
        <v>0.094429373072206</v>
      </c>
      <c r="V673" t="s">
        <v>1004</v>
      </c>
      <c r="W673" t="s">
        <v>1008</v>
      </c>
      <c r="X673" t="s">
        <v>1015</v>
      </c>
      <c r="Y673">
        <v>74152.155</v>
      </c>
      <c r="Z673" s="2">
        <v>45140</v>
      </c>
      <c r="AA673" t="s">
        <v>1033</v>
      </c>
    </row>
    <row r="674" spans="1:27">
      <c r="A674" s="1" t="s">
        <v>699</v>
      </c>
      <c r="B674">
        <f>HYPERLINK("https://www.suredividend.com/sure-analysis-FAF/","First American Financial Corp")</f>
        <v>0</v>
      </c>
      <c r="C674" t="s">
        <v>900</v>
      </c>
      <c r="D674">
        <v>63</v>
      </c>
      <c r="E674">
        <v>59.73</v>
      </c>
      <c r="F674">
        <v>40</v>
      </c>
      <c r="G674">
        <v>1.49325</v>
      </c>
      <c r="H674">
        <v>0.03482337183994643</v>
      </c>
      <c r="I674">
        <v>-0.07705994325460963</v>
      </c>
      <c r="J674">
        <v>0.08</v>
      </c>
      <c r="K674">
        <v>0.03367592917257567</v>
      </c>
      <c r="L674" t="s">
        <v>825</v>
      </c>
      <c r="M674" t="s">
        <v>825</v>
      </c>
      <c r="N674">
        <v>14.28947368421053</v>
      </c>
      <c r="O674">
        <v>4.18</v>
      </c>
      <c r="P674">
        <v>2.08</v>
      </c>
      <c r="Q674">
        <v>0.4976076555023924</v>
      </c>
      <c r="R674">
        <v>11</v>
      </c>
      <c r="S674">
        <v>0.03994755272054218</v>
      </c>
      <c r="T674" t="s">
        <v>924</v>
      </c>
      <c r="U674">
        <v>0.15075392246024</v>
      </c>
      <c r="V674" t="s">
        <v>1004</v>
      </c>
      <c r="W674" t="s">
        <v>1008</v>
      </c>
      <c r="X674" t="s">
        <v>1015</v>
      </c>
      <c r="Y674">
        <v>6208.896281</v>
      </c>
      <c r="Z674" s="2">
        <v>45138</v>
      </c>
      <c r="AA674" t="s">
        <v>1026</v>
      </c>
    </row>
    <row r="675" spans="1:27">
      <c r="A675" s="1" t="s">
        <v>700</v>
      </c>
      <c r="B675">
        <f>HYPERLINK("https://www.suredividend.com/sure-analysis-KLIC/","Kulicke &amp; Soffa Industries, Inc.")</f>
        <v>0</v>
      </c>
      <c r="C675" t="s">
        <v>900</v>
      </c>
      <c r="D675">
        <v>50</v>
      </c>
      <c r="E675">
        <v>47.76</v>
      </c>
      <c r="F675">
        <v>21</v>
      </c>
      <c r="G675">
        <v>2.274285714285714</v>
      </c>
      <c r="H675">
        <v>0.01591289782244556</v>
      </c>
      <c r="I675">
        <v>-0.1515407371737892</v>
      </c>
      <c r="J675">
        <v>0.2</v>
      </c>
      <c r="K675">
        <v>0.03341730156004985</v>
      </c>
      <c r="L675" t="s">
        <v>825</v>
      </c>
      <c r="M675" t="s">
        <v>642</v>
      </c>
      <c r="N675">
        <v>27.76744186046512</v>
      </c>
      <c r="O675">
        <v>1.72</v>
      </c>
      <c r="P675">
        <v>0.76</v>
      </c>
      <c r="Q675">
        <v>0.4418604651162791</v>
      </c>
      <c r="R675">
        <v>3</v>
      </c>
      <c r="S675">
        <v>0.02021836907521135</v>
      </c>
      <c r="T675" t="s">
        <v>943</v>
      </c>
      <c r="U675">
        <v>0.111053861755296</v>
      </c>
      <c r="V675" t="s">
        <v>1004</v>
      </c>
      <c r="W675" t="s">
        <v>1009</v>
      </c>
      <c r="X675" t="s">
        <v>1016</v>
      </c>
      <c r="Y675">
        <v>2679.09321</v>
      </c>
      <c r="Z675" s="2">
        <v>45159</v>
      </c>
      <c r="AA675" t="s">
        <v>1021</v>
      </c>
    </row>
    <row r="676" spans="1:27">
      <c r="A676" s="1" t="s">
        <v>701</v>
      </c>
      <c r="B676">
        <f>HYPERLINK("https://www.suredividend.com/sure-analysis-HMN/","Horace Mann Educators Corp.")</f>
        <v>0</v>
      </c>
      <c r="C676" t="s">
        <v>899</v>
      </c>
      <c r="D676">
        <v>28.9</v>
      </c>
      <c r="E676">
        <v>28.48</v>
      </c>
      <c r="F676">
        <v>15.9</v>
      </c>
      <c r="G676">
        <v>1.791194968553459</v>
      </c>
      <c r="H676">
        <v>0.04634831460674158</v>
      </c>
      <c r="I676">
        <v>-0.1100380726803687</v>
      </c>
      <c r="J676">
        <v>0.1</v>
      </c>
      <c r="K676">
        <v>0.03302857076433097</v>
      </c>
      <c r="L676" t="s">
        <v>825</v>
      </c>
      <c r="M676" t="s">
        <v>580</v>
      </c>
      <c r="N676">
        <v>21.41353383458647</v>
      </c>
      <c r="O676">
        <v>1.33</v>
      </c>
      <c r="P676">
        <v>1.32</v>
      </c>
      <c r="Q676">
        <v>0.9924812030075187</v>
      </c>
      <c r="R676">
        <v>13</v>
      </c>
      <c r="S676">
        <v>0.06042477819475911</v>
      </c>
      <c r="T676" t="s">
        <v>912</v>
      </c>
      <c r="U676">
        <v>-0.19263523081674</v>
      </c>
      <c r="V676" t="s">
        <v>1004</v>
      </c>
      <c r="W676" t="s">
        <v>1008</v>
      </c>
      <c r="X676" t="s">
        <v>1015</v>
      </c>
      <c r="Y676">
        <v>1185.243459</v>
      </c>
      <c r="Z676" s="2">
        <v>45182</v>
      </c>
      <c r="AA676" t="s">
        <v>1024</v>
      </c>
    </row>
    <row r="677" spans="1:27">
      <c r="A677" s="1" t="s">
        <v>702</v>
      </c>
      <c r="B677">
        <f>HYPERLINK("https://www.suredividend.com/sure-analysis-KALU/","Kaiser Aluminum Corp")</f>
        <v>0</v>
      </c>
      <c r="C677" t="s">
        <v>900</v>
      </c>
      <c r="D677">
        <v>84</v>
      </c>
      <c r="E677">
        <v>76.20999999999999</v>
      </c>
      <c r="F677">
        <v>72</v>
      </c>
      <c r="G677">
        <v>1.058472222222222</v>
      </c>
      <c r="H677">
        <v>0.0404146437475397</v>
      </c>
      <c r="I677">
        <v>-0.01130097253758322</v>
      </c>
      <c r="J677">
        <v>0</v>
      </c>
      <c r="K677">
        <v>0.03234201177890483</v>
      </c>
      <c r="L677" t="s">
        <v>825</v>
      </c>
      <c r="M677" t="s">
        <v>825</v>
      </c>
      <c r="N677">
        <v>11.72461538461538</v>
      </c>
      <c r="O677">
        <v>6.5</v>
      </c>
      <c r="P677">
        <v>3.08</v>
      </c>
      <c r="Q677">
        <v>0.4738461538461539</v>
      </c>
      <c r="R677">
        <v>11</v>
      </c>
      <c r="S677">
        <v>0.04015032772751037</v>
      </c>
      <c r="T677" t="s">
        <v>992</v>
      </c>
      <c r="U677">
        <v>-0.046303877291015</v>
      </c>
      <c r="V677" t="s">
        <v>1004</v>
      </c>
      <c r="W677" t="s">
        <v>1008</v>
      </c>
      <c r="X677" t="s">
        <v>1010</v>
      </c>
      <c r="Y677">
        <v>1214.278226</v>
      </c>
      <c r="Z677" s="2">
        <v>45133</v>
      </c>
      <c r="AA677" t="s">
        <v>1032</v>
      </c>
    </row>
    <row r="678" spans="1:27">
      <c r="A678" s="1" t="s">
        <v>703</v>
      </c>
      <c r="B678">
        <f>HYPERLINK("https://www.suredividend.com/sure-analysis-RACE/","Ferrari N.V.")</f>
        <v>0</v>
      </c>
      <c r="C678" t="s">
        <v>900</v>
      </c>
      <c r="D678">
        <v>312</v>
      </c>
      <c r="E678">
        <v>299.05</v>
      </c>
      <c r="F678">
        <v>227</v>
      </c>
      <c r="G678">
        <v>1.317400881057269</v>
      </c>
      <c r="H678">
        <v>0.006687844841999665</v>
      </c>
      <c r="I678">
        <v>-0.05363992482473923</v>
      </c>
      <c r="J678">
        <v>0.075</v>
      </c>
      <c r="K678">
        <v>0.02501504303307267</v>
      </c>
      <c r="L678" t="s">
        <v>825</v>
      </c>
      <c r="M678" t="s">
        <v>642</v>
      </c>
      <c r="N678">
        <v>42.23870056497175</v>
      </c>
      <c r="O678">
        <v>7.08</v>
      </c>
      <c r="P678">
        <v>2</v>
      </c>
      <c r="Q678">
        <v>0.2824858757062147</v>
      </c>
      <c r="R678">
        <v>2</v>
      </c>
      <c r="S678">
        <v>0.07490573551556112</v>
      </c>
      <c r="T678" t="s">
        <v>983</v>
      </c>
      <c r="U678">
        <v>0.486699643485316</v>
      </c>
      <c r="V678" t="s">
        <v>1004</v>
      </c>
      <c r="W678" t="s">
        <v>1009</v>
      </c>
      <c r="X678" t="s">
        <v>1013</v>
      </c>
      <c r="Y678">
        <v>55077.040967</v>
      </c>
      <c r="Z678" s="2">
        <v>45148</v>
      </c>
      <c r="AA678" t="s">
        <v>1021</v>
      </c>
    </row>
    <row r="679" spans="1:27">
      <c r="A679" s="1" t="s">
        <v>704</v>
      </c>
      <c r="B679">
        <f>HYPERLINK("https://www.suredividend.com/sure-analysis-SLB/","SLB")</f>
        <v>0</v>
      </c>
      <c r="C679" t="s">
        <v>899</v>
      </c>
      <c r="D679">
        <v>57</v>
      </c>
      <c r="E679">
        <v>60.62</v>
      </c>
      <c r="F679">
        <v>42</v>
      </c>
      <c r="G679">
        <v>1.443333333333333</v>
      </c>
      <c r="H679">
        <v>0.01649620587264929</v>
      </c>
      <c r="I679">
        <v>-0.07076261993262511</v>
      </c>
      <c r="J679">
        <v>0.08</v>
      </c>
      <c r="K679">
        <v>0.02444178025938593</v>
      </c>
      <c r="L679" t="s">
        <v>825</v>
      </c>
      <c r="M679" t="s">
        <v>642</v>
      </c>
      <c r="N679">
        <v>20.20666666666667</v>
      </c>
      <c r="O679">
        <v>3</v>
      </c>
      <c r="P679">
        <v>1</v>
      </c>
      <c r="Q679">
        <v>0.3333333333333333</v>
      </c>
      <c r="R679">
        <v>2</v>
      </c>
      <c r="S679">
        <v>0.09856054330611785</v>
      </c>
      <c r="T679" t="s">
        <v>940</v>
      </c>
      <c r="U679">
        <v>0.5743559971301591</v>
      </c>
      <c r="V679" t="s">
        <v>1004</v>
      </c>
      <c r="W679" t="s">
        <v>1009</v>
      </c>
      <c r="X679" t="s">
        <v>1020</v>
      </c>
      <c r="Y679">
        <v>88255.651594</v>
      </c>
      <c r="Z679" s="2">
        <v>45129</v>
      </c>
      <c r="AA679" t="s">
        <v>1022</v>
      </c>
    </row>
    <row r="680" spans="1:27">
      <c r="A680" s="1" t="s">
        <v>705</v>
      </c>
      <c r="B680">
        <f>HYPERLINK("https://www.suredividend.com/sure-analysis-AVGO/","Broadcom Inc")</f>
        <v>0</v>
      </c>
      <c r="C680" t="s">
        <v>900</v>
      </c>
      <c r="D680">
        <v>858</v>
      </c>
      <c r="E680">
        <v>852.9299999999999</v>
      </c>
      <c r="F680">
        <v>591</v>
      </c>
      <c r="G680">
        <v>1.443197969543147</v>
      </c>
      <c r="H680">
        <v>0.02157269646981581</v>
      </c>
      <c r="I680">
        <v>-0.07074518914662109</v>
      </c>
      <c r="J680">
        <v>0.07000000000000001</v>
      </c>
      <c r="K680">
        <v>0.02082130079658095</v>
      </c>
      <c r="L680" t="s">
        <v>825</v>
      </c>
      <c r="M680" t="s">
        <v>642</v>
      </c>
      <c r="N680">
        <v>20.21161137440758</v>
      </c>
      <c r="O680">
        <v>42.2</v>
      </c>
      <c r="P680">
        <v>18.4</v>
      </c>
      <c r="Q680">
        <v>0.4360189573459715</v>
      </c>
      <c r="R680">
        <v>12</v>
      </c>
      <c r="S680">
        <v>0.08003485883245509</v>
      </c>
      <c r="T680" t="s">
        <v>943</v>
      </c>
      <c r="U680">
        <v>0.6522299685310951</v>
      </c>
      <c r="V680" t="s">
        <v>1004</v>
      </c>
      <c r="W680" t="s">
        <v>1008</v>
      </c>
      <c r="X680" t="s">
        <v>1016</v>
      </c>
      <c r="Y680">
        <v>348563.387838</v>
      </c>
      <c r="Z680" s="2">
        <v>45180</v>
      </c>
      <c r="AA680" t="s">
        <v>1028</v>
      </c>
    </row>
    <row r="681" spans="1:27">
      <c r="A681" s="1" t="s">
        <v>706</v>
      </c>
      <c r="B681">
        <f>HYPERLINK("https://www.suredividend.com/sure-analysis-ACN/","Accenture plc")</f>
        <v>0</v>
      </c>
      <c r="C681" t="s">
        <v>900</v>
      </c>
      <c r="D681">
        <v>317</v>
      </c>
      <c r="E681">
        <v>313.91</v>
      </c>
      <c r="F681">
        <v>220</v>
      </c>
      <c r="G681">
        <v>1.426863636363636</v>
      </c>
      <c r="H681">
        <v>0.01427160651142047</v>
      </c>
      <c r="I681">
        <v>-0.06862729559928282</v>
      </c>
      <c r="J681">
        <v>0.075</v>
      </c>
      <c r="K681">
        <v>0.01860375753557175</v>
      </c>
      <c r="L681" t="s">
        <v>825</v>
      </c>
      <c r="M681" t="s">
        <v>642</v>
      </c>
      <c r="N681">
        <v>28.53727272727273</v>
      </c>
      <c r="O681">
        <v>11</v>
      </c>
      <c r="P681">
        <v>4.48</v>
      </c>
      <c r="Q681">
        <v>0.4072727272727273</v>
      </c>
      <c r="R681">
        <v>12</v>
      </c>
      <c r="S681">
        <v>0.0799150058822331</v>
      </c>
      <c r="T681" t="s">
        <v>995</v>
      </c>
      <c r="U681">
        <v>0.08375089526724101</v>
      </c>
      <c r="V681" t="s">
        <v>1004</v>
      </c>
      <c r="W681" t="s">
        <v>1009</v>
      </c>
      <c r="X681" t="s">
        <v>1016</v>
      </c>
      <c r="Y681">
        <v>209185.121289</v>
      </c>
      <c r="Z681" s="2">
        <v>45143</v>
      </c>
      <c r="AA681" t="s">
        <v>1028</v>
      </c>
    </row>
    <row r="682" spans="1:27">
      <c r="A682" s="1" t="s">
        <v>707</v>
      </c>
      <c r="B682">
        <f>HYPERLINK("https://www.suredividend.com/sure-analysis-PXD/","Pioneer Natural Resources Co.")</f>
        <v>0</v>
      </c>
      <c r="C682" t="s">
        <v>900</v>
      </c>
      <c r="D682">
        <v>234</v>
      </c>
      <c r="E682">
        <v>235.83</v>
      </c>
      <c r="F682">
        <v>375</v>
      </c>
      <c r="G682">
        <v>0.62888</v>
      </c>
      <c r="H682">
        <v>0.04231861934444303</v>
      </c>
      <c r="I682">
        <v>0.09720162804633503</v>
      </c>
      <c r="J682">
        <v>-0.1</v>
      </c>
      <c r="K682">
        <v>0.01829398355803691</v>
      </c>
      <c r="L682" t="s">
        <v>825</v>
      </c>
      <c r="M682" t="s">
        <v>580</v>
      </c>
      <c r="N682">
        <v>9.433200000000001</v>
      </c>
      <c r="O682">
        <v>25</v>
      </c>
      <c r="P682">
        <v>9.98</v>
      </c>
      <c r="Q682">
        <v>0.3992</v>
      </c>
      <c r="R682">
        <v>5</v>
      </c>
      <c r="S682">
        <v>-0.1000944076348316</v>
      </c>
      <c r="T682" t="s">
        <v>940</v>
      </c>
      <c r="U682">
        <v>0.005685214864673001</v>
      </c>
      <c r="V682" t="s">
        <v>1004</v>
      </c>
      <c r="W682" t="s">
        <v>1008</v>
      </c>
      <c r="X682" t="s">
        <v>1020</v>
      </c>
      <c r="Y682">
        <v>55065.608927</v>
      </c>
      <c r="Z682" s="2">
        <v>45144</v>
      </c>
      <c r="AA682" t="s">
        <v>1025</v>
      </c>
    </row>
    <row r="683" spans="1:27">
      <c r="A683" s="1" t="s">
        <v>708</v>
      </c>
      <c r="B683">
        <f>HYPERLINK("https://www.suredividend.com/sure-analysis-SMFG/","Sumitomo Mitsui Financial Group Inc")</f>
        <v>0</v>
      </c>
      <c r="C683" t="s">
        <v>899</v>
      </c>
      <c r="D683">
        <v>8.699999999999999</v>
      </c>
      <c r="E683">
        <v>10.06</v>
      </c>
      <c r="F683">
        <v>8.359999999999999</v>
      </c>
      <c r="G683">
        <v>1.203349282296651</v>
      </c>
      <c r="H683">
        <v>0.03379721669980119</v>
      </c>
      <c r="I683">
        <v>-0.03634482198426614</v>
      </c>
      <c r="J683">
        <v>0.02</v>
      </c>
      <c r="K683">
        <v>0.01672933517921882</v>
      </c>
      <c r="L683" t="s">
        <v>825</v>
      </c>
      <c r="M683" t="s">
        <v>825</v>
      </c>
      <c r="N683">
        <v>11.43181818181818</v>
      </c>
      <c r="O683">
        <v>0.88</v>
      </c>
      <c r="P683">
        <v>0.34</v>
      </c>
      <c r="Q683">
        <v>0.3863636363636364</v>
      </c>
      <c r="R683">
        <v>0</v>
      </c>
      <c r="S683">
        <v>0</v>
      </c>
      <c r="T683" t="s">
        <v>984</v>
      </c>
      <c r="U683">
        <v>0.715014564696554</v>
      </c>
      <c r="V683" t="s">
        <v>1004</v>
      </c>
      <c r="W683" t="s">
        <v>1009</v>
      </c>
      <c r="X683" t="s">
        <v>1015</v>
      </c>
      <c r="Y683">
        <v>66542.071929</v>
      </c>
      <c r="Z683" s="2">
        <v>45155</v>
      </c>
      <c r="AA683" t="s">
        <v>1030</v>
      </c>
    </row>
    <row r="684" spans="1:27">
      <c r="A684" s="1" t="s">
        <v>709</v>
      </c>
      <c r="B684">
        <f>HYPERLINK("https://www.suredividend.com/sure-analysis-PKX/","POSCO Holdings Inc")</f>
        <v>0</v>
      </c>
      <c r="C684" t="s">
        <v>900</v>
      </c>
      <c r="D684">
        <v>98</v>
      </c>
      <c r="E684">
        <v>100.9</v>
      </c>
      <c r="F684">
        <v>120</v>
      </c>
      <c r="G684">
        <v>0.8408333333333334</v>
      </c>
      <c r="H684">
        <v>0.08919722497522299</v>
      </c>
      <c r="I684">
        <v>0.03528045713131744</v>
      </c>
      <c r="J684">
        <v>-0.1</v>
      </c>
      <c r="K684">
        <v>0.006097142193771443</v>
      </c>
      <c r="L684" t="s">
        <v>825</v>
      </c>
      <c r="M684" t="s">
        <v>902</v>
      </c>
      <c r="N684">
        <v>3.363333333333334</v>
      </c>
      <c r="O684">
        <v>30</v>
      </c>
      <c r="P684">
        <v>9</v>
      </c>
      <c r="Q684">
        <v>0.3</v>
      </c>
      <c r="R684">
        <v>0</v>
      </c>
      <c r="S684">
        <v>-0.1001494170783752</v>
      </c>
      <c r="T684" t="s">
        <v>911</v>
      </c>
      <c r="U684">
        <v>1.351137816066336</v>
      </c>
      <c r="V684" t="s">
        <v>1004</v>
      </c>
      <c r="W684" t="s">
        <v>1009</v>
      </c>
      <c r="X684" t="s">
        <v>1010</v>
      </c>
      <c r="Y684">
        <v>34971.89503</v>
      </c>
      <c r="Z684" s="2">
        <v>45127</v>
      </c>
      <c r="AA684" t="s">
        <v>1032</v>
      </c>
    </row>
    <row r="685" spans="1:27">
      <c r="A685" s="1" t="s">
        <v>710</v>
      </c>
      <c r="B685">
        <f>HYPERLINK("https://www.suredividend.com/sure-analysis-PECO/","Phillips Edison &amp; Company Inc")</f>
        <v>0</v>
      </c>
      <c r="C685" t="s">
        <v>900</v>
      </c>
      <c r="D685">
        <v>36</v>
      </c>
      <c r="E685">
        <v>34.5925</v>
      </c>
      <c r="F685">
        <v>25</v>
      </c>
      <c r="G685">
        <v>1.3837</v>
      </c>
      <c r="H685">
        <v>0.0338223603382236</v>
      </c>
      <c r="I685">
        <v>-0.06288775697679849</v>
      </c>
      <c r="J685">
        <v>0.03</v>
      </c>
      <c r="K685">
        <v>0.005707386915252188</v>
      </c>
      <c r="L685" t="s">
        <v>825</v>
      </c>
      <c r="M685" t="s">
        <v>825</v>
      </c>
      <c r="N685">
        <v>15.04021739130435</v>
      </c>
      <c r="O685">
        <v>2.3</v>
      </c>
      <c r="P685">
        <v>1.17</v>
      </c>
      <c r="Q685">
        <v>0.5086956521739131</v>
      </c>
      <c r="R685">
        <v>3</v>
      </c>
      <c r="S685">
        <v>0.04095039696925684</v>
      </c>
      <c r="T685" t="s">
        <v>932</v>
      </c>
      <c r="U685">
        <v>0.05406917629788201</v>
      </c>
      <c r="V685" t="s">
        <v>1005</v>
      </c>
      <c r="W685" t="s">
        <v>1008</v>
      </c>
      <c r="X685" t="s">
        <v>1019</v>
      </c>
      <c r="Y685">
        <v>4113.696</v>
      </c>
      <c r="Z685" s="2">
        <v>45141</v>
      </c>
      <c r="AA685" t="s">
        <v>1032</v>
      </c>
    </row>
    <row r="686" spans="1:27">
      <c r="A686" s="1" t="s">
        <v>711</v>
      </c>
      <c r="B686">
        <f>HYPERLINK("https://www.suredividend.com/sure-analysis-WDFC/","WD-40 Co.")</f>
        <v>0</v>
      </c>
      <c r="C686" t="s">
        <v>900</v>
      </c>
      <c r="D686">
        <v>225</v>
      </c>
      <c r="E686">
        <v>201.73</v>
      </c>
      <c r="F686">
        <v>145</v>
      </c>
      <c r="G686">
        <v>1.391241379310345</v>
      </c>
      <c r="H686">
        <v>0.01645764140187379</v>
      </c>
      <c r="I686">
        <v>-0.06390591130371381</v>
      </c>
      <c r="J686">
        <v>0.05</v>
      </c>
      <c r="K686">
        <v>0.002008802762432094</v>
      </c>
      <c r="L686" t="s">
        <v>825</v>
      </c>
      <c r="M686" t="s">
        <v>642</v>
      </c>
      <c r="N686">
        <v>40.346</v>
      </c>
      <c r="O686">
        <v>5</v>
      </c>
      <c r="P686">
        <v>3.32</v>
      </c>
      <c r="Q686">
        <v>0.6639999999999999</v>
      </c>
      <c r="R686">
        <v>14</v>
      </c>
      <c r="S686">
        <v>0.04003668004870131</v>
      </c>
      <c r="T686" t="s">
        <v>908</v>
      </c>
      <c r="U686">
        <v>0.07626771202181401</v>
      </c>
      <c r="V686" t="s">
        <v>1004</v>
      </c>
      <c r="W686" t="s">
        <v>1008</v>
      </c>
      <c r="X686" t="s">
        <v>1013</v>
      </c>
      <c r="Y686">
        <v>2745.12003</v>
      </c>
      <c r="Z686" s="2">
        <v>45124</v>
      </c>
      <c r="AA686" t="s">
        <v>1034</v>
      </c>
    </row>
    <row r="687" spans="1:27">
      <c r="A687" s="1" t="s">
        <v>712</v>
      </c>
      <c r="B687">
        <f>HYPERLINK("https://www.suredividend.com/sure-analysis-ETN/","Eaton Corporation plc")</f>
        <v>0</v>
      </c>
      <c r="C687" t="s">
        <v>899</v>
      </c>
      <c r="D687">
        <v>219</v>
      </c>
      <c r="E687">
        <v>221.41</v>
      </c>
      <c r="F687">
        <v>149</v>
      </c>
      <c r="G687">
        <v>1.485973154362416</v>
      </c>
      <c r="H687">
        <v>0.01553678695632537</v>
      </c>
      <c r="I687">
        <v>-0.07615777684834657</v>
      </c>
      <c r="J687">
        <v>0.06</v>
      </c>
      <c r="K687">
        <v>-0.001330506888057359</v>
      </c>
      <c r="L687" t="s">
        <v>825</v>
      </c>
      <c r="M687" t="s">
        <v>642</v>
      </c>
      <c r="N687">
        <v>25.304</v>
      </c>
      <c r="O687">
        <v>8.75</v>
      </c>
      <c r="P687">
        <v>3.44</v>
      </c>
      <c r="Q687">
        <v>0.3931428571428571</v>
      </c>
      <c r="R687">
        <v>14</v>
      </c>
      <c r="S687">
        <v>0.05983895403096029</v>
      </c>
      <c r="T687" t="s">
        <v>910</v>
      </c>
      <c r="U687">
        <v>0.57377438607952</v>
      </c>
      <c r="V687" t="s">
        <v>1004</v>
      </c>
      <c r="W687" t="s">
        <v>1009</v>
      </c>
      <c r="X687" t="s">
        <v>1012</v>
      </c>
      <c r="Y687">
        <v>90932.10000000001</v>
      </c>
      <c r="Z687" s="2">
        <v>45141</v>
      </c>
      <c r="AA687" t="s">
        <v>1021</v>
      </c>
    </row>
    <row r="688" spans="1:27">
      <c r="A688" s="1" t="s">
        <v>713</v>
      </c>
      <c r="B688">
        <f>HYPERLINK("https://www.suredividend.com/sure-analysis-AZN/","Astrazeneca plc")</f>
        <v>0</v>
      </c>
      <c r="C688" t="s">
        <v>900</v>
      </c>
      <c r="D688">
        <v>71</v>
      </c>
      <c r="E688">
        <v>66.45</v>
      </c>
      <c r="F688">
        <v>47</v>
      </c>
      <c r="G688">
        <v>1.413829787234043</v>
      </c>
      <c r="H688">
        <v>0.0218209179834462</v>
      </c>
      <c r="I688">
        <v>-0.06691636078314367</v>
      </c>
      <c r="J688">
        <v>0.04</v>
      </c>
      <c r="K688">
        <v>-0.006146776360595796</v>
      </c>
      <c r="L688" t="s">
        <v>825</v>
      </c>
      <c r="M688" t="s">
        <v>642</v>
      </c>
      <c r="N688">
        <v>18.40720221606648</v>
      </c>
      <c r="O688">
        <v>3.61</v>
      </c>
      <c r="P688">
        <v>1.45</v>
      </c>
      <c r="Q688">
        <v>0.4016620498614958</v>
      </c>
      <c r="R688">
        <v>1</v>
      </c>
      <c r="S688">
        <v>0</v>
      </c>
      <c r="T688" t="s">
        <v>915</v>
      </c>
      <c r="U688">
        <v>0.120930302238364</v>
      </c>
      <c r="V688" t="s">
        <v>1004</v>
      </c>
      <c r="W688" t="s">
        <v>1009</v>
      </c>
      <c r="X688" t="s">
        <v>1014</v>
      </c>
      <c r="Y688">
        <v>208740.176984</v>
      </c>
      <c r="Z688" s="2">
        <v>45139</v>
      </c>
      <c r="AA688" t="s">
        <v>1021</v>
      </c>
    </row>
    <row r="689" spans="1:27">
      <c r="A689" s="1" t="s">
        <v>714</v>
      </c>
      <c r="B689">
        <f>HYPERLINK("https://www.suredividend.com/sure-analysis-CWCO/","Consolidated Water Co. Ltd.")</f>
        <v>0</v>
      </c>
      <c r="C689" t="s">
        <v>900</v>
      </c>
      <c r="D689">
        <v>25.8</v>
      </c>
      <c r="E689">
        <v>30.2</v>
      </c>
      <c r="F689">
        <v>18.2</v>
      </c>
      <c r="G689">
        <v>1.659340659340659</v>
      </c>
      <c r="H689">
        <v>0.01125827814569537</v>
      </c>
      <c r="I689">
        <v>-0.09632370734162465</v>
      </c>
      <c r="J689">
        <v>0.078</v>
      </c>
      <c r="K689">
        <v>-0.006902457678596763</v>
      </c>
      <c r="L689" t="s">
        <v>825</v>
      </c>
      <c r="M689" t="s">
        <v>642</v>
      </c>
      <c r="N689">
        <v>31.45833333333333</v>
      </c>
      <c r="O689">
        <v>0.96</v>
      </c>
      <c r="P689">
        <v>0.34</v>
      </c>
      <c r="Q689">
        <v>0.3541666666666667</v>
      </c>
      <c r="R689">
        <v>0</v>
      </c>
      <c r="S689">
        <v>0.1553772840444183</v>
      </c>
      <c r="T689" t="s">
        <v>938</v>
      </c>
      <c r="U689">
        <v>0.6914685579617691</v>
      </c>
      <c r="V689" t="s">
        <v>1004</v>
      </c>
      <c r="W689" t="s">
        <v>1009</v>
      </c>
      <c r="X689" t="s">
        <v>1018</v>
      </c>
      <c r="Y689">
        <v>477.952015</v>
      </c>
      <c r="Z689" s="2">
        <v>45167</v>
      </c>
      <c r="AA689" t="s">
        <v>1033</v>
      </c>
    </row>
    <row r="690" spans="1:27">
      <c r="A690" s="1" t="s">
        <v>715</v>
      </c>
      <c r="B690">
        <f>HYPERLINK("https://www.suredividend.com/sure-analysis-CNQ/","Canadian Natural Resources Ltd.")</f>
        <v>0</v>
      </c>
      <c r="C690" t="s">
        <v>900</v>
      </c>
      <c r="D690">
        <v>61</v>
      </c>
      <c r="E690">
        <v>63.6358</v>
      </c>
      <c r="F690">
        <v>60</v>
      </c>
      <c r="G690">
        <v>1.060596666666667</v>
      </c>
      <c r="H690">
        <v>0.04242894722781831</v>
      </c>
      <c r="I690">
        <v>-0.01169737602856047</v>
      </c>
      <c r="J690">
        <v>-0.05</v>
      </c>
      <c r="K690">
        <v>-0.009986496241227827</v>
      </c>
      <c r="L690" t="s">
        <v>825</v>
      </c>
      <c r="M690" t="s">
        <v>825</v>
      </c>
      <c r="N690">
        <v>12.72716</v>
      </c>
      <c r="O690">
        <v>5</v>
      </c>
      <c r="P690">
        <v>2.7</v>
      </c>
      <c r="Q690">
        <v>0.54</v>
      </c>
      <c r="R690">
        <v>7</v>
      </c>
      <c r="S690">
        <v>0.01439440873959041</v>
      </c>
      <c r="T690" t="s">
        <v>904</v>
      </c>
      <c r="U690">
        <v>0.210354486333259</v>
      </c>
      <c r="V690" t="s">
        <v>1004</v>
      </c>
      <c r="W690" t="s">
        <v>1009</v>
      </c>
      <c r="X690" t="s">
        <v>1020</v>
      </c>
      <c r="Y690">
        <v>70617.665511</v>
      </c>
      <c r="Z690" s="2">
        <v>45162</v>
      </c>
      <c r="AA690" t="s">
        <v>1022</v>
      </c>
    </row>
    <row r="691" spans="1:27">
      <c r="A691" s="1" t="s">
        <v>716</v>
      </c>
      <c r="B691">
        <f>HYPERLINK("https://www.suredividend.com/sure-analysis-WPM/","Wheaton Precious Metals Corp")</f>
        <v>0</v>
      </c>
      <c r="C691" t="s">
        <v>900</v>
      </c>
      <c r="D691">
        <v>45</v>
      </c>
      <c r="E691">
        <v>42.47</v>
      </c>
      <c r="F691">
        <v>34</v>
      </c>
      <c r="G691">
        <v>1.249117647058823</v>
      </c>
      <c r="H691">
        <v>0.01412761949611491</v>
      </c>
      <c r="I691">
        <v>-0.04351242852718795</v>
      </c>
      <c r="J691">
        <v>0.01</v>
      </c>
      <c r="K691">
        <v>-0.0173465565216232</v>
      </c>
      <c r="L691" t="s">
        <v>825</v>
      </c>
      <c r="M691" t="s">
        <v>642</v>
      </c>
      <c r="N691">
        <v>35.39166666666667</v>
      </c>
      <c r="O691">
        <v>1.2</v>
      </c>
      <c r="P691">
        <v>0.6</v>
      </c>
      <c r="Q691">
        <v>0.5</v>
      </c>
      <c r="R691">
        <v>3</v>
      </c>
      <c r="S691">
        <v>0.01924487649145656</v>
      </c>
      <c r="T691" t="s">
        <v>922</v>
      </c>
      <c r="U691">
        <v>0.293645114933889</v>
      </c>
      <c r="V691" t="s">
        <v>1004</v>
      </c>
      <c r="W691" t="s">
        <v>1009</v>
      </c>
      <c r="X691" t="s">
        <v>1010</v>
      </c>
      <c r="Y691">
        <v>19485.492245</v>
      </c>
      <c r="Z691" s="2">
        <v>45153</v>
      </c>
      <c r="AA691" t="s">
        <v>1030</v>
      </c>
    </row>
    <row r="692" spans="1:27">
      <c r="A692" s="1" t="s">
        <v>717</v>
      </c>
      <c r="B692">
        <f>HYPERLINK("https://www.suredividend.com/sure-analysis-LOGI/","Logitech International S.A.")</f>
        <v>0</v>
      </c>
      <c r="C692" t="s">
        <v>900</v>
      </c>
      <c r="D692">
        <v>72</v>
      </c>
      <c r="E692">
        <v>70.58</v>
      </c>
      <c r="F692">
        <v>44</v>
      </c>
      <c r="G692">
        <v>1.604090909090909</v>
      </c>
      <c r="H692">
        <v>0.01742703315386795</v>
      </c>
      <c r="I692">
        <v>-0.09018267089214371</v>
      </c>
      <c r="J692">
        <v>0.03</v>
      </c>
      <c r="K692">
        <v>-0.03433945239135239</v>
      </c>
      <c r="L692" t="s">
        <v>825</v>
      </c>
      <c r="M692" t="s">
        <v>642</v>
      </c>
      <c r="N692">
        <v>23.84459459459459</v>
      </c>
      <c r="O692">
        <v>2.96</v>
      </c>
      <c r="P692">
        <v>1.23</v>
      </c>
      <c r="Q692">
        <v>0.4155405405405405</v>
      </c>
      <c r="R692">
        <v>9</v>
      </c>
      <c r="S692">
        <v>0.0998969956090936</v>
      </c>
      <c r="T692" t="s">
        <v>996</v>
      </c>
      <c r="U692">
        <v>0.381746056633949</v>
      </c>
      <c r="V692" t="s">
        <v>1004</v>
      </c>
      <c r="W692" t="s">
        <v>1009</v>
      </c>
      <c r="X692" t="s">
        <v>1016</v>
      </c>
      <c r="Y692">
        <v>12204.01671</v>
      </c>
      <c r="Z692" s="2">
        <v>45135</v>
      </c>
      <c r="AA692" t="s">
        <v>1021</v>
      </c>
    </row>
    <row r="693" spans="1:27">
      <c r="A693" s="1" t="s">
        <v>718</v>
      </c>
      <c r="B693">
        <f>HYPERLINK("https://www.suredividend.com/sure-analysis-MLR/","Miller Industries Inc.")</f>
        <v>0</v>
      </c>
      <c r="C693" t="s">
        <v>900</v>
      </c>
      <c r="D693">
        <v>39.3</v>
      </c>
      <c r="E693">
        <v>39.01</v>
      </c>
      <c r="F693">
        <v>23.7</v>
      </c>
      <c r="G693">
        <v>1.645991561181435</v>
      </c>
      <c r="H693">
        <v>0.01845680594719303</v>
      </c>
      <c r="I693">
        <v>-0.09486266469354254</v>
      </c>
      <c r="J693">
        <v>0.03</v>
      </c>
      <c r="K693">
        <v>-0.04446529341721428</v>
      </c>
      <c r="L693" t="s">
        <v>825</v>
      </c>
      <c r="M693" t="s">
        <v>642</v>
      </c>
      <c r="N693">
        <v>21.43406593406593</v>
      </c>
      <c r="O693">
        <v>1.82</v>
      </c>
      <c r="P693">
        <v>0.72</v>
      </c>
      <c r="Q693">
        <v>0.3956043956043956</v>
      </c>
      <c r="R693">
        <v>0</v>
      </c>
      <c r="S693">
        <v>0</v>
      </c>
      <c r="T693" t="s">
        <v>916</v>
      </c>
      <c r="U693">
        <v>0.625896988800214</v>
      </c>
      <c r="V693" t="s">
        <v>1004</v>
      </c>
      <c r="W693" t="s">
        <v>1008</v>
      </c>
      <c r="X693" t="s">
        <v>1012</v>
      </c>
      <c r="Y693">
        <v>443.976376</v>
      </c>
      <c r="Z693" s="2">
        <v>45152</v>
      </c>
      <c r="AA693" t="s">
        <v>1031</v>
      </c>
    </row>
    <row r="694" spans="1:27">
      <c r="A694" s="1" t="s">
        <v>719</v>
      </c>
      <c r="B694">
        <f>HYPERLINK("https://www.suredividend.com/sure-analysis-VLO/","Valero Energy Corp.")</f>
        <v>0</v>
      </c>
      <c r="C694" t="s">
        <v>900</v>
      </c>
      <c r="D694">
        <v>129</v>
      </c>
      <c r="E694">
        <v>145.48</v>
      </c>
      <c r="F694">
        <v>84</v>
      </c>
      <c r="G694">
        <v>1.731904761904762</v>
      </c>
      <c r="H694">
        <v>0.02804509210888095</v>
      </c>
      <c r="I694">
        <v>-0.1040264300402861</v>
      </c>
      <c r="J694">
        <v>0</v>
      </c>
      <c r="K694">
        <v>-0.06420775623763075</v>
      </c>
      <c r="L694" t="s">
        <v>825</v>
      </c>
      <c r="M694" t="s">
        <v>642</v>
      </c>
      <c r="N694">
        <v>18.65128205128205</v>
      </c>
      <c r="O694">
        <v>7.8</v>
      </c>
      <c r="P694">
        <v>4.08</v>
      </c>
      <c r="Q694">
        <v>0.5230769230769231</v>
      </c>
      <c r="R694">
        <v>1</v>
      </c>
      <c r="S694">
        <v>0</v>
      </c>
      <c r="T694" t="s">
        <v>952</v>
      </c>
      <c r="U694">
        <v>0.321043575651105</v>
      </c>
      <c r="V694" t="s">
        <v>1004</v>
      </c>
      <c r="W694" t="s">
        <v>1008</v>
      </c>
      <c r="X694" t="s">
        <v>1020</v>
      </c>
      <c r="Y694">
        <v>51649.215029</v>
      </c>
      <c r="Z694" s="2">
        <v>45139</v>
      </c>
      <c r="AA694" t="s">
        <v>1022</v>
      </c>
    </row>
    <row r="695" spans="1:27">
      <c r="A695" s="1" t="s">
        <v>720</v>
      </c>
      <c r="B695">
        <f>HYPERLINK("https://www.suredividend.com/sure-analysis-HLI/","Houlihan Lokey Inc")</f>
        <v>0</v>
      </c>
      <c r="C695" t="s">
        <v>900</v>
      </c>
      <c r="D695">
        <v>102</v>
      </c>
      <c r="E695">
        <v>107.71</v>
      </c>
      <c r="F695">
        <v>52</v>
      </c>
      <c r="G695">
        <v>2.071346153846154</v>
      </c>
      <c r="H695">
        <v>0.02042521585739486</v>
      </c>
      <c r="I695">
        <v>-0.1355309213130451</v>
      </c>
      <c r="J695">
        <v>-0.05</v>
      </c>
      <c r="K695">
        <v>-0.1369839092504368</v>
      </c>
      <c r="L695" t="s">
        <v>825</v>
      </c>
      <c r="M695" t="s">
        <v>642</v>
      </c>
      <c r="N695">
        <v>26.9275</v>
      </c>
      <c r="O695">
        <v>4</v>
      </c>
      <c r="P695">
        <v>2.2</v>
      </c>
      <c r="Q695">
        <v>0.55</v>
      </c>
      <c r="R695">
        <v>6</v>
      </c>
      <c r="S695">
        <v>0.009805797673485328</v>
      </c>
      <c r="T695" t="s">
        <v>916</v>
      </c>
      <c r="U695">
        <v>0.325817877895407</v>
      </c>
      <c r="V695" t="s">
        <v>1004</v>
      </c>
      <c r="W695" t="s">
        <v>1008</v>
      </c>
      <c r="X695" t="s">
        <v>1015</v>
      </c>
      <c r="Y695">
        <v>5482.582976</v>
      </c>
      <c r="Z695" s="2">
        <v>45164</v>
      </c>
      <c r="AA695" t="s">
        <v>1025</v>
      </c>
    </row>
    <row r="696" spans="1:27">
      <c r="A696" s="1" t="s">
        <v>721</v>
      </c>
      <c r="B696">
        <f>HYPERLINK("https://www.suredividend.com/sure-analysis-BDN/","Brandywine Realty Trust")</f>
        <v>0</v>
      </c>
      <c r="C696" t="s">
        <v>898</v>
      </c>
      <c r="D696">
        <v>4.9</v>
      </c>
      <c r="E696">
        <v>4.75</v>
      </c>
      <c r="F696">
        <v>9.699999999999999</v>
      </c>
      <c r="G696">
        <v>0.4896907216494846</v>
      </c>
      <c r="H696">
        <v>0.16</v>
      </c>
      <c r="I696">
        <v>0.1534947571939469</v>
      </c>
      <c r="J696">
        <v>0.02</v>
      </c>
      <c r="K696">
        <v>0.2502367743177882</v>
      </c>
      <c r="L696" t="s">
        <v>642</v>
      </c>
      <c r="M696" t="s">
        <v>902</v>
      </c>
      <c r="N696">
        <v>4.094827586206897</v>
      </c>
      <c r="O696">
        <v>1.16</v>
      </c>
      <c r="P696">
        <v>0.76</v>
      </c>
      <c r="Q696">
        <v>0.6551724137931035</v>
      </c>
      <c r="R696">
        <v>0</v>
      </c>
      <c r="S696">
        <v>0</v>
      </c>
      <c r="T696" t="s">
        <v>919</v>
      </c>
      <c r="U696">
        <v>-0.372363411873649</v>
      </c>
      <c r="V696" t="s">
        <v>1005</v>
      </c>
      <c r="W696" t="s">
        <v>1008</v>
      </c>
      <c r="X696" t="s">
        <v>1019</v>
      </c>
      <c r="Y696">
        <v>839.836586</v>
      </c>
      <c r="Z696" s="2">
        <v>45153</v>
      </c>
      <c r="AA696" t="s">
        <v>1022</v>
      </c>
    </row>
    <row r="697" spans="1:27">
      <c r="A697" s="1" t="s">
        <v>722</v>
      </c>
      <c r="B697">
        <f>HYPERLINK("https://www.suredividend.com/sure-analysis-OCSL/","Oaktree Specialty Lending Corp")</f>
        <v>0</v>
      </c>
      <c r="C697" t="s">
        <v>898</v>
      </c>
      <c r="D697">
        <v>20</v>
      </c>
      <c r="E697">
        <v>19.485</v>
      </c>
      <c r="F697">
        <v>25</v>
      </c>
      <c r="G697">
        <v>0.7794</v>
      </c>
      <c r="H697">
        <v>0.1129073646394663</v>
      </c>
      <c r="I697">
        <v>0.05110939936538217</v>
      </c>
      <c r="J697">
        <v>0.1</v>
      </c>
      <c r="K697">
        <v>0.2233856137911538</v>
      </c>
      <c r="L697" t="s">
        <v>642</v>
      </c>
      <c r="M697" t="s">
        <v>580</v>
      </c>
      <c r="N697">
        <v>7.794</v>
      </c>
      <c r="O697">
        <v>2.5</v>
      </c>
      <c r="P697">
        <v>2.2</v>
      </c>
      <c r="Q697">
        <v>0.8800000000000001</v>
      </c>
      <c r="R697">
        <v>4</v>
      </c>
      <c r="S697">
        <v>0.05970486933121499</v>
      </c>
      <c r="T697" t="s">
        <v>912</v>
      </c>
      <c r="U697">
        <v>0.129387843057082</v>
      </c>
      <c r="V697" t="s">
        <v>1007</v>
      </c>
      <c r="W697" t="s">
        <v>1008</v>
      </c>
      <c r="X697" t="s">
        <v>1015</v>
      </c>
      <c r="Y697">
        <v>1575.511337</v>
      </c>
      <c r="Z697" s="2">
        <v>45145</v>
      </c>
      <c r="AA697" t="s">
        <v>1023</v>
      </c>
    </row>
    <row r="698" spans="1:27">
      <c r="A698" s="1" t="s">
        <v>723</v>
      </c>
      <c r="B698">
        <f>HYPERLINK("https://www.suredividend.com/sure-analysis-PBR/","Petroleo Brasileiro S.A. Petrobras")</f>
        <v>0</v>
      </c>
      <c r="C698" t="s">
        <v>900</v>
      </c>
      <c r="D698">
        <v>15</v>
      </c>
      <c r="E698">
        <v>14.81</v>
      </c>
      <c r="F698">
        <v>29</v>
      </c>
      <c r="G698">
        <v>0.5106896551724138</v>
      </c>
      <c r="H698">
        <v>0.1350438892640108</v>
      </c>
      <c r="I698">
        <v>0.1438487130112773</v>
      </c>
      <c r="J698">
        <v>0.01</v>
      </c>
      <c r="K698">
        <v>0.2227440796363203</v>
      </c>
      <c r="L698" t="s">
        <v>642</v>
      </c>
      <c r="M698" t="s">
        <v>902</v>
      </c>
      <c r="N698">
        <v>4.079889807162535</v>
      </c>
      <c r="O698">
        <v>3.63</v>
      </c>
      <c r="P698">
        <v>2</v>
      </c>
      <c r="Q698">
        <v>0.5509641873278237</v>
      </c>
      <c r="R698">
        <v>0</v>
      </c>
      <c r="S698">
        <v>0</v>
      </c>
      <c r="T698" t="s">
        <v>913</v>
      </c>
      <c r="U698">
        <v>0.232401686444413</v>
      </c>
      <c r="V698" t="s">
        <v>1004</v>
      </c>
      <c r="W698" t="s">
        <v>1009</v>
      </c>
      <c r="X698" t="s">
        <v>1020</v>
      </c>
      <c r="Y698">
        <v>93018.394439</v>
      </c>
      <c r="Z698" s="2">
        <v>45175</v>
      </c>
      <c r="AA698" t="s">
        <v>1029</v>
      </c>
    </row>
    <row r="699" spans="1:27">
      <c r="A699" s="1" t="s">
        <v>724</v>
      </c>
      <c r="B699">
        <f>HYPERLINK("https://www.suredividend.com/sure-analysis-MED/","Medifast Inc")</f>
        <v>0</v>
      </c>
      <c r="C699" t="s">
        <v>898</v>
      </c>
      <c r="D699">
        <v>91</v>
      </c>
      <c r="E699">
        <v>81.08</v>
      </c>
      <c r="F699">
        <v>144</v>
      </c>
      <c r="G699">
        <v>0.5630555555555555</v>
      </c>
      <c r="H699">
        <v>0.08140108534780463</v>
      </c>
      <c r="I699">
        <v>0.1217336559125097</v>
      </c>
      <c r="J699">
        <v>0.03</v>
      </c>
      <c r="K699">
        <v>0.2040942733687334</v>
      </c>
      <c r="L699" t="s">
        <v>642</v>
      </c>
      <c r="M699" t="s">
        <v>580</v>
      </c>
      <c r="N699">
        <v>8.445833333333333</v>
      </c>
      <c r="O699">
        <v>9.6</v>
      </c>
      <c r="P699">
        <v>6.6</v>
      </c>
      <c r="Q699">
        <v>0.6875</v>
      </c>
      <c r="R699">
        <v>7</v>
      </c>
      <c r="S699">
        <v>0.04991376879974663</v>
      </c>
      <c r="T699" t="s">
        <v>997</v>
      </c>
      <c r="U699">
        <v>-0.311154769921153</v>
      </c>
      <c r="V699" t="s">
        <v>1004</v>
      </c>
      <c r="W699" t="s">
        <v>1008</v>
      </c>
      <c r="X699" t="s">
        <v>1013</v>
      </c>
      <c r="Y699">
        <v>892.274814</v>
      </c>
      <c r="Z699" s="2">
        <v>45146</v>
      </c>
      <c r="AA699" t="s">
        <v>1031</v>
      </c>
    </row>
    <row r="700" spans="1:27">
      <c r="A700" s="1" t="s">
        <v>725</v>
      </c>
      <c r="B700">
        <f>HYPERLINK("https://www.suredividend.com/sure-analysis-AAT/","American Assets Trust Inc")</f>
        <v>0</v>
      </c>
      <c r="C700" t="s">
        <v>898</v>
      </c>
      <c r="D700">
        <v>22</v>
      </c>
      <c r="E700">
        <v>20.23</v>
      </c>
      <c r="F700">
        <v>39</v>
      </c>
      <c r="G700">
        <v>0.5187179487179487</v>
      </c>
      <c r="H700">
        <v>0.0652496292634701</v>
      </c>
      <c r="I700">
        <v>0.1402858755435283</v>
      </c>
      <c r="J700">
        <v>0.02</v>
      </c>
      <c r="K700">
        <v>0.1995665666585771</v>
      </c>
      <c r="L700" t="s">
        <v>642</v>
      </c>
      <c r="M700" t="s">
        <v>580</v>
      </c>
      <c r="N700">
        <v>8.795652173913044</v>
      </c>
      <c r="O700">
        <v>2.3</v>
      </c>
      <c r="P700">
        <v>1.32</v>
      </c>
      <c r="Q700">
        <v>0.5739130434782609</v>
      </c>
      <c r="R700">
        <v>3</v>
      </c>
      <c r="S700">
        <v>0.02861755351046824</v>
      </c>
      <c r="T700" t="s">
        <v>956</v>
      </c>
      <c r="U700">
        <v>-0.232458184068381</v>
      </c>
      <c r="V700" t="s">
        <v>1005</v>
      </c>
      <c r="W700" t="s">
        <v>1008</v>
      </c>
      <c r="X700" t="s">
        <v>1019</v>
      </c>
      <c r="Y700">
        <v>1250.320132</v>
      </c>
      <c r="Z700" s="2">
        <v>45153</v>
      </c>
      <c r="AA700" t="s">
        <v>1022</v>
      </c>
    </row>
    <row r="701" spans="1:27">
      <c r="A701" s="1" t="s">
        <v>726</v>
      </c>
      <c r="B701">
        <f>HYPERLINK("https://www.suredividend.com/sure-analysis-ARR/","ARMOUR Residential REIT Inc")</f>
        <v>0</v>
      </c>
      <c r="C701" t="s">
        <v>898</v>
      </c>
      <c r="D701">
        <v>5.1</v>
      </c>
      <c r="E701">
        <v>4.82</v>
      </c>
      <c r="F701">
        <v>7.8</v>
      </c>
      <c r="G701">
        <v>0.617948717948718</v>
      </c>
      <c r="H701">
        <v>0.1991701244813278</v>
      </c>
      <c r="I701">
        <v>0.101056266265743</v>
      </c>
      <c r="J701">
        <v>-0.022</v>
      </c>
      <c r="K701">
        <v>0.1956711890576686</v>
      </c>
      <c r="L701" t="s">
        <v>642</v>
      </c>
      <c r="M701" t="s">
        <v>580</v>
      </c>
      <c r="N701">
        <v>4.303571428571429</v>
      </c>
      <c r="O701">
        <v>1.12</v>
      </c>
      <c r="P701">
        <v>0.96</v>
      </c>
      <c r="Q701">
        <v>0.857142857142857</v>
      </c>
      <c r="R701">
        <v>0</v>
      </c>
      <c r="S701">
        <v>0</v>
      </c>
      <c r="T701" t="s">
        <v>917</v>
      </c>
      <c r="U701">
        <v>-0.162145457042785</v>
      </c>
      <c r="V701" t="s">
        <v>1005</v>
      </c>
      <c r="W701" t="s">
        <v>1008</v>
      </c>
      <c r="X701" t="s">
        <v>1019</v>
      </c>
      <c r="Y701">
        <v>1114.149062</v>
      </c>
      <c r="Z701" s="2">
        <v>45146</v>
      </c>
      <c r="AA701" t="s">
        <v>1033</v>
      </c>
    </row>
    <row r="702" spans="1:27">
      <c r="A702" s="1" t="s">
        <v>727</v>
      </c>
      <c r="B702">
        <f>HYPERLINK("https://www.suredividend.com/sure-analysis-UMH/","UMH Properties Inc")</f>
        <v>0</v>
      </c>
      <c r="C702" t="s">
        <v>898</v>
      </c>
      <c r="D702">
        <v>14.7</v>
      </c>
      <c r="E702">
        <v>14.46</v>
      </c>
      <c r="F702">
        <v>22.1</v>
      </c>
      <c r="G702">
        <v>0.6542986425339367</v>
      </c>
      <c r="H702">
        <v>0.05670816044260027</v>
      </c>
      <c r="I702">
        <v>0.08854101182369667</v>
      </c>
      <c r="J702">
        <v>0.06</v>
      </c>
      <c r="K702">
        <v>0.1878807625504739</v>
      </c>
      <c r="L702" t="s">
        <v>642</v>
      </c>
      <c r="M702" t="s">
        <v>825</v>
      </c>
      <c r="N702">
        <v>15.89010989010989</v>
      </c>
      <c r="O702">
        <v>0.91</v>
      </c>
      <c r="P702">
        <v>0.82</v>
      </c>
      <c r="Q702">
        <v>0.901098901098901</v>
      </c>
      <c r="R702">
        <v>3</v>
      </c>
      <c r="S702">
        <v>0.04048836820440749</v>
      </c>
      <c r="T702" t="s">
        <v>917</v>
      </c>
      <c r="U702">
        <v>-0.175727717061154</v>
      </c>
      <c r="V702" t="s">
        <v>1005</v>
      </c>
      <c r="W702" t="s">
        <v>1008</v>
      </c>
      <c r="X702" t="s">
        <v>1019</v>
      </c>
      <c r="Y702">
        <v>965.332222</v>
      </c>
      <c r="Z702" s="2">
        <v>45167</v>
      </c>
      <c r="AA702" t="s">
        <v>1033</v>
      </c>
    </row>
    <row r="703" spans="1:27">
      <c r="A703" s="1" t="s">
        <v>728</v>
      </c>
      <c r="B703">
        <f>HYPERLINK("https://www.suredividend.com/sure-analysis-CLPR/","Clipper Realty Inc")</f>
        <v>0</v>
      </c>
      <c r="C703" t="s">
        <v>898</v>
      </c>
      <c r="D703">
        <v>5.9</v>
      </c>
      <c r="E703">
        <v>5.86</v>
      </c>
      <c r="F703">
        <v>10.2</v>
      </c>
      <c r="G703">
        <v>0.5745098039215687</v>
      </c>
      <c r="H703">
        <v>0.06484641638225255</v>
      </c>
      <c r="I703">
        <v>0.117224654922482</v>
      </c>
      <c r="J703">
        <v>0.028</v>
      </c>
      <c r="K703">
        <v>0.184603710733656</v>
      </c>
      <c r="L703" t="s">
        <v>642</v>
      </c>
      <c r="M703" t="s">
        <v>580</v>
      </c>
      <c r="N703">
        <v>11.05660377358491</v>
      </c>
      <c r="O703">
        <v>0.53</v>
      </c>
      <c r="P703">
        <v>0.38</v>
      </c>
      <c r="Q703">
        <v>0.7169811320754716</v>
      </c>
      <c r="R703">
        <v>0</v>
      </c>
      <c r="S703">
        <v>0.01031145931793609</v>
      </c>
      <c r="T703" t="s">
        <v>917</v>
      </c>
      <c r="U703">
        <v>-0.273746496418561</v>
      </c>
      <c r="V703" t="s">
        <v>1005</v>
      </c>
      <c r="W703" t="s">
        <v>1008</v>
      </c>
      <c r="X703" t="s">
        <v>1019</v>
      </c>
      <c r="Y703">
        <v>93.648619</v>
      </c>
      <c r="Z703" s="2">
        <v>45165</v>
      </c>
      <c r="AA703" t="s">
        <v>1033</v>
      </c>
    </row>
    <row r="704" spans="1:27">
      <c r="A704" s="1" t="s">
        <v>729</v>
      </c>
      <c r="B704">
        <f>HYPERLINK("https://www.suredividend.com/sure-analysis-WEN/","Wendy`s Co")</f>
        <v>0</v>
      </c>
      <c r="C704" t="s">
        <v>898</v>
      </c>
      <c r="D704">
        <v>22</v>
      </c>
      <c r="E704">
        <v>19.94</v>
      </c>
      <c r="F704">
        <v>25</v>
      </c>
      <c r="G704">
        <v>0.7976000000000001</v>
      </c>
      <c r="H704">
        <v>0.05015045135406218</v>
      </c>
      <c r="I704">
        <v>0.046268068103962</v>
      </c>
      <c r="J704">
        <v>0.1</v>
      </c>
      <c r="K704">
        <v>0.1832163998087581</v>
      </c>
      <c r="L704" t="s">
        <v>642</v>
      </c>
      <c r="M704" t="s">
        <v>825</v>
      </c>
      <c r="N704">
        <v>20.34693877551021</v>
      </c>
      <c r="O704">
        <v>0.98</v>
      </c>
      <c r="P704">
        <v>1</v>
      </c>
      <c r="Q704">
        <v>1.020408163265306</v>
      </c>
      <c r="R704">
        <v>3</v>
      </c>
      <c r="S704">
        <v>0.0602809527753625</v>
      </c>
      <c r="T704" t="s">
        <v>916</v>
      </c>
      <c r="U704">
        <v>0.026272789596037</v>
      </c>
      <c r="V704" t="s">
        <v>1004</v>
      </c>
      <c r="W704" t="s">
        <v>1008</v>
      </c>
      <c r="X704" t="s">
        <v>1013</v>
      </c>
      <c r="Y704">
        <v>4166.926887</v>
      </c>
      <c r="Z704" s="2">
        <v>45155</v>
      </c>
      <c r="AA704" t="s">
        <v>1026</v>
      </c>
    </row>
    <row r="705" spans="1:27">
      <c r="A705" s="1" t="s">
        <v>730</v>
      </c>
      <c r="B705">
        <f>HYPERLINK("https://www.suredividend.com/sure-analysis-IEP/","Icahn Enterprises L P")</f>
        <v>0</v>
      </c>
      <c r="C705" t="s">
        <v>898</v>
      </c>
      <c r="D705">
        <v>25</v>
      </c>
      <c r="E705">
        <v>21.06</v>
      </c>
      <c r="F705">
        <v>26</v>
      </c>
      <c r="G705">
        <v>0.8099999999999999</v>
      </c>
      <c r="H705">
        <v>0.1899335232668566</v>
      </c>
      <c r="I705">
        <v>0.04304488151063279</v>
      </c>
      <c r="J705">
        <v>0</v>
      </c>
      <c r="K705">
        <v>0.1691221615831524</v>
      </c>
      <c r="L705" t="s">
        <v>642</v>
      </c>
      <c r="M705" t="s">
        <v>580</v>
      </c>
      <c r="N705">
        <v>5.265</v>
      </c>
      <c r="O705">
        <v>4</v>
      </c>
      <c r="P705">
        <v>4</v>
      </c>
      <c r="Q705">
        <v>1</v>
      </c>
      <c r="R705">
        <v>0</v>
      </c>
      <c r="S705">
        <v>0</v>
      </c>
      <c r="T705" t="s">
        <v>998</v>
      </c>
      <c r="U705">
        <v>-0.494261234674757</v>
      </c>
      <c r="V705" t="s">
        <v>1006</v>
      </c>
      <c r="W705" t="s">
        <v>1008</v>
      </c>
      <c r="X705" t="s">
        <v>1012</v>
      </c>
      <c r="Y705">
        <v>8644.281356</v>
      </c>
      <c r="Z705" s="2">
        <v>45143</v>
      </c>
      <c r="AA705" t="s">
        <v>1032</v>
      </c>
    </row>
    <row r="706" spans="1:27">
      <c r="A706" s="1" t="s">
        <v>731</v>
      </c>
      <c r="B706">
        <f>HYPERLINK("https://www.suredividend.com/sure-analysis-SLG/","SL Green Realty Corp.")</f>
        <v>0</v>
      </c>
      <c r="C706" t="s">
        <v>898</v>
      </c>
      <c r="D706">
        <v>35</v>
      </c>
      <c r="E706">
        <v>39.41</v>
      </c>
      <c r="F706">
        <v>54</v>
      </c>
      <c r="G706">
        <v>0.7298148148148148</v>
      </c>
      <c r="H706">
        <v>0.08246637909160112</v>
      </c>
      <c r="I706">
        <v>0.06501926805853686</v>
      </c>
      <c r="J706">
        <v>0.05</v>
      </c>
      <c r="K706">
        <v>0.1678584414098105</v>
      </c>
      <c r="L706" t="s">
        <v>642</v>
      </c>
      <c r="M706" t="s">
        <v>902</v>
      </c>
      <c r="N706">
        <v>7.165454545454545</v>
      </c>
      <c r="O706">
        <v>5.5</v>
      </c>
      <c r="P706">
        <v>3.25</v>
      </c>
      <c r="Q706">
        <v>0.5909090909090909</v>
      </c>
      <c r="R706">
        <v>0</v>
      </c>
      <c r="S706">
        <v>0.009064926884643665</v>
      </c>
      <c r="T706" t="s">
        <v>925</v>
      </c>
      <c r="U706">
        <v>-0.07451384836682801</v>
      </c>
      <c r="V706" t="s">
        <v>1005</v>
      </c>
      <c r="W706" t="s">
        <v>1008</v>
      </c>
      <c r="X706" t="s">
        <v>1019</v>
      </c>
      <c r="Y706">
        <v>2634.755814</v>
      </c>
      <c r="Z706" s="2">
        <v>45127</v>
      </c>
      <c r="AA706" t="s">
        <v>1022</v>
      </c>
    </row>
    <row r="707" spans="1:27">
      <c r="A707" s="1" t="s">
        <v>732</v>
      </c>
      <c r="B707">
        <f>HYPERLINK("https://www.suredividend.com/sure-analysis-TPVG/","TriplePoint Venture Growth BDC Corp")</f>
        <v>0</v>
      </c>
      <c r="C707" t="s">
        <v>898</v>
      </c>
      <c r="D707">
        <v>11.17</v>
      </c>
      <c r="E707">
        <v>10.71</v>
      </c>
      <c r="F707">
        <v>15</v>
      </c>
      <c r="G707">
        <v>0.7140000000000001</v>
      </c>
      <c r="H707">
        <v>0.1493930905695612</v>
      </c>
      <c r="I707">
        <v>0.06969596509767206</v>
      </c>
      <c r="J707">
        <v>0</v>
      </c>
      <c r="K707">
        <v>0.1651656506325778</v>
      </c>
      <c r="L707" t="s">
        <v>642</v>
      </c>
      <c r="M707" t="s">
        <v>902</v>
      </c>
      <c r="N707">
        <v>5.355</v>
      </c>
      <c r="O707">
        <v>2</v>
      </c>
      <c r="P707">
        <v>1.6</v>
      </c>
      <c r="Q707">
        <v>0.8</v>
      </c>
      <c r="R707">
        <v>2</v>
      </c>
      <c r="S707">
        <v>0</v>
      </c>
      <c r="T707" t="s">
        <v>912</v>
      </c>
      <c r="U707">
        <v>-0.035625432814383</v>
      </c>
      <c r="V707" t="s">
        <v>1007</v>
      </c>
      <c r="W707" t="s">
        <v>1008</v>
      </c>
      <c r="X707" t="s">
        <v>1015</v>
      </c>
      <c r="Y707">
        <v>399.839363</v>
      </c>
      <c r="Z707" s="2">
        <v>45142</v>
      </c>
      <c r="AA707" t="s">
        <v>1032</v>
      </c>
    </row>
    <row r="708" spans="1:27">
      <c r="A708" s="1" t="s">
        <v>733</v>
      </c>
      <c r="B708">
        <f>HYPERLINK("https://www.suredividend.com/sure-analysis-HR/","Healthcare Realty Trust Inc")</f>
        <v>0</v>
      </c>
      <c r="C708" t="s">
        <v>898</v>
      </c>
      <c r="D708">
        <v>17</v>
      </c>
      <c r="E708">
        <v>16.27</v>
      </c>
      <c r="F708">
        <v>24</v>
      </c>
      <c r="G708">
        <v>0.6779166666666666</v>
      </c>
      <c r="H708">
        <v>0.07621389059618931</v>
      </c>
      <c r="I708">
        <v>0.08084828491017504</v>
      </c>
      <c r="J708">
        <v>0.03</v>
      </c>
      <c r="K708">
        <v>0.1601960360301702</v>
      </c>
      <c r="L708" t="s">
        <v>642</v>
      </c>
      <c r="M708" t="s">
        <v>580</v>
      </c>
      <c r="N708">
        <v>10.23270440251572</v>
      </c>
      <c r="O708">
        <v>1.59</v>
      </c>
      <c r="P708">
        <v>1.24</v>
      </c>
      <c r="Q708">
        <v>0.7798742138364779</v>
      </c>
      <c r="R708">
        <v>2</v>
      </c>
      <c r="S708">
        <v>0.009495374682843893</v>
      </c>
      <c r="T708" t="s">
        <v>917</v>
      </c>
      <c r="U708">
        <v>-0.306568105523719</v>
      </c>
      <c r="V708" t="s">
        <v>1005</v>
      </c>
      <c r="W708" t="s">
        <v>1008</v>
      </c>
      <c r="X708" t="s">
        <v>1019</v>
      </c>
      <c r="Y708">
        <v>6230.829224</v>
      </c>
      <c r="Z708" s="2">
        <v>45155</v>
      </c>
      <c r="AA708" t="s">
        <v>1026</v>
      </c>
    </row>
    <row r="709" spans="1:27">
      <c r="A709" s="1" t="s">
        <v>734</v>
      </c>
      <c r="B709">
        <f>HYPERLINK("https://www.suredividend.com/sure-analysis-ERIC/","Telefonaktiebolaget L M Ericsson")</f>
        <v>0</v>
      </c>
      <c r="C709" t="s">
        <v>899</v>
      </c>
      <c r="D709">
        <v>5</v>
      </c>
      <c r="E709">
        <v>5.05</v>
      </c>
      <c r="F709">
        <v>4.5</v>
      </c>
      <c r="G709">
        <v>1.122222222222222</v>
      </c>
      <c r="H709">
        <v>0.05148514851485149</v>
      </c>
      <c r="I709">
        <v>-0.02279827006487278</v>
      </c>
      <c r="J709">
        <v>0.15</v>
      </c>
      <c r="K709">
        <v>0.1600808588579439</v>
      </c>
      <c r="L709" t="s">
        <v>642</v>
      </c>
      <c r="M709" t="s">
        <v>825</v>
      </c>
      <c r="N709">
        <v>15.78125</v>
      </c>
      <c r="O709">
        <v>0.32</v>
      </c>
      <c r="P709">
        <v>0.26</v>
      </c>
      <c r="Q709">
        <v>0.8125</v>
      </c>
      <c r="R709">
        <v>4</v>
      </c>
      <c r="S709">
        <v>0.06125302037503699</v>
      </c>
      <c r="T709" t="s">
        <v>984</v>
      </c>
      <c r="U709">
        <v>-0.267152363469481</v>
      </c>
      <c r="V709" t="s">
        <v>1004</v>
      </c>
      <c r="W709" t="s">
        <v>1009</v>
      </c>
      <c r="X709" t="s">
        <v>1016</v>
      </c>
      <c r="Y709">
        <v>15751.042293</v>
      </c>
      <c r="Z709" s="2">
        <v>45124</v>
      </c>
      <c r="AA709" t="s">
        <v>1022</v>
      </c>
    </row>
    <row r="710" spans="1:27">
      <c r="A710" s="1" t="s">
        <v>735</v>
      </c>
      <c r="B710">
        <f>HYPERLINK("https://www.suredividend.com/sure-analysis-BGS/","B&amp;G Foods, Inc")</f>
        <v>0</v>
      </c>
      <c r="C710" t="s">
        <v>899</v>
      </c>
      <c r="D710">
        <v>14</v>
      </c>
      <c r="E710">
        <v>10.74</v>
      </c>
      <c r="F710">
        <v>13</v>
      </c>
      <c r="G710">
        <v>0.8261538461538461</v>
      </c>
      <c r="H710">
        <v>0.07076350093109869</v>
      </c>
      <c r="I710">
        <v>0.03893365319830133</v>
      </c>
      <c r="J710">
        <v>0.075</v>
      </c>
      <c r="K710">
        <v>0.1590265805027868</v>
      </c>
      <c r="L710" t="s">
        <v>642</v>
      </c>
      <c r="M710" t="s">
        <v>580</v>
      </c>
      <c r="N710">
        <v>10.22857142857143</v>
      </c>
      <c r="O710">
        <v>1.05</v>
      </c>
      <c r="P710">
        <v>0.76</v>
      </c>
      <c r="Q710">
        <v>0.7238095238095238</v>
      </c>
      <c r="R710">
        <v>0</v>
      </c>
      <c r="S710">
        <v>0</v>
      </c>
      <c r="T710" t="s">
        <v>911</v>
      </c>
      <c r="U710">
        <v>-0.436483247488398</v>
      </c>
      <c r="V710" t="s">
        <v>1004</v>
      </c>
      <c r="W710" t="s">
        <v>1008</v>
      </c>
      <c r="X710" t="s">
        <v>1011</v>
      </c>
      <c r="Y710">
        <v>798.821882</v>
      </c>
      <c r="Z710" s="2">
        <v>45145</v>
      </c>
      <c r="AA710" t="s">
        <v>1026</v>
      </c>
    </row>
    <row r="711" spans="1:27">
      <c r="A711" s="1" t="s">
        <v>736</v>
      </c>
      <c r="B711">
        <f>HYPERLINK("https://www.suredividend.com/sure-analysis-PEAK/","Healthpeak Properties Inc.")</f>
        <v>0</v>
      </c>
      <c r="C711" t="s">
        <v>898</v>
      </c>
      <c r="D711">
        <v>20</v>
      </c>
      <c r="E711">
        <v>19.86</v>
      </c>
      <c r="F711">
        <v>27</v>
      </c>
      <c r="G711">
        <v>0.7355555555555555</v>
      </c>
      <c r="H711">
        <v>0.06042296072507553</v>
      </c>
      <c r="I711">
        <v>0.06335163701844215</v>
      </c>
      <c r="J711">
        <v>0.05</v>
      </c>
      <c r="K711">
        <v>0.1575611654470019</v>
      </c>
      <c r="L711" t="s">
        <v>642</v>
      </c>
      <c r="M711" t="s">
        <v>580</v>
      </c>
      <c r="N711">
        <v>11.34857142857143</v>
      </c>
      <c r="O711">
        <v>1.75</v>
      </c>
      <c r="P711">
        <v>1.2</v>
      </c>
      <c r="Q711">
        <v>0.6857142857142857</v>
      </c>
      <c r="R711">
        <v>0</v>
      </c>
      <c r="S711">
        <v>0.04283618904063879</v>
      </c>
      <c r="T711" t="s">
        <v>910</v>
      </c>
      <c r="U711">
        <v>-0.209738496005075</v>
      </c>
      <c r="V711" t="s">
        <v>1005</v>
      </c>
      <c r="W711" t="s">
        <v>1008</v>
      </c>
      <c r="X711" t="s">
        <v>1019</v>
      </c>
      <c r="Y711">
        <v>10902.79196</v>
      </c>
      <c r="Z711" s="2">
        <v>45156</v>
      </c>
      <c r="AA711" t="s">
        <v>1022</v>
      </c>
    </row>
    <row r="712" spans="1:27">
      <c r="A712" s="1" t="s">
        <v>737</v>
      </c>
      <c r="B712">
        <f>HYPERLINK("https://www.suredividend.com/sure-analysis-TRP/","TC Energy Corporation")</f>
        <v>0</v>
      </c>
      <c r="C712" t="s">
        <v>898</v>
      </c>
      <c r="D712">
        <v>36</v>
      </c>
      <c r="E712">
        <v>36.43</v>
      </c>
      <c r="F712">
        <v>49</v>
      </c>
      <c r="G712">
        <v>0.7434693877551021</v>
      </c>
      <c r="H712">
        <v>0.07685973099094152</v>
      </c>
      <c r="I712">
        <v>0.06107817501098745</v>
      </c>
      <c r="J712">
        <v>0.03</v>
      </c>
      <c r="K712">
        <v>0.1471101275012663</v>
      </c>
      <c r="L712" t="s">
        <v>642</v>
      </c>
      <c r="M712" t="s">
        <v>580</v>
      </c>
      <c r="N712">
        <v>10.87462686567164</v>
      </c>
      <c r="O712">
        <v>3.35</v>
      </c>
      <c r="P712">
        <v>2.8</v>
      </c>
      <c r="Q712">
        <v>0.835820895522388</v>
      </c>
      <c r="R712">
        <v>1</v>
      </c>
      <c r="S712">
        <v>0.03527860840961283</v>
      </c>
      <c r="T712" t="s">
        <v>911</v>
      </c>
      <c r="U712">
        <v>-0.211097132445447</v>
      </c>
      <c r="V712" t="s">
        <v>1004</v>
      </c>
      <c r="W712" t="s">
        <v>1009</v>
      </c>
      <c r="X712" t="s">
        <v>1020</v>
      </c>
      <c r="Y712">
        <v>37733.432341</v>
      </c>
      <c r="Z712" s="2">
        <v>45161</v>
      </c>
      <c r="AA712" t="s">
        <v>1022</v>
      </c>
    </row>
    <row r="713" spans="1:27">
      <c r="A713" s="1" t="s">
        <v>738</v>
      </c>
      <c r="B713">
        <f>HYPERLINK("https://www.suredividend.com/sure-analysis-JHG/","Janus Henderson Group plc")</f>
        <v>0</v>
      </c>
      <c r="C713" t="s">
        <v>898</v>
      </c>
      <c r="D713">
        <v>26</v>
      </c>
      <c r="E713">
        <v>27.18</v>
      </c>
      <c r="F713">
        <v>39</v>
      </c>
      <c r="G713">
        <v>0.6969230769230769</v>
      </c>
      <c r="H713">
        <v>0.05886681383370126</v>
      </c>
      <c r="I713">
        <v>0.07488754572658518</v>
      </c>
      <c r="J713">
        <v>0.03</v>
      </c>
      <c r="K713">
        <v>0.1469483279144628</v>
      </c>
      <c r="L713" t="s">
        <v>642</v>
      </c>
      <c r="M713" t="s">
        <v>580</v>
      </c>
      <c r="N713">
        <v>10.45384615384615</v>
      </c>
      <c r="O713">
        <v>2.6</v>
      </c>
      <c r="P713">
        <v>1.6</v>
      </c>
      <c r="Q713">
        <v>0.6153846153846154</v>
      </c>
      <c r="R713">
        <v>2</v>
      </c>
      <c r="S713">
        <v>0.02946206823925857</v>
      </c>
      <c r="T713" t="s">
        <v>947</v>
      </c>
      <c r="U713">
        <v>0.135284976269477</v>
      </c>
      <c r="V713" t="s">
        <v>1004</v>
      </c>
      <c r="W713" t="s">
        <v>1009</v>
      </c>
      <c r="X713" t="s">
        <v>1015</v>
      </c>
      <c r="Y713">
        <v>4477.733172</v>
      </c>
      <c r="Z713" s="2">
        <v>45157</v>
      </c>
      <c r="AA713" t="s">
        <v>1025</v>
      </c>
    </row>
    <row r="714" spans="1:27">
      <c r="A714" s="1" t="s">
        <v>739</v>
      </c>
      <c r="B714">
        <f>HYPERLINK("https://www.suredividend.com/sure-analysis-BEP/","Brookfield Renewable Partners LP")</f>
        <v>0</v>
      </c>
      <c r="C714" t="s">
        <v>898</v>
      </c>
      <c r="D714">
        <v>25</v>
      </c>
      <c r="E714">
        <v>25.04</v>
      </c>
      <c r="F714">
        <v>31</v>
      </c>
      <c r="G714">
        <v>0.807741935483871</v>
      </c>
      <c r="H714">
        <v>0.05391373801916934</v>
      </c>
      <c r="I714">
        <v>0.04362740255131259</v>
      </c>
      <c r="J714">
        <v>0.06</v>
      </c>
      <c r="K714">
        <v>0.1451402837984501</v>
      </c>
      <c r="L714" t="s">
        <v>642</v>
      </c>
      <c r="M714" t="s">
        <v>825</v>
      </c>
      <c r="N714">
        <v>13.91111111111111</v>
      </c>
      <c r="O714">
        <v>1.8</v>
      </c>
      <c r="P714">
        <v>1.35</v>
      </c>
      <c r="Q714">
        <v>0.75</v>
      </c>
      <c r="R714">
        <v>2</v>
      </c>
      <c r="S714">
        <v>0.04963652720607437</v>
      </c>
      <c r="T714" t="s">
        <v>925</v>
      </c>
      <c r="U714">
        <v>-0.3079316353924531</v>
      </c>
      <c r="V714" t="s">
        <v>1006</v>
      </c>
      <c r="W714" t="s">
        <v>1009</v>
      </c>
      <c r="X714" t="s">
        <v>1018</v>
      </c>
      <c r="Y714">
        <v>7213.415347</v>
      </c>
      <c r="Z714" s="2">
        <v>45162</v>
      </c>
      <c r="AA714" t="s">
        <v>1022</v>
      </c>
    </row>
    <row r="715" spans="1:27">
      <c r="A715" s="1" t="s">
        <v>740</v>
      </c>
      <c r="B715">
        <f>HYPERLINK("https://www.suredividend.com/sure-analysis-GNL/","Global Net Lease Inc")</f>
        <v>0</v>
      </c>
      <c r="C715" t="s">
        <v>898</v>
      </c>
      <c r="D715">
        <v>10.7</v>
      </c>
      <c r="E715">
        <v>10.95</v>
      </c>
      <c r="F715">
        <v>13.4</v>
      </c>
      <c r="G715">
        <v>0.8171641791044776</v>
      </c>
      <c r="H715">
        <v>0.1461187214611872</v>
      </c>
      <c r="I715">
        <v>0.04120953327146593</v>
      </c>
      <c r="J715">
        <v>0.002</v>
      </c>
      <c r="K715">
        <v>0.1448386535014448</v>
      </c>
      <c r="L715" t="s">
        <v>642</v>
      </c>
      <c r="M715" t="s">
        <v>580</v>
      </c>
      <c r="N715">
        <v>6.517857142857142</v>
      </c>
      <c r="O715">
        <v>1.68</v>
      </c>
      <c r="P715">
        <v>1.6</v>
      </c>
      <c r="Q715">
        <v>0.9523809523809524</v>
      </c>
      <c r="R715">
        <v>0</v>
      </c>
      <c r="S715">
        <v>0</v>
      </c>
      <c r="T715" t="s">
        <v>995</v>
      </c>
      <c r="U715">
        <v>-0.07358765895351201</v>
      </c>
      <c r="V715" t="s">
        <v>1005</v>
      </c>
      <c r="W715" t="s">
        <v>1008</v>
      </c>
      <c r="X715" t="s">
        <v>1019</v>
      </c>
      <c r="Y715">
        <v>1160.223966</v>
      </c>
      <c r="Z715" s="2">
        <v>45164</v>
      </c>
      <c r="AA715" t="s">
        <v>1033</v>
      </c>
    </row>
    <row r="716" spans="1:27">
      <c r="A716" s="1" t="s">
        <v>741</v>
      </c>
      <c r="B716">
        <f>HYPERLINK("https://www.suredividend.com/sure-analysis-KREF/","KKR Real Estate Finance Trust Inc")</f>
        <v>0</v>
      </c>
      <c r="C716" t="s">
        <v>898</v>
      </c>
      <c r="D716">
        <v>12.21</v>
      </c>
      <c r="E716">
        <v>12.51</v>
      </c>
      <c r="F716">
        <v>14.8</v>
      </c>
      <c r="G716">
        <v>0.8452702702702702</v>
      </c>
      <c r="H716">
        <v>0.1374900079936051</v>
      </c>
      <c r="I716">
        <v>0.03419130270235349</v>
      </c>
      <c r="J716">
        <v>0.015</v>
      </c>
      <c r="K716">
        <v>0.144292127942377</v>
      </c>
      <c r="L716" t="s">
        <v>642</v>
      </c>
      <c r="M716" t="s">
        <v>580</v>
      </c>
      <c r="N716">
        <v>6.762162162162162</v>
      </c>
      <c r="O716">
        <v>1.85</v>
      </c>
      <c r="P716">
        <v>1.72</v>
      </c>
      <c r="Q716">
        <v>0.9297297297297297</v>
      </c>
      <c r="R716">
        <v>0</v>
      </c>
      <c r="S716">
        <v>0</v>
      </c>
      <c r="T716" t="s">
        <v>911</v>
      </c>
      <c r="U716">
        <v>-0.275012915446874</v>
      </c>
      <c r="V716" t="s">
        <v>1005</v>
      </c>
      <c r="W716" t="s">
        <v>1008</v>
      </c>
      <c r="X716" t="s">
        <v>1019</v>
      </c>
      <c r="Y716">
        <v>872.8095499999999</v>
      </c>
      <c r="Z716" s="2">
        <v>45132</v>
      </c>
      <c r="AA716" t="s">
        <v>1032</v>
      </c>
    </row>
    <row r="717" spans="1:27">
      <c r="A717" s="1" t="s">
        <v>742</v>
      </c>
      <c r="B717">
        <f>HYPERLINK("https://www.suredividend.com/sure-analysis-WASH/","Washington Trust Bancorp, Inc.")</f>
        <v>0</v>
      </c>
      <c r="C717" t="s">
        <v>898</v>
      </c>
      <c r="D717">
        <v>30</v>
      </c>
      <c r="E717">
        <v>27.84</v>
      </c>
      <c r="F717">
        <v>32</v>
      </c>
      <c r="G717">
        <v>0.87</v>
      </c>
      <c r="H717">
        <v>0.08045977011494254</v>
      </c>
      <c r="I717">
        <v>0.02824391826709793</v>
      </c>
      <c r="J717">
        <v>0.05</v>
      </c>
      <c r="K717">
        <v>0.1410060052204904</v>
      </c>
      <c r="L717" t="s">
        <v>642</v>
      </c>
      <c r="M717" t="s">
        <v>580</v>
      </c>
      <c r="N717">
        <v>10.46616541353383</v>
      </c>
      <c r="O717">
        <v>2.66</v>
      </c>
      <c r="P717">
        <v>2.24</v>
      </c>
      <c r="Q717">
        <v>0.8421052631578948</v>
      </c>
      <c r="R717">
        <v>13</v>
      </c>
      <c r="S717">
        <v>0.05008294028029181</v>
      </c>
      <c r="T717" t="s">
        <v>938</v>
      </c>
      <c r="U717">
        <v>-0.394223114875403</v>
      </c>
      <c r="V717" t="s">
        <v>1004</v>
      </c>
      <c r="W717" t="s">
        <v>1008</v>
      </c>
      <c r="X717" t="s">
        <v>1015</v>
      </c>
      <c r="Y717">
        <v>477.900231</v>
      </c>
      <c r="Z717" s="2">
        <v>45133</v>
      </c>
      <c r="AA717" t="s">
        <v>1021</v>
      </c>
    </row>
    <row r="718" spans="1:27">
      <c r="A718" s="1" t="s">
        <v>743</v>
      </c>
      <c r="B718">
        <f>HYPERLINK("https://www.suredividend.com/sure-analysis-MRCC/","Monroe Capital Corp")</f>
        <v>0</v>
      </c>
      <c r="C718" t="s">
        <v>898</v>
      </c>
      <c r="D718">
        <v>8.470000000000001</v>
      </c>
      <c r="E718">
        <v>7.0599</v>
      </c>
      <c r="F718">
        <v>8.630000000000001</v>
      </c>
      <c r="G718">
        <v>0.8180648899188875</v>
      </c>
      <c r="H718">
        <v>0.1416450657941331</v>
      </c>
      <c r="I718">
        <v>0.04098015244829045</v>
      </c>
      <c r="J718">
        <v>0</v>
      </c>
      <c r="K718">
        <v>0.1406160049905143</v>
      </c>
      <c r="L718" t="s">
        <v>642</v>
      </c>
      <c r="M718" t="s">
        <v>580</v>
      </c>
      <c r="N718">
        <v>6.13904347826087</v>
      </c>
      <c r="O718">
        <v>1.15</v>
      </c>
      <c r="P718">
        <v>1</v>
      </c>
      <c r="Q718">
        <v>0.8695652173913044</v>
      </c>
      <c r="R718">
        <v>0</v>
      </c>
      <c r="S718">
        <v>0</v>
      </c>
      <c r="T718" t="s">
        <v>912</v>
      </c>
      <c r="U718">
        <v>0.015893384662683</v>
      </c>
      <c r="V718" t="s">
        <v>1007</v>
      </c>
      <c r="W718" t="s">
        <v>1008</v>
      </c>
      <c r="X718" t="s">
        <v>1015</v>
      </c>
      <c r="Y718">
        <v>164.664184</v>
      </c>
      <c r="Z718" s="2">
        <v>45148</v>
      </c>
      <c r="AA718" t="s">
        <v>1032</v>
      </c>
    </row>
    <row r="719" spans="1:27">
      <c r="A719" s="1" t="s">
        <v>744</v>
      </c>
      <c r="B719">
        <f>HYPERLINK("https://www.suredividend.com/sure-analysis-CBRL/","Cracker Barrel Old Country Store Inc")</f>
        <v>0</v>
      </c>
      <c r="C719" t="s">
        <v>899</v>
      </c>
      <c r="D719">
        <v>93</v>
      </c>
      <c r="E719">
        <v>71.93000000000001</v>
      </c>
      <c r="F719">
        <v>88</v>
      </c>
      <c r="G719">
        <v>0.8173863636363637</v>
      </c>
      <c r="H719">
        <v>0.07229250660364242</v>
      </c>
      <c r="I719">
        <v>0.04115292214589816</v>
      </c>
      <c r="J719">
        <v>0.045</v>
      </c>
      <c r="K719">
        <v>0.1392139161314103</v>
      </c>
      <c r="L719" t="s">
        <v>642</v>
      </c>
      <c r="M719" t="s">
        <v>825</v>
      </c>
      <c r="N719">
        <v>12.23299319727891</v>
      </c>
      <c r="O719">
        <v>5.88</v>
      </c>
      <c r="P719">
        <v>5.2</v>
      </c>
      <c r="Q719">
        <v>0.8843537414965987</v>
      </c>
      <c r="R719">
        <v>0</v>
      </c>
      <c r="S719">
        <v>0.02903366107118788</v>
      </c>
      <c r="T719" t="s">
        <v>935</v>
      </c>
      <c r="U719">
        <v>-0.292896844726133</v>
      </c>
      <c r="V719" t="s">
        <v>1004</v>
      </c>
      <c r="W719" t="s">
        <v>1008</v>
      </c>
      <c r="X719" t="s">
        <v>1013</v>
      </c>
      <c r="Y719">
        <v>1643.267406</v>
      </c>
      <c r="Z719" s="2">
        <v>45091</v>
      </c>
      <c r="AA719" t="s">
        <v>1033</v>
      </c>
    </row>
    <row r="720" spans="1:27">
      <c r="A720" s="1" t="s">
        <v>745</v>
      </c>
      <c r="B720">
        <f>HYPERLINK("https://www.suredividend.com/sure-analysis-LTC/","LTC Properties, Inc.")</f>
        <v>0</v>
      </c>
      <c r="C720" t="s">
        <v>898</v>
      </c>
      <c r="D720">
        <v>32</v>
      </c>
      <c r="E720">
        <v>31.99</v>
      </c>
      <c r="F720">
        <v>41</v>
      </c>
      <c r="G720">
        <v>0.7802439024390243</v>
      </c>
      <c r="H720">
        <v>0.07127227258518287</v>
      </c>
      <c r="I720">
        <v>0.05088192746991393</v>
      </c>
      <c r="J720">
        <v>0.04</v>
      </c>
      <c r="K720">
        <v>0.1388455470679881</v>
      </c>
      <c r="L720" t="s">
        <v>642</v>
      </c>
      <c r="M720" t="s">
        <v>580</v>
      </c>
      <c r="N720">
        <v>11.84814814814815</v>
      </c>
      <c r="O720">
        <v>2.7</v>
      </c>
      <c r="P720">
        <v>2.28</v>
      </c>
      <c r="Q720">
        <v>0.8444444444444443</v>
      </c>
      <c r="R720">
        <v>0</v>
      </c>
      <c r="S720">
        <v>0</v>
      </c>
      <c r="T720" t="s">
        <v>913</v>
      </c>
      <c r="U720">
        <v>-0.234758140794995</v>
      </c>
      <c r="V720" t="s">
        <v>1005</v>
      </c>
      <c r="W720" t="s">
        <v>1008</v>
      </c>
      <c r="X720" t="s">
        <v>1019</v>
      </c>
      <c r="Y720">
        <v>1333.359915</v>
      </c>
      <c r="Z720" s="2">
        <v>45160</v>
      </c>
      <c r="AA720" t="s">
        <v>1022</v>
      </c>
    </row>
    <row r="721" spans="1:27">
      <c r="A721" s="1" t="s">
        <v>746</v>
      </c>
      <c r="B721">
        <f>HYPERLINK("https://www.suredividend.com/sure-analysis-AGNC/","AGNC Investment Corp")</f>
        <v>0</v>
      </c>
      <c r="C721" t="s">
        <v>898</v>
      </c>
      <c r="D721">
        <v>10.2</v>
      </c>
      <c r="E721">
        <v>9.93</v>
      </c>
      <c r="F721">
        <v>14.5</v>
      </c>
      <c r="G721">
        <v>0.6848275862068965</v>
      </c>
      <c r="H721">
        <v>0.1450151057401813</v>
      </c>
      <c r="I721">
        <v>0.07865795511559837</v>
      </c>
      <c r="J721">
        <v>-0.042</v>
      </c>
      <c r="K721">
        <v>0.1373750846080164</v>
      </c>
      <c r="L721" t="s">
        <v>642</v>
      </c>
      <c r="M721" t="s">
        <v>902</v>
      </c>
      <c r="N721">
        <v>4.103305785123967</v>
      </c>
      <c r="O721">
        <v>2.42</v>
      </c>
      <c r="P721">
        <v>1.44</v>
      </c>
      <c r="Q721">
        <v>0.5950413223140496</v>
      </c>
      <c r="R721">
        <v>0</v>
      </c>
      <c r="S721">
        <v>0</v>
      </c>
      <c r="T721" t="s">
        <v>925</v>
      </c>
      <c r="U721">
        <v>0.014959484728859</v>
      </c>
      <c r="V721" t="s">
        <v>1005</v>
      </c>
      <c r="W721" t="s">
        <v>1008</v>
      </c>
      <c r="X721" t="s">
        <v>1019</v>
      </c>
      <c r="Y721">
        <v>5921.375905</v>
      </c>
      <c r="Z721" s="2">
        <v>45139</v>
      </c>
      <c r="AA721" t="s">
        <v>1033</v>
      </c>
    </row>
    <row r="722" spans="1:27">
      <c r="A722" s="1" t="s">
        <v>747</v>
      </c>
      <c r="B722">
        <f>HYPERLINK("https://www.suredividend.com/sure-analysis-TWO/","Two Harbors Investment Corp")</f>
        <v>0</v>
      </c>
      <c r="C722" t="s">
        <v>898</v>
      </c>
      <c r="D722">
        <v>13.1</v>
      </c>
      <c r="E722">
        <v>13.71</v>
      </c>
      <c r="F722">
        <v>14.8</v>
      </c>
      <c r="G722">
        <v>0.9263513513513514</v>
      </c>
      <c r="H722">
        <v>0.1312910284463895</v>
      </c>
      <c r="I722">
        <v>0.01541798686150408</v>
      </c>
      <c r="J722">
        <v>0.007</v>
      </c>
      <c r="K722">
        <v>0.1370387140808635</v>
      </c>
      <c r="L722" t="s">
        <v>642</v>
      </c>
      <c r="M722" t="s">
        <v>902</v>
      </c>
      <c r="N722">
        <v>4.949458483754513</v>
      </c>
      <c r="O722">
        <v>2.77</v>
      </c>
      <c r="P722">
        <v>1.8</v>
      </c>
      <c r="Q722">
        <v>0.6498194945848376</v>
      </c>
      <c r="R722">
        <v>1</v>
      </c>
      <c r="S722">
        <v>0.05922384104881218</v>
      </c>
      <c r="T722" t="s">
        <v>944</v>
      </c>
      <c r="U722">
        <v>-0.188310723686947</v>
      </c>
      <c r="V722" t="s">
        <v>1005</v>
      </c>
      <c r="W722" t="s">
        <v>1008</v>
      </c>
      <c r="X722" t="s">
        <v>1019</v>
      </c>
      <c r="Y722">
        <v>1313.630114</v>
      </c>
      <c r="Z722" s="2">
        <v>45175</v>
      </c>
      <c r="AA722" t="s">
        <v>1033</v>
      </c>
    </row>
    <row r="723" spans="1:27">
      <c r="A723" s="1" t="s">
        <v>748</v>
      </c>
      <c r="B723">
        <f>HYPERLINK("https://www.suredividend.com/sure-analysis-NSA/","National Storage Affiliates Trust")</f>
        <v>0</v>
      </c>
      <c r="C723" t="s">
        <v>898</v>
      </c>
      <c r="D723">
        <v>32</v>
      </c>
      <c r="E723">
        <v>34</v>
      </c>
      <c r="F723">
        <v>40</v>
      </c>
      <c r="G723">
        <v>0.85</v>
      </c>
      <c r="H723">
        <v>0.06588235294117648</v>
      </c>
      <c r="I723">
        <v>0.03303780411393231</v>
      </c>
      <c r="J723">
        <v>0.05</v>
      </c>
      <c r="K723">
        <v>0.1364198370174445</v>
      </c>
      <c r="L723" t="s">
        <v>642</v>
      </c>
      <c r="M723" t="s">
        <v>580</v>
      </c>
      <c r="N723">
        <v>12.78195488721804</v>
      </c>
      <c r="O723">
        <v>2.66</v>
      </c>
      <c r="P723">
        <v>2.24</v>
      </c>
      <c r="Q723">
        <v>0.8421052631578948</v>
      </c>
      <c r="R723">
        <v>8</v>
      </c>
      <c r="S723">
        <v>0.06016789231717423</v>
      </c>
      <c r="T723" t="s">
        <v>912</v>
      </c>
      <c r="U723">
        <v>-0.288073018151984</v>
      </c>
      <c r="V723" t="s">
        <v>1005</v>
      </c>
      <c r="W723" t="s">
        <v>1008</v>
      </c>
      <c r="X723" t="s">
        <v>1019</v>
      </c>
      <c r="Y723">
        <v>3097.447301</v>
      </c>
      <c r="Z723" s="2">
        <v>45152</v>
      </c>
      <c r="AA723" t="s">
        <v>1032</v>
      </c>
    </row>
    <row r="724" spans="1:27">
      <c r="A724" s="1" t="s">
        <v>749</v>
      </c>
      <c r="B724">
        <f>HYPERLINK("https://www.suredividend.com/sure-analysis-ABEV/","Ambev S.A.")</f>
        <v>0</v>
      </c>
      <c r="C724" t="s">
        <v>898</v>
      </c>
      <c r="D724">
        <v>2.88</v>
      </c>
      <c r="E724">
        <v>2.74</v>
      </c>
      <c r="F724">
        <v>3.78</v>
      </c>
      <c r="G724">
        <v>0.724867724867725</v>
      </c>
      <c r="H724">
        <v>0.05474452554744525</v>
      </c>
      <c r="I724">
        <v>0.06646902813474842</v>
      </c>
      <c r="J724">
        <v>0.03</v>
      </c>
      <c r="K724">
        <v>0.1363209480383258</v>
      </c>
      <c r="L724" t="s">
        <v>642</v>
      </c>
      <c r="M724" t="s">
        <v>825</v>
      </c>
      <c r="N724">
        <v>15.22222222222222</v>
      </c>
      <c r="O724">
        <v>0.18</v>
      </c>
      <c r="P724">
        <v>0.15</v>
      </c>
      <c r="Q724">
        <v>0.8333333333333334</v>
      </c>
      <c r="R724">
        <v>0</v>
      </c>
      <c r="S724">
        <v>0.02534857565773274</v>
      </c>
      <c r="T724" t="s">
        <v>999</v>
      </c>
      <c r="U724">
        <v>-0.05046780981531</v>
      </c>
      <c r="V724" t="s">
        <v>1004</v>
      </c>
      <c r="W724" t="s">
        <v>1009</v>
      </c>
      <c r="X724" t="s">
        <v>1011</v>
      </c>
      <c r="Y724">
        <v>43007.964865</v>
      </c>
      <c r="Z724" s="2">
        <v>45168</v>
      </c>
      <c r="AA724" t="s">
        <v>1029</v>
      </c>
    </row>
    <row r="725" spans="1:27">
      <c r="A725" s="1" t="s">
        <v>750</v>
      </c>
      <c r="B725">
        <f>HYPERLINK("https://www.suredividend.com/sure-analysis-VGR/","Vector Group Ltd")</f>
        <v>0</v>
      </c>
      <c r="C725" t="s">
        <v>899</v>
      </c>
      <c r="D725">
        <v>11</v>
      </c>
      <c r="E725">
        <v>10.69</v>
      </c>
      <c r="F725">
        <v>14</v>
      </c>
      <c r="G725">
        <v>0.7635714285714286</v>
      </c>
      <c r="H725">
        <v>0.07483629560336764</v>
      </c>
      <c r="I725">
        <v>0.05543153468985262</v>
      </c>
      <c r="J725">
        <v>0.03</v>
      </c>
      <c r="K725">
        <v>0.1360643605994523</v>
      </c>
      <c r="L725" t="s">
        <v>642</v>
      </c>
      <c r="M725" t="s">
        <v>580</v>
      </c>
      <c r="N725">
        <v>9.136752136752136</v>
      </c>
      <c r="O725">
        <v>1.17</v>
      </c>
      <c r="P725">
        <v>0.8</v>
      </c>
      <c r="Q725">
        <v>0.6837606837606839</v>
      </c>
      <c r="R725">
        <v>0</v>
      </c>
      <c r="S725">
        <v>0</v>
      </c>
      <c r="T725" t="s">
        <v>916</v>
      </c>
      <c r="U725">
        <v>0.168509008616937</v>
      </c>
      <c r="V725" t="s">
        <v>1004</v>
      </c>
      <c r="W725" t="s">
        <v>1008</v>
      </c>
      <c r="X725" t="s">
        <v>1011</v>
      </c>
      <c r="Y725">
        <v>1674.720635</v>
      </c>
      <c r="Z725" s="2">
        <v>45175</v>
      </c>
      <c r="AA725" t="s">
        <v>1029</v>
      </c>
    </row>
    <row r="726" spans="1:27">
      <c r="A726" s="1" t="s">
        <v>751</v>
      </c>
      <c r="B726">
        <f>HYPERLINK("https://www.suredividend.com/sure-analysis-HRZN/","Horizon Technology Finance Corp")</f>
        <v>0</v>
      </c>
      <c r="C726" t="s">
        <v>898</v>
      </c>
      <c r="D726">
        <v>13.27</v>
      </c>
      <c r="E726">
        <v>12.06</v>
      </c>
      <c r="F726">
        <v>16.15</v>
      </c>
      <c r="G726">
        <v>0.7467492260061921</v>
      </c>
      <c r="H726">
        <v>0.109452736318408</v>
      </c>
      <c r="I726">
        <v>0.06014444920430351</v>
      </c>
      <c r="J726">
        <v>0</v>
      </c>
      <c r="K726">
        <v>0.1353422993767213</v>
      </c>
      <c r="L726" t="s">
        <v>642</v>
      </c>
      <c r="M726" t="s">
        <v>580</v>
      </c>
      <c r="N726">
        <v>7.094117647058824</v>
      </c>
      <c r="O726">
        <v>1.7</v>
      </c>
      <c r="P726">
        <v>1.32</v>
      </c>
      <c r="Q726">
        <v>0.7764705882352941</v>
      </c>
      <c r="R726">
        <v>2</v>
      </c>
      <c r="S726">
        <v>0</v>
      </c>
      <c r="T726" t="s">
        <v>936</v>
      </c>
      <c r="U726">
        <v>0.08164185836716201</v>
      </c>
      <c r="V726" t="s">
        <v>1007</v>
      </c>
      <c r="W726" t="s">
        <v>1008</v>
      </c>
      <c r="X726" t="s">
        <v>1015</v>
      </c>
      <c r="Y726">
        <v>384.923159</v>
      </c>
      <c r="Z726" s="2">
        <v>45141</v>
      </c>
      <c r="AA726" t="s">
        <v>1032</v>
      </c>
    </row>
    <row r="727" spans="1:27">
      <c r="A727" s="1" t="s">
        <v>752</v>
      </c>
      <c r="B727">
        <f>HYPERLINK("https://www.suredividend.com/sure-analysis-EARN/","Ellington Residential Mortgage REIT")</f>
        <v>0</v>
      </c>
      <c r="C727" t="s">
        <v>898</v>
      </c>
      <c r="D727">
        <v>6.66</v>
      </c>
      <c r="E727">
        <v>6.44</v>
      </c>
      <c r="F727">
        <v>5.95</v>
      </c>
      <c r="G727">
        <v>1.082352941176471</v>
      </c>
      <c r="H727">
        <v>0.1490683229813664</v>
      </c>
      <c r="I727">
        <v>-0.01570286801448806</v>
      </c>
      <c r="J727">
        <v>0.04</v>
      </c>
      <c r="K727">
        <v>0.1332912118027185</v>
      </c>
      <c r="L727" t="s">
        <v>642</v>
      </c>
      <c r="M727" t="s">
        <v>580</v>
      </c>
      <c r="N727">
        <v>7.576470588235295</v>
      </c>
      <c r="O727">
        <v>0.85</v>
      </c>
      <c r="P727">
        <v>0.96</v>
      </c>
      <c r="Q727">
        <v>1.129411764705882</v>
      </c>
      <c r="R727">
        <v>0</v>
      </c>
      <c r="S727">
        <v>0</v>
      </c>
      <c r="T727" t="s">
        <v>925</v>
      </c>
      <c r="U727">
        <v>-0.08878637735634101</v>
      </c>
      <c r="V727" t="s">
        <v>1005</v>
      </c>
      <c r="W727" t="s">
        <v>1008</v>
      </c>
      <c r="X727" t="s">
        <v>1019</v>
      </c>
      <c r="Y727">
        <v>96.702957</v>
      </c>
      <c r="Z727" s="2">
        <v>45155</v>
      </c>
      <c r="AA727" t="s">
        <v>1026</v>
      </c>
    </row>
    <row r="728" spans="1:27">
      <c r="A728" s="1" t="s">
        <v>753</v>
      </c>
      <c r="B728">
        <f>HYPERLINK("https://www.suredividend.com/sure-analysis-GLAD/","Gladstone Capital Corp.")</f>
        <v>0</v>
      </c>
      <c r="C728" t="s">
        <v>898</v>
      </c>
      <c r="D728">
        <v>11</v>
      </c>
      <c r="E728">
        <v>10.03</v>
      </c>
      <c r="F728">
        <v>11.76</v>
      </c>
      <c r="G728">
        <v>0.852891156462585</v>
      </c>
      <c r="H728">
        <v>0.09870388833499502</v>
      </c>
      <c r="I728">
        <v>0.0323364879179604</v>
      </c>
      <c r="J728">
        <v>0.03</v>
      </c>
      <c r="K728">
        <v>0.1330706852981356</v>
      </c>
      <c r="L728" t="s">
        <v>642</v>
      </c>
      <c r="M728" t="s">
        <v>580</v>
      </c>
      <c r="N728">
        <v>8.955357142857141</v>
      </c>
      <c r="O728">
        <v>1.12</v>
      </c>
      <c r="P728">
        <v>0.99</v>
      </c>
      <c r="Q728">
        <v>0.8839285714285713</v>
      </c>
      <c r="R728">
        <v>2</v>
      </c>
      <c r="S728">
        <v>0.00990292240334556</v>
      </c>
      <c r="T728" t="s">
        <v>913</v>
      </c>
      <c r="U728">
        <v>0.120166348056477</v>
      </c>
      <c r="V728" t="s">
        <v>1007</v>
      </c>
      <c r="W728" t="s">
        <v>1008</v>
      </c>
      <c r="X728" t="s">
        <v>1015</v>
      </c>
      <c r="Y728">
        <v>386.778874</v>
      </c>
      <c r="Z728" s="2">
        <v>45148</v>
      </c>
      <c r="AA728" t="s">
        <v>1030</v>
      </c>
    </row>
    <row r="729" spans="1:27">
      <c r="A729" s="1" t="s">
        <v>754</v>
      </c>
      <c r="B729">
        <f>HYPERLINK("https://www.suredividend.com/sure-analysis-CTO/","CTO Realty Growth Inc")</f>
        <v>0</v>
      </c>
      <c r="C729" t="s">
        <v>898</v>
      </c>
      <c r="D729">
        <v>17</v>
      </c>
      <c r="E729">
        <v>16.66</v>
      </c>
      <c r="F729">
        <v>18</v>
      </c>
      <c r="G729">
        <v>0.9255555555555556</v>
      </c>
      <c r="H729">
        <v>0.09123649459783914</v>
      </c>
      <c r="I729">
        <v>0.01559253880329114</v>
      </c>
      <c r="J729">
        <v>0.05</v>
      </c>
      <c r="K729">
        <v>0.1325776538868686</v>
      </c>
      <c r="L729" t="s">
        <v>642</v>
      </c>
      <c r="M729" t="s">
        <v>580</v>
      </c>
      <c r="N729">
        <v>9.976047904191617</v>
      </c>
      <c r="O729">
        <v>1.67</v>
      </c>
      <c r="P729">
        <v>1.52</v>
      </c>
      <c r="Q729">
        <v>0.9101796407185629</v>
      </c>
      <c r="R729">
        <v>9</v>
      </c>
      <c r="S729">
        <v>0.02021836907521135</v>
      </c>
      <c r="T729" t="s">
        <v>972</v>
      </c>
      <c r="U729">
        <v>-0.120567521613388</v>
      </c>
      <c r="V729" t="s">
        <v>1005</v>
      </c>
      <c r="W729" t="s">
        <v>1008</v>
      </c>
      <c r="X729" t="s">
        <v>1019</v>
      </c>
      <c r="Y729">
        <v>388.590993</v>
      </c>
      <c r="Z729" s="2">
        <v>45141</v>
      </c>
      <c r="AA729" t="s">
        <v>1026</v>
      </c>
    </row>
    <row r="730" spans="1:27">
      <c r="A730" s="1" t="s">
        <v>755</v>
      </c>
      <c r="B730">
        <f>HYPERLINK("https://www.suredividend.com/sure-analysis-ROL/","Rollins, Inc.")</f>
        <v>0</v>
      </c>
      <c r="C730" t="s">
        <v>899</v>
      </c>
      <c r="D730">
        <v>42</v>
      </c>
      <c r="E730">
        <v>36.65</v>
      </c>
      <c r="F730">
        <v>42</v>
      </c>
      <c r="G730">
        <v>0.8726190476190476</v>
      </c>
      <c r="H730">
        <v>0.01418826739427012</v>
      </c>
      <c r="I730">
        <v>0.02762594901210624</v>
      </c>
      <c r="J730">
        <v>0.09</v>
      </c>
      <c r="K730">
        <v>0.131809868587315</v>
      </c>
      <c r="L730" t="s">
        <v>642</v>
      </c>
      <c r="M730" t="s">
        <v>642</v>
      </c>
      <c r="N730">
        <v>43.11764705882353</v>
      </c>
      <c r="O730">
        <v>0.85</v>
      </c>
      <c r="P730">
        <v>0.52</v>
      </c>
      <c r="Q730">
        <v>0.611764705882353</v>
      </c>
      <c r="R730">
        <v>4</v>
      </c>
      <c r="S730">
        <v>0.09537317657751387</v>
      </c>
      <c r="T730" t="s">
        <v>906</v>
      </c>
      <c r="U730">
        <v>0.006767669429246</v>
      </c>
      <c r="V730" t="s">
        <v>1004</v>
      </c>
      <c r="W730" t="s">
        <v>1008</v>
      </c>
      <c r="X730" t="s">
        <v>1015</v>
      </c>
      <c r="Y730">
        <v>17756.332019</v>
      </c>
      <c r="Z730" s="2">
        <v>45134</v>
      </c>
      <c r="AA730" t="s">
        <v>1024</v>
      </c>
    </row>
    <row r="731" spans="1:27">
      <c r="A731" s="1" t="s">
        <v>756</v>
      </c>
      <c r="B731">
        <f>HYPERLINK("https://www.suredividend.com/sure-analysis-WSO/","Watsco Inc.")</f>
        <v>0</v>
      </c>
      <c r="C731" t="s">
        <v>898</v>
      </c>
      <c r="D731">
        <v>377</v>
      </c>
      <c r="E731">
        <v>345.92</v>
      </c>
      <c r="F731">
        <v>358</v>
      </c>
      <c r="G731">
        <v>0.9662569832402235</v>
      </c>
      <c r="H731">
        <v>0.02833024976873266</v>
      </c>
      <c r="I731">
        <v>0.006888709140353333</v>
      </c>
      <c r="J731">
        <v>0.1</v>
      </c>
      <c r="K731">
        <v>0.1317788887110458</v>
      </c>
      <c r="L731" t="s">
        <v>642</v>
      </c>
      <c r="M731" t="s">
        <v>642</v>
      </c>
      <c r="N731">
        <v>24.15642458100559</v>
      </c>
      <c r="O731">
        <v>14.32</v>
      </c>
      <c r="P731">
        <v>9.800000000000001</v>
      </c>
      <c r="Q731">
        <v>0.6843575418994414</v>
      </c>
      <c r="R731">
        <v>10</v>
      </c>
      <c r="S731">
        <v>0.09995820755224027</v>
      </c>
      <c r="T731" t="s">
        <v>939</v>
      </c>
      <c r="U731">
        <v>0.244162476200829</v>
      </c>
      <c r="V731" t="s">
        <v>1004</v>
      </c>
      <c r="W731" t="s">
        <v>1008</v>
      </c>
      <c r="X731" t="s">
        <v>1012</v>
      </c>
      <c r="Y731">
        <v>13621.289038</v>
      </c>
      <c r="Z731" s="2">
        <v>45141</v>
      </c>
      <c r="AA731" t="s">
        <v>1021</v>
      </c>
    </row>
    <row r="732" spans="1:27">
      <c r="A732" s="1" t="s">
        <v>757</v>
      </c>
      <c r="B732">
        <f>HYPERLINK("https://www.suredividend.com/sure-analysis-EPR/","EPR Properties")</f>
        <v>0</v>
      </c>
      <c r="C732" t="s">
        <v>898</v>
      </c>
      <c r="D732">
        <v>43</v>
      </c>
      <c r="E732">
        <v>42.56</v>
      </c>
      <c r="F732">
        <v>56</v>
      </c>
      <c r="G732">
        <v>0.76</v>
      </c>
      <c r="H732">
        <v>0.07753759398496239</v>
      </c>
      <c r="I732">
        <v>0.05642162229904302</v>
      </c>
      <c r="J732">
        <v>0.02</v>
      </c>
      <c r="K732">
        <v>0.1312109776373036</v>
      </c>
      <c r="L732" t="s">
        <v>642</v>
      </c>
      <c r="M732" t="s">
        <v>580</v>
      </c>
      <c r="N732">
        <v>8.427722772277228</v>
      </c>
      <c r="O732">
        <v>5.05</v>
      </c>
      <c r="P732">
        <v>3.3</v>
      </c>
      <c r="Q732">
        <v>0.6534653465346535</v>
      </c>
      <c r="R732">
        <v>2</v>
      </c>
      <c r="S732">
        <v>0.01009705984991127</v>
      </c>
      <c r="T732" t="s">
        <v>925</v>
      </c>
      <c r="U732">
        <v>0.044820808522763</v>
      </c>
      <c r="V732" t="s">
        <v>1005</v>
      </c>
      <c r="W732" t="s">
        <v>1008</v>
      </c>
      <c r="X732" t="s">
        <v>1019</v>
      </c>
      <c r="Y732">
        <v>3259.28536</v>
      </c>
      <c r="Z732" s="2">
        <v>45149</v>
      </c>
      <c r="AA732" t="s">
        <v>1030</v>
      </c>
    </row>
    <row r="733" spans="1:27">
      <c r="A733" s="1" t="s">
        <v>758</v>
      </c>
      <c r="B733">
        <f>HYPERLINK("https://www.suredividend.com/sure-analysis-OLP/","One Liberty Properties, Inc.")</f>
        <v>0</v>
      </c>
      <c r="C733" t="s">
        <v>898</v>
      </c>
      <c r="D733">
        <v>20</v>
      </c>
      <c r="E733">
        <v>19.32</v>
      </c>
      <c r="F733">
        <v>24</v>
      </c>
      <c r="G733">
        <v>0.805</v>
      </c>
      <c r="H733">
        <v>0.09316770186335403</v>
      </c>
      <c r="I733">
        <v>0.04433738223276262</v>
      </c>
      <c r="J733">
        <v>0.02</v>
      </c>
      <c r="K733">
        <v>0.1310794037119873</v>
      </c>
      <c r="L733" t="s">
        <v>642</v>
      </c>
      <c r="M733" t="s">
        <v>580</v>
      </c>
      <c r="N733">
        <v>10.22222222222222</v>
      </c>
      <c r="O733">
        <v>1.89</v>
      </c>
      <c r="P733">
        <v>1.8</v>
      </c>
      <c r="Q733">
        <v>0.9523809523809524</v>
      </c>
      <c r="R733">
        <v>0</v>
      </c>
      <c r="S733">
        <v>0.009805797673485328</v>
      </c>
      <c r="T733" t="s">
        <v>909</v>
      </c>
      <c r="U733">
        <v>-0.151234567901234</v>
      </c>
      <c r="V733" t="s">
        <v>1005</v>
      </c>
      <c r="W733" t="s">
        <v>1008</v>
      </c>
      <c r="X733" t="s">
        <v>1019</v>
      </c>
      <c r="Y733">
        <v>414.886775</v>
      </c>
      <c r="Z733" s="2">
        <v>45145</v>
      </c>
      <c r="AA733" t="s">
        <v>1026</v>
      </c>
    </row>
    <row r="734" spans="1:27">
      <c r="A734" s="1" t="s">
        <v>759</v>
      </c>
      <c r="B734">
        <f>HYPERLINK("https://www.suredividend.com/sure-analysis-CHCT/","Community Healthcare Trust Inc")</f>
        <v>0</v>
      </c>
      <c r="C734" t="s">
        <v>899</v>
      </c>
      <c r="D734">
        <v>36</v>
      </c>
      <c r="E734">
        <v>32.25</v>
      </c>
      <c r="F734">
        <v>31</v>
      </c>
      <c r="G734">
        <v>1.040322580645161</v>
      </c>
      <c r="H734">
        <v>0.05581395348837209</v>
      </c>
      <c r="I734">
        <v>-0.007874996210310292</v>
      </c>
      <c r="J734">
        <v>0.1</v>
      </c>
      <c r="K734">
        <v>0.1302647928684697</v>
      </c>
      <c r="L734" t="s">
        <v>642</v>
      </c>
      <c r="M734" t="s">
        <v>825</v>
      </c>
      <c r="N734">
        <v>16.62371134020619</v>
      </c>
      <c r="O734">
        <v>1.94</v>
      </c>
      <c r="P734">
        <v>1.8</v>
      </c>
      <c r="Q734">
        <v>0.9278350515463918</v>
      </c>
      <c r="R734">
        <v>7</v>
      </c>
      <c r="S734">
        <v>0.02027234317185655</v>
      </c>
      <c r="T734" t="s">
        <v>915</v>
      </c>
      <c r="U734">
        <v>-0.09123332219373301</v>
      </c>
      <c r="V734" t="s">
        <v>1005</v>
      </c>
      <c r="W734" t="s">
        <v>1008</v>
      </c>
      <c r="X734" t="s">
        <v>1019</v>
      </c>
      <c r="Y734">
        <v>859.451667</v>
      </c>
      <c r="Z734" s="2">
        <v>45148</v>
      </c>
      <c r="AA734" t="s">
        <v>1026</v>
      </c>
    </row>
    <row r="735" spans="1:27">
      <c r="A735" s="1" t="s">
        <v>760</v>
      </c>
      <c r="B735">
        <f>HYPERLINK("https://www.suredividend.com/sure-analysis-CIM/","Chimera Investment Corp")</f>
        <v>0</v>
      </c>
      <c r="C735" t="s">
        <v>899</v>
      </c>
      <c r="D735">
        <v>5.5</v>
      </c>
      <c r="E735">
        <v>5.96</v>
      </c>
      <c r="F735">
        <v>5.5</v>
      </c>
      <c r="G735">
        <v>1.083636363636364</v>
      </c>
      <c r="H735">
        <v>0.1208053691275168</v>
      </c>
      <c r="I735">
        <v>-0.0159361322318573</v>
      </c>
      <c r="J735">
        <v>0.06</v>
      </c>
      <c r="K735">
        <v>0.1295742049701798</v>
      </c>
      <c r="L735" t="s">
        <v>642</v>
      </c>
      <c r="M735" t="s">
        <v>580</v>
      </c>
      <c r="N735">
        <v>8.277777777777779</v>
      </c>
      <c r="O735">
        <v>0.72</v>
      </c>
      <c r="P735">
        <v>0.72</v>
      </c>
      <c r="Q735">
        <v>1</v>
      </c>
      <c r="R735">
        <v>0</v>
      </c>
      <c r="S735">
        <v>0</v>
      </c>
      <c r="T735" t="s">
        <v>911</v>
      </c>
      <c r="U735">
        <v>-0.17398969916566</v>
      </c>
      <c r="V735" t="s">
        <v>1005</v>
      </c>
      <c r="W735" t="s">
        <v>1008</v>
      </c>
      <c r="X735" t="s">
        <v>1019</v>
      </c>
      <c r="Y735">
        <v>1349.154325</v>
      </c>
      <c r="Z735" s="2">
        <v>45160</v>
      </c>
      <c r="AA735" t="s">
        <v>1022</v>
      </c>
    </row>
    <row r="736" spans="1:27">
      <c r="A736" s="1" t="s">
        <v>761</v>
      </c>
      <c r="B736">
        <f>HYPERLINK("https://www.suredividend.com/sure-analysis-UDR/","UDR Inc")</f>
        <v>0</v>
      </c>
      <c r="C736" t="s">
        <v>898</v>
      </c>
      <c r="D736">
        <v>43</v>
      </c>
      <c r="E736">
        <v>38.22</v>
      </c>
      <c r="F736">
        <v>47</v>
      </c>
      <c r="G736">
        <v>0.8131914893617022</v>
      </c>
      <c r="H736">
        <v>0.04395604395604395</v>
      </c>
      <c r="I736">
        <v>0.04222487665895436</v>
      </c>
      <c r="J736">
        <v>0.05</v>
      </c>
      <c r="K736">
        <v>0.1277537281557524</v>
      </c>
      <c r="L736" t="s">
        <v>642</v>
      </c>
      <c r="M736" t="s">
        <v>825</v>
      </c>
      <c r="N736">
        <v>16.91150442477876</v>
      </c>
      <c r="O736">
        <v>2.26</v>
      </c>
      <c r="P736">
        <v>1.68</v>
      </c>
      <c r="Q736">
        <v>0.7433628318584071</v>
      </c>
      <c r="R736">
        <v>12</v>
      </c>
      <c r="S736">
        <v>0.04959293402845044</v>
      </c>
      <c r="T736" t="s">
        <v>921</v>
      </c>
      <c r="U736">
        <v>-0.156774974526897</v>
      </c>
      <c r="V736" t="s">
        <v>1005</v>
      </c>
      <c r="W736" t="s">
        <v>1008</v>
      </c>
      <c r="X736" t="s">
        <v>1019</v>
      </c>
      <c r="Y736">
        <v>12760.768301</v>
      </c>
      <c r="Z736" s="2">
        <v>45135</v>
      </c>
      <c r="AA736" t="s">
        <v>1026</v>
      </c>
    </row>
    <row r="737" spans="1:27">
      <c r="A737" s="1" t="s">
        <v>762</v>
      </c>
      <c r="B737">
        <f>HYPERLINK("https://www.suredividend.com/sure-analysis-EFC/","Ellington Financial Inc")</f>
        <v>0</v>
      </c>
      <c r="C737" t="s">
        <v>898</v>
      </c>
      <c r="D737">
        <v>13.06</v>
      </c>
      <c r="E737">
        <v>13.27</v>
      </c>
      <c r="F737">
        <v>14.4</v>
      </c>
      <c r="G737">
        <v>0.9215277777777777</v>
      </c>
      <c r="H737">
        <v>0.1356443104747551</v>
      </c>
      <c r="I737">
        <v>0.01647877322269919</v>
      </c>
      <c r="J737">
        <v>0.01</v>
      </c>
      <c r="K737">
        <v>0.1270771303428513</v>
      </c>
      <c r="L737" t="s">
        <v>642</v>
      </c>
      <c r="M737" t="s">
        <v>580</v>
      </c>
      <c r="N737">
        <v>7.372222222222222</v>
      </c>
      <c r="O737">
        <v>1.8</v>
      </c>
      <c r="P737">
        <v>1.8</v>
      </c>
      <c r="Q737">
        <v>1</v>
      </c>
      <c r="R737">
        <v>1</v>
      </c>
      <c r="S737">
        <v>0</v>
      </c>
      <c r="T737" t="s">
        <v>925</v>
      </c>
      <c r="U737">
        <v>0.02402460119162</v>
      </c>
      <c r="V737" t="s">
        <v>1005</v>
      </c>
      <c r="W737" t="s">
        <v>1008</v>
      </c>
      <c r="X737" t="s">
        <v>1015</v>
      </c>
      <c r="Y737">
        <v>905.987825</v>
      </c>
      <c r="Z737" s="2">
        <v>45153</v>
      </c>
      <c r="AA737" t="s">
        <v>1032</v>
      </c>
    </row>
    <row r="738" spans="1:27">
      <c r="A738" s="1" t="s">
        <v>763</v>
      </c>
      <c r="B738">
        <f>HYPERLINK("https://www.suredividend.com/sure-analysis-HAS/","Hasbro, Inc.")</f>
        <v>0</v>
      </c>
      <c r="C738" t="s">
        <v>898</v>
      </c>
      <c r="D738">
        <v>66</v>
      </c>
      <c r="E738">
        <v>69.18000000000001</v>
      </c>
      <c r="F738">
        <v>68</v>
      </c>
      <c r="G738">
        <v>1.017352941176471</v>
      </c>
      <c r="H738">
        <v>0.04047412546978895</v>
      </c>
      <c r="I738">
        <v>-0.003434906830206197</v>
      </c>
      <c r="J738">
        <v>0.1</v>
      </c>
      <c r="K738">
        <v>0.1269520507199704</v>
      </c>
      <c r="L738" t="s">
        <v>642</v>
      </c>
      <c r="M738" t="s">
        <v>825</v>
      </c>
      <c r="N738">
        <v>17.295</v>
      </c>
      <c r="O738">
        <v>4</v>
      </c>
      <c r="P738">
        <v>2.8</v>
      </c>
      <c r="Q738">
        <v>0.7</v>
      </c>
      <c r="R738">
        <v>1</v>
      </c>
      <c r="S738">
        <v>0.04978904632428516</v>
      </c>
      <c r="T738" t="s">
        <v>957</v>
      </c>
      <c r="U738">
        <v>-0.096743217550602</v>
      </c>
      <c r="V738" t="s">
        <v>1004</v>
      </c>
      <c r="W738" t="s">
        <v>1008</v>
      </c>
      <c r="X738" t="s">
        <v>1013</v>
      </c>
      <c r="Y738">
        <v>9761.807895</v>
      </c>
      <c r="Z738" s="2">
        <v>45153</v>
      </c>
      <c r="AA738" t="s">
        <v>1030</v>
      </c>
    </row>
    <row r="739" spans="1:27">
      <c r="A739" s="1" t="s">
        <v>764</v>
      </c>
      <c r="B739">
        <f>HYPERLINK("https://www.suredividend.com/sure-analysis-ORC/","Orchid Island Capital Inc")</f>
        <v>0</v>
      </c>
      <c r="C739" t="s">
        <v>898</v>
      </c>
      <c r="D739">
        <v>10.1</v>
      </c>
      <c r="E739">
        <v>9.359999999999999</v>
      </c>
      <c r="F739">
        <v>10</v>
      </c>
      <c r="G739">
        <v>0.9359999999999999</v>
      </c>
      <c r="H739">
        <v>0.2051282051282051</v>
      </c>
      <c r="I739">
        <v>0.01331583701861527</v>
      </c>
      <c r="J739">
        <v>-0.022</v>
      </c>
      <c r="K739">
        <v>0.1257292505273246</v>
      </c>
      <c r="L739" t="s">
        <v>642</v>
      </c>
      <c r="M739" t="s">
        <v>580</v>
      </c>
      <c r="N739">
        <v>6.685714285714286</v>
      </c>
      <c r="O739">
        <v>1.4</v>
      </c>
      <c r="P739">
        <v>1.92</v>
      </c>
      <c r="Q739">
        <v>1.371428571428571</v>
      </c>
      <c r="R739">
        <v>0</v>
      </c>
      <c r="S739">
        <v>-0.06121668690756277</v>
      </c>
      <c r="T739" t="s">
        <v>925</v>
      </c>
      <c r="U739">
        <v>-0.117616428240061</v>
      </c>
      <c r="V739" t="s">
        <v>1005</v>
      </c>
      <c r="W739" t="s">
        <v>1008</v>
      </c>
      <c r="X739" t="s">
        <v>1019</v>
      </c>
      <c r="Y739">
        <v>409.117328</v>
      </c>
      <c r="Z739" s="2">
        <v>45145</v>
      </c>
      <c r="AA739" t="s">
        <v>1033</v>
      </c>
    </row>
    <row r="740" spans="1:27">
      <c r="A740" s="1" t="s">
        <v>765</v>
      </c>
      <c r="B740">
        <f>HYPERLINK("https://www.suredividend.com/sure-analysis-OXSQ/","Oxford Square Capital Corp")</f>
        <v>0</v>
      </c>
      <c r="C740" t="s">
        <v>898</v>
      </c>
      <c r="D740">
        <v>3.13</v>
      </c>
      <c r="E740">
        <v>2.8848</v>
      </c>
      <c r="F740">
        <v>3.75</v>
      </c>
      <c r="G740">
        <v>0.7692800000000001</v>
      </c>
      <c r="H740">
        <v>0.1455906821963394</v>
      </c>
      <c r="I740">
        <v>0.05386046299317293</v>
      </c>
      <c r="J740">
        <v>-0.03</v>
      </c>
      <c r="K740">
        <v>0.1250064171952361</v>
      </c>
      <c r="L740" t="s">
        <v>642</v>
      </c>
      <c r="M740" t="s">
        <v>580</v>
      </c>
      <c r="N740">
        <v>5.769600000000001</v>
      </c>
      <c r="O740">
        <v>0.5</v>
      </c>
      <c r="P740">
        <v>0.42</v>
      </c>
      <c r="Q740">
        <v>0.84</v>
      </c>
      <c r="R740">
        <v>0</v>
      </c>
      <c r="S740">
        <v>-0.01981768775006343</v>
      </c>
      <c r="T740" t="s">
        <v>936</v>
      </c>
      <c r="U740">
        <v>-0.054580602289546</v>
      </c>
      <c r="V740" t="s">
        <v>1007</v>
      </c>
      <c r="W740" t="s">
        <v>1008</v>
      </c>
      <c r="X740" t="s">
        <v>1015</v>
      </c>
      <c r="Y740">
        <v>176.566668</v>
      </c>
      <c r="Z740" s="2">
        <v>45152</v>
      </c>
      <c r="AA740" t="s">
        <v>1032</v>
      </c>
    </row>
    <row r="741" spans="1:27">
      <c r="A741" s="1" t="s">
        <v>766</v>
      </c>
      <c r="B741">
        <f>HYPERLINK("https://www.suredividend.com/sure-analysis-GSBD/","Goldman Sachs BDC Inc")</f>
        <v>0</v>
      </c>
      <c r="C741" t="s">
        <v>898</v>
      </c>
      <c r="D741">
        <v>14.58</v>
      </c>
      <c r="E741">
        <v>14.58</v>
      </c>
      <c r="F741">
        <v>17.16</v>
      </c>
      <c r="G741">
        <v>0.8496503496503497</v>
      </c>
      <c r="H741">
        <v>0.1234567901234568</v>
      </c>
      <c r="I741">
        <v>0.0331228138092996</v>
      </c>
      <c r="J741">
        <v>0</v>
      </c>
      <c r="K741">
        <v>0.1240251874701483</v>
      </c>
      <c r="L741" t="s">
        <v>642</v>
      </c>
      <c r="M741" t="s">
        <v>580</v>
      </c>
      <c r="N741">
        <v>6.627272727272727</v>
      </c>
      <c r="O741">
        <v>2.2</v>
      </c>
      <c r="P741">
        <v>1.8</v>
      </c>
      <c r="Q741">
        <v>0.8181818181818181</v>
      </c>
      <c r="R741">
        <v>0</v>
      </c>
      <c r="S741">
        <v>0</v>
      </c>
      <c r="T741" t="s">
        <v>911</v>
      </c>
      <c r="U741">
        <v>-0.046997647151867</v>
      </c>
      <c r="V741" t="s">
        <v>1007</v>
      </c>
      <c r="W741" t="s">
        <v>1008</v>
      </c>
      <c r="X741" t="s">
        <v>1015</v>
      </c>
      <c r="Y741">
        <v>1584.288572</v>
      </c>
      <c r="Z741" s="2">
        <v>45144</v>
      </c>
      <c r="AA741" t="s">
        <v>1032</v>
      </c>
    </row>
    <row r="742" spans="1:27">
      <c r="A742" s="1" t="s">
        <v>767</v>
      </c>
      <c r="B742">
        <f>HYPERLINK("https://www.suredividend.com/sure-analysis-SFL/","SFL Corporation Ltd")</f>
        <v>0</v>
      </c>
      <c r="C742" t="s">
        <v>898</v>
      </c>
      <c r="D742">
        <v>10.67</v>
      </c>
      <c r="E742">
        <v>10.72</v>
      </c>
      <c r="F742">
        <v>11.9</v>
      </c>
      <c r="G742">
        <v>0.9008403361344538</v>
      </c>
      <c r="H742">
        <v>0.08955223880597014</v>
      </c>
      <c r="I742">
        <v>0.02110507622298741</v>
      </c>
      <c r="J742">
        <v>0.03</v>
      </c>
      <c r="K742">
        <v>0.1217063154617499</v>
      </c>
      <c r="L742" t="s">
        <v>642</v>
      </c>
      <c r="M742" t="s">
        <v>580</v>
      </c>
      <c r="N742">
        <v>7.657142857142858</v>
      </c>
      <c r="O742">
        <v>1.4</v>
      </c>
      <c r="P742">
        <v>0.96</v>
      </c>
      <c r="Q742">
        <v>0.6857142857142857</v>
      </c>
      <c r="R742">
        <v>2</v>
      </c>
      <c r="S742">
        <v>0.02946206823925857</v>
      </c>
      <c r="T742" t="s">
        <v>972</v>
      </c>
      <c r="U742">
        <v>0.131845841784989</v>
      </c>
      <c r="V742" t="s">
        <v>1004</v>
      </c>
      <c r="W742" t="s">
        <v>1009</v>
      </c>
      <c r="X742" t="s">
        <v>1012</v>
      </c>
      <c r="Y742">
        <v>1546.353851</v>
      </c>
      <c r="Z742" s="2">
        <v>45155</v>
      </c>
      <c r="AA742" t="s">
        <v>1032</v>
      </c>
    </row>
    <row r="743" spans="1:27">
      <c r="A743" s="1" t="s">
        <v>768</v>
      </c>
      <c r="B743">
        <f>HYPERLINK("https://www.suredividend.com/sure-analysis-NWBI/","Northwest Bancshares Inc")</f>
        <v>0</v>
      </c>
      <c r="C743" t="s">
        <v>898</v>
      </c>
      <c r="D743">
        <v>11</v>
      </c>
      <c r="E743">
        <v>10.5</v>
      </c>
      <c r="F743">
        <v>13</v>
      </c>
      <c r="G743">
        <v>0.8076923076923077</v>
      </c>
      <c r="H743">
        <v>0.0761904761904762</v>
      </c>
      <c r="I743">
        <v>0.04364022715043592</v>
      </c>
      <c r="J743">
        <v>0.02</v>
      </c>
      <c r="K743">
        <v>0.1210320336370176</v>
      </c>
      <c r="L743" t="s">
        <v>642</v>
      </c>
      <c r="M743" t="s">
        <v>580</v>
      </c>
      <c r="N743">
        <v>10.71428571428572</v>
      </c>
      <c r="O743">
        <v>0.98</v>
      </c>
      <c r="P743">
        <v>0.8</v>
      </c>
      <c r="Q743">
        <v>0.8163265306122449</v>
      </c>
      <c r="R743">
        <v>13</v>
      </c>
      <c r="S743">
        <v>0.01924487649145656</v>
      </c>
      <c r="T743" t="s">
        <v>952</v>
      </c>
      <c r="U743">
        <v>-0.175798518149554</v>
      </c>
      <c r="V743" t="s">
        <v>1004</v>
      </c>
      <c r="W743" t="s">
        <v>1008</v>
      </c>
      <c r="X743" t="s">
        <v>1015</v>
      </c>
      <c r="Y743">
        <v>1345.942478</v>
      </c>
      <c r="Z743" s="2">
        <v>45161</v>
      </c>
      <c r="AA743" t="s">
        <v>1027</v>
      </c>
    </row>
    <row r="744" spans="1:27">
      <c r="A744" s="1" t="s">
        <v>769</v>
      </c>
      <c r="B744">
        <f>HYPERLINK("https://www.suredividend.com/sure-analysis-AB/","AllianceBernstein Holding Lp")</f>
        <v>0</v>
      </c>
      <c r="C744" t="s">
        <v>898</v>
      </c>
      <c r="D744">
        <v>32.3</v>
      </c>
      <c r="E744">
        <v>31.88</v>
      </c>
      <c r="F744">
        <v>28</v>
      </c>
      <c r="G744">
        <v>1.138571428571429</v>
      </c>
      <c r="H744">
        <v>0.07653701380175659</v>
      </c>
      <c r="I744">
        <v>-0.02562093643782393</v>
      </c>
      <c r="J744">
        <v>0.073</v>
      </c>
      <c r="K744">
        <v>0.1206430341150924</v>
      </c>
      <c r="L744" t="s">
        <v>642</v>
      </c>
      <c r="M744" t="s">
        <v>580</v>
      </c>
      <c r="N744">
        <v>11.38571428571429</v>
      </c>
      <c r="O744">
        <v>2.8</v>
      </c>
      <c r="P744">
        <v>2.44</v>
      </c>
      <c r="Q744">
        <v>0.8714285714285714</v>
      </c>
      <c r="R744">
        <v>0</v>
      </c>
      <c r="S744">
        <v>0.1028048036206048</v>
      </c>
      <c r="T744" t="s">
        <v>910</v>
      </c>
      <c r="U744">
        <v>-0.205928802142489</v>
      </c>
      <c r="V744" t="s">
        <v>1006</v>
      </c>
      <c r="W744" t="s">
        <v>1008</v>
      </c>
      <c r="X744" t="s">
        <v>1015</v>
      </c>
      <c r="Y744">
        <v>3659.89312</v>
      </c>
      <c r="Z744" s="2">
        <v>45139</v>
      </c>
      <c r="AA744" t="s">
        <v>1033</v>
      </c>
    </row>
    <row r="745" spans="1:27">
      <c r="A745" s="1" t="s">
        <v>770</v>
      </c>
      <c r="B745">
        <f>HYPERLINK("https://www.suredividend.com/sure-analysis-ADC/","Agree Realty Corp.")</f>
        <v>0</v>
      </c>
      <c r="C745" t="s">
        <v>898</v>
      </c>
      <c r="D745">
        <v>64</v>
      </c>
      <c r="E745">
        <v>59.71</v>
      </c>
      <c r="F745">
        <v>71</v>
      </c>
      <c r="G745">
        <v>0.8409859154929578</v>
      </c>
      <c r="H745">
        <v>0.04890303131803718</v>
      </c>
      <c r="I745">
        <v>0.03524288770469086</v>
      </c>
      <c r="J745">
        <v>0.045</v>
      </c>
      <c r="K745">
        <v>0.1204259546896316</v>
      </c>
      <c r="L745" t="s">
        <v>642</v>
      </c>
      <c r="M745" t="s">
        <v>825</v>
      </c>
      <c r="N745">
        <v>15.07828282828283</v>
      </c>
      <c r="O745">
        <v>3.96</v>
      </c>
      <c r="P745">
        <v>2.92</v>
      </c>
      <c r="Q745">
        <v>0.7373737373737373</v>
      </c>
      <c r="R745">
        <v>11</v>
      </c>
      <c r="S745">
        <v>0.05018351330582038</v>
      </c>
      <c r="T745" t="s">
        <v>925</v>
      </c>
      <c r="U745">
        <v>-0.171886860816099</v>
      </c>
      <c r="V745" t="s">
        <v>1005</v>
      </c>
      <c r="W745" t="s">
        <v>1008</v>
      </c>
      <c r="X745" t="s">
        <v>1019</v>
      </c>
      <c r="Y745">
        <v>5786.723038</v>
      </c>
      <c r="Z745" s="2">
        <v>45155</v>
      </c>
      <c r="AA745" t="s">
        <v>1027</v>
      </c>
    </row>
    <row r="746" spans="1:27">
      <c r="A746" s="1" t="s">
        <v>771</v>
      </c>
      <c r="B746">
        <f>HYPERLINK("https://www.suredividend.com/sure-analysis-PSEC/","Prospect Capital Corp")</f>
        <v>0</v>
      </c>
      <c r="C746" t="s">
        <v>898</v>
      </c>
      <c r="D746">
        <v>6.05</v>
      </c>
      <c r="E746">
        <v>6.01</v>
      </c>
      <c r="F746">
        <v>7.31</v>
      </c>
      <c r="G746">
        <v>0.8221614227086184</v>
      </c>
      <c r="H746">
        <v>0.1198003327787022</v>
      </c>
      <c r="I746">
        <v>0.03994071325514681</v>
      </c>
      <c r="J746">
        <v>-0.01</v>
      </c>
      <c r="K746">
        <v>0.1191541239516309</v>
      </c>
      <c r="L746" t="s">
        <v>642</v>
      </c>
      <c r="M746" t="s">
        <v>580</v>
      </c>
      <c r="N746">
        <v>6.988372093023256</v>
      </c>
      <c r="O746">
        <v>0.86</v>
      </c>
      <c r="P746">
        <v>0.72</v>
      </c>
      <c r="Q746">
        <v>0.8372093023255813</v>
      </c>
      <c r="R746">
        <v>0</v>
      </c>
      <c r="S746">
        <v>0</v>
      </c>
      <c r="T746" t="s">
        <v>966</v>
      </c>
      <c r="U746">
        <v>-0.117651413090144</v>
      </c>
      <c r="V746" t="s">
        <v>1007</v>
      </c>
      <c r="W746" t="s">
        <v>1008</v>
      </c>
      <c r="X746" t="s">
        <v>1015</v>
      </c>
      <c r="Y746">
        <v>2429.12521</v>
      </c>
      <c r="Z746" s="2">
        <v>45175</v>
      </c>
      <c r="AA746" t="s">
        <v>1030</v>
      </c>
    </row>
    <row r="747" spans="1:27">
      <c r="A747" s="1" t="s">
        <v>772</v>
      </c>
      <c r="B747">
        <f>HYPERLINK("https://www.suredividend.com/sure-analysis-GLPI/","Gaming and Leisure Properties Inc")</f>
        <v>0</v>
      </c>
      <c r="C747" t="s">
        <v>898</v>
      </c>
      <c r="D747">
        <v>47.6</v>
      </c>
      <c r="E747">
        <v>47.2216</v>
      </c>
      <c r="F747">
        <v>51.4</v>
      </c>
      <c r="G747">
        <v>0.9187081712062257</v>
      </c>
      <c r="H747">
        <v>0.06183610889931726</v>
      </c>
      <c r="I747">
        <v>0.01710194351381422</v>
      </c>
      <c r="J747">
        <v>0.053</v>
      </c>
      <c r="K747">
        <v>0.1189774489991908</v>
      </c>
      <c r="L747" t="s">
        <v>642</v>
      </c>
      <c r="M747" t="s">
        <v>580</v>
      </c>
      <c r="N747">
        <v>12.86692098092643</v>
      </c>
      <c r="O747">
        <v>3.67</v>
      </c>
      <c r="P747">
        <v>2.92</v>
      </c>
      <c r="Q747">
        <v>0.7956403269754768</v>
      </c>
      <c r="R747">
        <v>10</v>
      </c>
      <c r="S747">
        <v>0.03690039180408289</v>
      </c>
      <c r="T747" t="s">
        <v>904</v>
      </c>
      <c r="U747">
        <v>0.045938812365758</v>
      </c>
      <c r="V747" t="s">
        <v>1005</v>
      </c>
      <c r="W747" t="s">
        <v>1008</v>
      </c>
      <c r="X747" t="s">
        <v>1019</v>
      </c>
      <c r="Y747">
        <v>12853.610311</v>
      </c>
      <c r="Z747" s="2">
        <v>45146</v>
      </c>
      <c r="AA747" t="s">
        <v>1033</v>
      </c>
    </row>
    <row r="748" spans="1:27">
      <c r="A748" s="1" t="s">
        <v>773</v>
      </c>
      <c r="B748">
        <f>HYPERLINK("https://www.suredividend.com/sure-analysis-IIPR/","Innovative Industrial Properties Inc")</f>
        <v>0</v>
      </c>
      <c r="C748" t="s">
        <v>898</v>
      </c>
      <c r="D748">
        <v>78</v>
      </c>
      <c r="E748">
        <v>85.77</v>
      </c>
      <c r="F748">
        <v>85</v>
      </c>
      <c r="G748">
        <v>1.009058823529412</v>
      </c>
      <c r="H748">
        <v>0.08394543546694649</v>
      </c>
      <c r="I748">
        <v>-0.001801982179446049</v>
      </c>
      <c r="J748">
        <v>0.05</v>
      </c>
      <c r="K748">
        <v>0.1186688015322299</v>
      </c>
      <c r="L748" t="s">
        <v>642</v>
      </c>
      <c r="M748" t="s">
        <v>580</v>
      </c>
      <c r="N748">
        <v>10.09058823529412</v>
      </c>
      <c r="O748">
        <v>8.5</v>
      </c>
      <c r="P748">
        <v>7.2</v>
      </c>
      <c r="Q748">
        <v>0.8470588235294118</v>
      </c>
      <c r="R748">
        <v>6</v>
      </c>
      <c r="S748">
        <v>0.05001765894316224</v>
      </c>
      <c r="T748" t="s">
        <v>911</v>
      </c>
      <c r="U748">
        <v>-0.018242978637673</v>
      </c>
      <c r="V748" t="s">
        <v>1005</v>
      </c>
      <c r="W748" t="s">
        <v>1008</v>
      </c>
      <c r="X748" t="s">
        <v>1019</v>
      </c>
      <c r="Y748">
        <v>2432.188039</v>
      </c>
      <c r="Z748" s="2">
        <v>45142</v>
      </c>
      <c r="AA748" t="s">
        <v>1032</v>
      </c>
    </row>
    <row r="749" spans="1:27">
      <c r="A749" s="1" t="s">
        <v>774</v>
      </c>
      <c r="B749">
        <f>HYPERLINK("https://www.suredividend.com/sure-analysis-EQR/","Equity Residential Properties Trust")</f>
        <v>0</v>
      </c>
      <c r="C749" t="s">
        <v>898</v>
      </c>
      <c r="D749">
        <v>66</v>
      </c>
      <c r="E749">
        <v>62.5</v>
      </c>
      <c r="F749">
        <v>83</v>
      </c>
      <c r="G749">
        <v>0.7530120481927711</v>
      </c>
      <c r="H749">
        <v>0.0424</v>
      </c>
      <c r="I749">
        <v>0.05837510290638215</v>
      </c>
      <c r="J749">
        <v>0.026</v>
      </c>
      <c r="K749">
        <v>0.11693716081115</v>
      </c>
      <c r="L749" t="s">
        <v>642</v>
      </c>
      <c r="M749" t="s">
        <v>825</v>
      </c>
      <c r="N749">
        <v>16.57824933687003</v>
      </c>
      <c r="O749">
        <v>3.77</v>
      </c>
      <c r="P749">
        <v>2.65</v>
      </c>
      <c r="Q749">
        <v>0.7029177718832891</v>
      </c>
      <c r="R749">
        <v>3</v>
      </c>
      <c r="S749">
        <v>0.02512087219852699</v>
      </c>
      <c r="T749" t="s">
        <v>909</v>
      </c>
      <c r="U749">
        <v>-0.150989190373933</v>
      </c>
      <c r="V749" t="s">
        <v>1005</v>
      </c>
      <c r="W749" t="s">
        <v>1008</v>
      </c>
      <c r="X749" t="s">
        <v>1019</v>
      </c>
      <c r="Y749">
        <v>23932.106431</v>
      </c>
      <c r="Z749" s="2">
        <v>45140</v>
      </c>
      <c r="AA749" t="s">
        <v>1033</v>
      </c>
    </row>
    <row r="750" spans="1:27">
      <c r="A750" s="1" t="s">
        <v>775</v>
      </c>
      <c r="B750">
        <f>HYPERLINK("https://www.suredividend.com/sure-analysis-AMCR/","Amcor Plc")</f>
        <v>0</v>
      </c>
      <c r="C750" t="s">
        <v>898</v>
      </c>
      <c r="D750">
        <v>9.42</v>
      </c>
      <c r="E750">
        <v>9.210000000000001</v>
      </c>
      <c r="F750">
        <v>10.95</v>
      </c>
      <c r="G750">
        <v>0.841095890410959</v>
      </c>
      <c r="H750">
        <v>0.05320304017372421</v>
      </c>
      <c r="I750">
        <v>0.03521581428584897</v>
      </c>
      <c r="J750">
        <v>0.04</v>
      </c>
      <c r="K750">
        <v>0.1156780877818477</v>
      </c>
      <c r="L750" t="s">
        <v>642</v>
      </c>
      <c r="M750" t="s">
        <v>825</v>
      </c>
      <c r="N750">
        <v>12.61643835616439</v>
      </c>
      <c r="O750">
        <v>0.73</v>
      </c>
      <c r="P750">
        <v>0.49</v>
      </c>
      <c r="Q750">
        <v>0.6712328767123288</v>
      </c>
      <c r="R750">
        <v>3</v>
      </c>
      <c r="S750">
        <v>0.01962279460665517</v>
      </c>
      <c r="T750" t="s">
        <v>956</v>
      </c>
      <c r="U750">
        <v>-0.200819498649689</v>
      </c>
      <c r="V750" t="s">
        <v>1004</v>
      </c>
      <c r="W750" t="s">
        <v>1009</v>
      </c>
      <c r="X750" t="s">
        <v>1010</v>
      </c>
      <c r="Y750">
        <v>13673.782133</v>
      </c>
      <c r="Z750" s="2">
        <v>45168</v>
      </c>
      <c r="AA750" t="s">
        <v>1027</v>
      </c>
    </row>
    <row r="751" spans="1:27">
      <c r="A751" s="1" t="s">
        <v>776</v>
      </c>
      <c r="B751">
        <f>HYPERLINK("https://www.suredividend.com/sure-analysis-PHG/","Koninklijke Philips N.V.")</f>
        <v>0</v>
      </c>
      <c r="C751" t="s">
        <v>898</v>
      </c>
      <c r="D751">
        <v>21</v>
      </c>
      <c r="E751">
        <v>21.31</v>
      </c>
      <c r="F751">
        <v>19</v>
      </c>
      <c r="G751">
        <v>1.121578947368421</v>
      </c>
      <c r="H751">
        <v>0.04270295635851713</v>
      </c>
      <c r="I751">
        <v>-0.02268620213831107</v>
      </c>
      <c r="J751">
        <v>0.11</v>
      </c>
      <c r="K751">
        <v>0.1156553322007188</v>
      </c>
      <c r="L751" t="s">
        <v>642</v>
      </c>
      <c r="M751" t="s">
        <v>825</v>
      </c>
      <c r="N751">
        <v>20.29523809523809</v>
      </c>
      <c r="O751">
        <v>1.05</v>
      </c>
      <c r="P751">
        <v>0.91</v>
      </c>
      <c r="Q751">
        <v>0.8666666666666667</v>
      </c>
      <c r="R751">
        <v>0</v>
      </c>
      <c r="S751">
        <v>0.01904114973592153</v>
      </c>
      <c r="T751" t="s">
        <v>1000</v>
      </c>
      <c r="U751">
        <v>0.211399404508719</v>
      </c>
      <c r="V751" t="s">
        <v>1004</v>
      </c>
      <c r="W751" t="s">
        <v>1009</v>
      </c>
      <c r="X751" t="s">
        <v>1014</v>
      </c>
      <c r="Y751">
        <v>19835.964427</v>
      </c>
      <c r="Z751" s="2">
        <v>45156</v>
      </c>
      <c r="AA751" t="s">
        <v>1022</v>
      </c>
    </row>
    <row r="752" spans="1:27">
      <c r="A752" s="1" t="s">
        <v>777</v>
      </c>
      <c r="B752">
        <f>HYPERLINK("https://www.suredividend.com/sure-analysis-XRX/","Xerox Holdings Corp")</f>
        <v>0</v>
      </c>
      <c r="C752" t="s">
        <v>898</v>
      </c>
      <c r="D752">
        <v>16</v>
      </c>
      <c r="E752">
        <v>15.63</v>
      </c>
      <c r="F752">
        <v>18</v>
      </c>
      <c r="G752">
        <v>0.8683333333333334</v>
      </c>
      <c r="H752">
        <v>0.06397952655150352</v>
      </c>
      <c r="I752">
        <v>0.02863833492256096</v>
      </c>
      <c r="J752">
        <v>0.04</v>
      </c>
      <c r="K752">
        <v>0.1146996387870585</v>
      </c>
      <c r="L752" t="s">
        <v>642</v>
      </c>
      <c r="M752" t="s">
        <v>580</v>
      </c>
      <c r="N752">
        <v>8.683333333333334</v>
      </c>
      <c r="O752">
        <v>1.8</v>
      </c>
      <c r="P752">
        <v>1</v>
      </c>
      <c r="Q752">
        <v>0.5555555555555556</v>
      </c>
      <c r="R752">
        <v>0</v>
      </c>
      <c r="S752">
        <v>0</v>
      </c>
      <c r="T752" t="s">
        <v>911</v>
      </c>
      <c r="U752">
        <v>0.06875761868678501</v>
      </c>
      <c r="V752" t="s">
        <v>1004</v>
      </c>
      <c r="W752" t="s">
        <v>1008</v>
      </c>
      <c r="X752" t="s">
        <v>1016</v>
      </c>
      <c r="Y752">
        <v>2548.486854</v>
      </c>
      <c r="Z752" s="2">
        <v>45139</v>
      </c>
      <c r="AA752" t="s">
        <v>1030</v>
      </c>
    </row>
    <row r="753" spans="1:27">
      <c r="A753" s="1" t="s">
        <v>778</v>
      </c>
      <c r="B753">
        <f>HYPERLINK("https://www.suredividend.com/sure-analysis-NTST/","Netstreit Corp")</f>
        <v>0</v>
      </c>
      <c r="C753" t="s">
        <v>899</v>
      </c>
      <c r="D753">
        <v>18</v>
      </c>
      <c r="E753">
        <v>16.75</v>
      </c>
      <c r="F753">
        <v>21</v>
      </c>
      <c r="G753">
        <v>0.7976190476190477</v>
      </c>
      <c r="H753">
        <v>0.04895522388059701</v>
      </c>
      <c r="I753">
        <v>0.04626307095500715</v>
      </c>
      <c r="J753">
        <v>0.03</v>
      </c>
      <c r="K753">
        <v>0.1146980655136918</v>
      </c>
      <c r="L753" t="s">
        <v>642</v>
      </c>
      <c r="M753" t="s">
        <v>825</v>
      </c>
      <c r="N753">
        <v>13.72950819672131</v>
      </c>
      <c r="O753">
        <v>1.22</v>
      </c>
      <c r="P753">
        <v>0.82</v>
      </c>
      <c r="Q753">
        <v>0.6721311475409836</v>
      </c>
      <c r="R753">
        <v>1</v>
      </c>
      <c r="S753">
        <v>0.02986891676636416</v>
      </c>
      <c r="T753" t="s">
        <v>916</v>
      </c>
      <c r="U753">
        <v>-0.128763613068545</v>
      </c>
      <c r="V753" t="s">
        <v>1005</v>
      </c>
      <c r="W753" t="s">
        <v>1008</v>
      </c>
      <c r="X753" t="s">
        <v>1019</v>
      </c>
      <c r="Y753">
        <v>1138.88134</v>
      </c>
      <c r="Z753" s="2">
        <v>45135</v>
      </c>
      <c r="AA753" t="s">
        <v>1026</v>
      </c>
    </row>
    <row r="754" spans="1:27">
      <c r="A754" s="1" t="s">
        <v>779</v>
      </c>
      <c r="B754">
        <f>HYPERLINK("https://www.suredividend.com/sure-analysis-FE/","Firstenergy Corp.")</f>
        <v>0</v>
      </c>
      <c r="C754" t="s">
        <v>898</v>
      </c>
      <c r="D754">
        <v>39</v>
      </c>
      <c r="E754">
        <v>36.16</v>
      </c>
      <c r="F754">
        <v>39</v>
      </c>
      <c r="G754">
        <v>0.9271794871794871</v>
      </c>
      <c r="H754">
        <v>0.04314159292035399</v>
      </c>
      <c r="I754">
        <v>0.01523653232787892</v>
      </c>
      <c r="J754">
        <v>0.065</v>
      </c>
      <c r="K754">
        <v>0.1146781969878889</v>
      </c>
      <c r="L754" t="s">
        <v>642</v>
      </c>
      <c r="M754" t="s">
        <v>825</v>
      </c>
      <c r="N754">
        <v>14.23622047244094</v>
      </c>
      <c r="O754">
        <v>2.54</v>
      </c>
      <c r="P754">
        <v>1.56</v>
      </c>
      <c r="Q754">
        <v>0.6141732283464567</v>
      </c>
      <c r="R754">
        <v>0</v>
      </c>
      <c r="S754">
        <v>0.04022143939343281</v>
      </c>
      <c r="T754" t="s">
        <v>910</v>
      </c>
      <c r="U754">
        <v>-0.105281012102527</v>
      </c>
      <c r="V754" t="s">
        <v>1004</v>
      </c>
      <c r="W754" t="s">
        <v>1008</v>
      </c>
      <c r="X754" t="s">
        <v>1018</v>
      </c>
      <c r="Y754">
        <v>20566.508571</v>
      </c>
      <c r="Z754" s="2">
        <v>45140</v>
      </c>
      <c r="AA754" t="s">
        <v>1032</v>
      </c>
    </row>
    <row r="755" spans="1:27">
      <c r="A755" s="1" t="s">
        <v>780</v>
      </c>
      <c r="B755">
        <f>HYPERLINK("https://www.suredividend.com/sure-analysis-VICI/","VICI Properties Inc")</f>
        <v>0</v>
      </c>
      <c r="C755" t="s">
        <v>898</v>
      </c>
      <c r="D755">
        <v>30</v>
      </c>
      <c r="E755">
        <v>31.28</v>
      </c>
      <c r="F755">
        <v>33</v>
      </c>
      <c r="G755">
        <v>0.9478787878787879</v>
      </c>
      <c r="H755">
        <v>0.0530690537084399</v>
      </c>
      <c r="I755">
        <v>0.01076324052675925</v>
      </c>
      <c r="J755">
        <v>0.06</v>
      </c>
      <c r="K755">
        <v>0.1136050694822806</v>
      </c>
      <c r="L755" t="s">
        <v>642</v>
      </c>
      <c r="M755" t="s">
        <v>825</v>
      </c>
      <c r="N755">
        <v>14.75471698113208</v>
      </c>
      <c r="O755">
        <v>2.12</v>
      </c>
      <c r="P755">
        <v>1.66</v>
      </c>
      <c r="Q755">
        <v>0.7830188679245282</v>
      </c>
      <c r="R755">
        <v>5</v>
      </c>
      <c r="S755">
        <v>0.04208805039252494</v>
      </c>
      <c r="T755" t="s">
        <v>943</v>
      </c>
      <c r="U755">
        <v>-0.031422492213759</v>
      </c>
      <c r="V755" t="s">
        <v>1005</v>
      </c>
      <c r="W755" t="s">
        <v>1008</v>
      </c>
      <c r="X755" t="s">
        <v>1019</v>
      </c>
      <c r="Y755">
        <v>31831.778192</v>
      </c>
      <c r="Z755" s="2">
        <v>45160</v>
      </c>
      <c r="AA755" t="s">
        <v>1022</v>
      </c>
    </row>
    <row r="756" spans="1:27">
      <c r="A756" s="1" t="s">
        <v>781</v>
      </c>
      <c r="B756">
        <f>HYPERLINK("https://www.suredividend.com/sure-analysis-AQN/","Algonquin Power &amp; Utilities Corp")</f>
        <v>0</v>
      </c>
      <c r="C756" t="s">
        <v>899</v>
      </c>
      <c r="D756">
        <v>7</v>
      </c>
      <c r="E756">
        <v>7.12</v>
      </c>
      <c r="F756">
        <v>8</v>
      </c>
      <c r="G756">
        <v>0.89</v>
      </c>
      <c r="H756">
        <v>0.06039325842696629</v>
      </c>
      <c r="I756">
        <v>0.02358048826922654</v>
      </c>
      <c r="J756">
        <v>0.04</v>
      </c>
      <c r="K756">
        <v>0.113260598471502</v>
      </c>
      <c r="L756" t="s">
        <v>642</v>
      </c>
      <c r="M756" t="s">
        <v>825</v>
      </c>
      <c r="N756">
        <v>12.71428571428571</v>
      </c>
      <c r="O756">
        <v>0.5600000000000001</v>
      </c>
      <c r="P756">
        <v>0.43</v>
      </c>
      <c r="Q756">
        <v>0.7678571428571428</v>
      </c>
      <c r="R756">
        <v>0</v>
      </c>
      <c r="S756">
        <v>0.04270506415417863</v>
      </c>
      <c r="T756" t="s">
        <v>911</v>
      </c>
      <c r="U756">
        <v>-0.4484233523859341</v>
      </c>
      <c r="V756" t="s">
        <v>1004</v>
      </c>
      <c r="W756" t="s">
        <v>1009</v>
      </c>
      <c r="X756" t="s">
        <v>1018</v>
      </c>
      <c r="Y756">
        <v>4938.726609</v>
      </c>
      <c r="Z756" s="2">
        <v>45180</v>
      </c>
      <c r="AA756" t="s">
        <v>1036</v>
      </c>
    </row>
    <row r="757" spans="1:27">
      <c r="A757" s="1" t="s">
        <v>782</v>
      </c>
      <c r="B757">
        <f>HYPERLINK("https://www.suredividend.com/sure-analysis-EPRT/","Essential Properties Realty Trust Inc")</f>
        <v>0</v>
      </c>
      <c r="C757" t="s">
        <v>899</v>
      </c>
      <c r="D757">
        <v>25</v>
      </c>
      <c r="E757">
        <v>23.39</v>
      </c>
      <c r="F757">
        <v>25</v>
      </c>
      <c r="G757">
        <v>0.9356</v>
      </c>
      <c r="H757">
        <v>0.04788371098760155</v>
      </c>
      <c r="I757">
        <v>0.01340246742400386</v>
      </c>
      <c r="J757">
        <v>0.06</v>
      </c>
      <c r="K757">
        <v>0.113035435394208</v>
      </c>
      <c r="L757" t="s">
        <v>642</v>
      </c>
      <c r="M757" t="s">
        <v>825</v>
      </c>
      <c r="N757">
        <v>14.26219512195122</v>
      </c>
      <c r="O757">
        <v>1.64</v>
      </c>
      <c r="P757">
        <v>1.12</v>
      </c>
      <c r="Q757">
        <v>0.6829268292682927</v>
      </c>
      <c r="R757">
        <v>4</v>
      </c>
      <c r="S757">
        <v>0.05008294028029181</v>
      </c>
      <c r="T757" t="s">
        <v>911</v>
      </c>
      <c r="U757">
        <v>0.077775602293062</v>
      </c>
      <c r="V757" t="s">
        <v>1005</v>
      </c>
      <c r="W757" t="s">
        <v>1008</v>
      </c>
      <c r="X757" t="s">
        <v>1019</v>
      </c>
      <c r="Y757">
        <v>3692.722402</v>
      </c>
      <c r="Z757" s="2">
        <v>45135</v>
      </c>
      <c r="AA757" t="s">
        <v>1026</v>
      </c>
    </row>
    <row r="758" spans="1:27">
      <c r="A758" s="1" t="s">
        <v>783</v>
      </c>
      <c r="B758">
        <f>HYPERLINK("https://www.suredividend.com/sure-analysis-ARI/","Apollo Commercial Real Estate Finance Inc")</f>
        <v>0</v>
      </c>
      <c r="C758" t="s">
        <v>898</v>
      </c>
      <c r="D758">
        <v>10.1</v>
      </c>
      <c r="E758">
        <v>10.51</v>
      </c>
      <c r="F758">
        <v>13</v>
      </c>
      <c r="G758">
        <v>0.8084615384615385</v>
      </c>
      <c r="H758">
        <v>0.1332064700285442</v>
      </c>
      <c r="I758">
        <v>0.04344155204996003</v>
      </c>
      <c r="J758">
        <v>-0.034</v>
      </c>
      <c r="K758">
        <v>0.1128098891653158</v>
      </c>
      <c r="L758" t="s">
        <v>642</v>
      </c>
      <c r="M758" t="s">
        <v>580</v>
      </c>
      <c r="N758">
        <v>6.447852760736197</v>
      </c>
      <c r="O758">
        <v>1.63</v>
      </c>
      <c r="P758">
        <v>1.4</v>
      </c>
      <c r="Q758">
        <v>0.8588957055214724</v>
      </c>
      <c r="R758">
        <v>1</v>
      </c>
      <c r="S758">
        <v>0</v>
      </c>
      <c r="T758" t="s">
        <v>911</v>
      </c>
      <c r="U758">
        <v>0.05652612626872101</v>
      </c>
      <c r="V758" t="s">
        <v>1005</v>
      </c>
      <c r="W758" t="s">
        <v>1008</v>
      </c>
      <c r="X758" t="s">
        <v>1019</v>
      </c>
      <c r="Y758">
        <v>1509.65146</v>
      </c>
      <c r="Z758" s="2">
        <v>45161</v>
      </c>
      <c r="AA758" t="s">
        <v>1033</v>
      </c>
    </row>
    <row r="759" spans="1:27">
      <c r="A759" s="1" t="s">
        <v>784</v>
      </c>
      <c r="B759">
        <f>HYPERLINK("https://www.suredividend.com/sure-analysis-DRETF/","Dream Office Real Estate Investment Trust")</f>
        <v>0</v>
      </c>
      <c r="C759" t="s">
        <v>899</v>
      </c>
      <c r="D759">
        <v>9.699999999999999</v>
      </c>
      <c r="E759">
        <v>8.298</v>
      </c>
      <c r="F759">
        <v>9.6</v>
      </c>
      <c r="G759">
        <v>0.864375</v>
      </c>
      <c r="H759">
        <v>0.08917811520848397</v>
      </c>
      <c r="I759">
        <v>0.02957872663779892</v>
      </c>
      <c r="J759">
        <v>0.016</v>
      </c>
      <c r="K759">
        <v>0.1117466616049718</v>
      </c>
      <c r="L759" t="s">
        <v>642</v>
      </c>
      <c r="M759" t="s">
        <v>580</v>
      </c>
      <c r="N759">
        <v>7.755140186915887</v>
      </c>
      <c r="O759">
        <v>1.07</v>
      </c>
      <c r="P759">
        <v>0.74</v>
      </c>
      <c r="Q759">
        <v>0.6915887850467289</v>
      </c>
      <c r="R759">
        <v>0</v>
      </c>
      <c r="S759">
        <v>0</v>
      </c>
      <c r="T759" t="s">
        <v>925</v>
      </c>
      <c r="U759">
        <v>-0.232724341335235</v>
      </c>
      <c r="V759" t="s">
        <v>1004</v>
      </c>
      <c r="W759" t="s">
        <v>1009</v>
      </c>
      <c r="X759" t="s">
        <v>1015</v>
      </c>
      <c r="Y759">
        <v>322.941494</v>
      </c>
      <c r="Z759" s="2">
        <v>45165</v>
      </c>
      <c r="AA759" t="s">
        <v>1033</v>
      </c>
    </row>
    <row r="760" spans="1:27">
      <c r="A760" s="1" t="s">
        <v>785</v>
      </c>
      <c r="B760">
        <f>HYPERLINK("https://www.suredividend.com/sure-analysis-ACRE/","Ares Commercial Real Estate Corp")</f>
        <v>0</v>
      </c>
      <c r="C760" t="s">
        <v>898</v>
      </c>
      <c r="D760">
        <v>10.59</v>
      </c>
      <c r="E760">
        <v>10.3</v>
      </c>
      <c r="F760">
        <v>10.8</v>
      </c>
      <c r="G760">
        <v>0.9537037037037037</v>
      </c>
      <c r="H760">
        <v>0.1281553398058252</v>
      </c>
      <c r="I760">
        <v>0.009525529576546621</v>
      </c>
      <c r="J760">
        <v>0</v>
      </c>
      <c r="K760">
        <v>0.1105609657298938</v>
      </c>
      <c r="L760" t="s">
        <v>642</v>
      </c>
      <c r="M760" t="s">
        <v>580</v>
      </c>
      <c r="N760">
        <v>7.62962962962963</v>
      </c>
      <c r="O760">
        <v>1.35</v>
      </c>
      <c r="P760">
        <v>1.32</v>
      </c>
      <c r="Q760">
        <v>0.9777777777777777</v>
      </c>
      <c r="R760">
        <v>0</v>
      </c>
      <c r="S760">
        <v>0</v>
      </c>
      <c r="T760" t="s">
        <v>911</v>
      </c>
      <c r="U760">
        <v>-0.146598656138113</v>
      </c>
      <c r="V760" t="s">
        <v>1005</v>
      </c>
      <c r="W760" t="s">
        <v>1008</v>
      </c>
      <c r="X760" t="s">
        <v>1019</v>
      </c>
      <c r="Y760">
        <v>565.18269</v>
      </c>
      <c r="Z760" s="2">
        <v>45144</v>
      </c>
      <c r="AA760" t="s">
        <v>1032</v>
      </c>
    </row>
    <row r="761" spans="1:27">
      <c r="A761" s="1" t="s">
        <v>786</v>
      </c>
      <c r="B761">
        <f>HYPERLINK("https://www.suredividend.com/sure-analysis-SRC/","Spirit Realty Capital Inc")</f>
        <v>0</v>
      </c>
      <c r="C761" t="s">
        <v>899</v>
      </c>
      <c r="D761">
        <v>40</v>
      </c>
      <c r="E761">
        <v>36.5</v>
      </c>
      <c r="F761">
        <v>39</v>
      </c>
      <c r="G761">
        <v>0.9358974358974359</v>
      </c>
      <c r="H761">
        <v>0.07342465753424658</v>
      </c>
      <c r="I761">
        <v>0.01333804570728625</v>
      </c>
      <c r="J761">
        <v>0.04</v>
      </c>
      <c r="K761">
        <v>0.1103099653170327</v>
      </c>
      <c r="L761" t="s">
        <v>642</v>
      </c>
      <c r="M761" t="s">
        <v>580</v>
      </c>
      <c r="N761">
        <v>10.16713091922006</v>
      </c>
      <c r="O761">
        <v>3.59</v>
      </c>
      <c r="P761">
        <v>2.68</v>
      </c>
      <c r="Q761">
        <v>0.7465181058495822</v>
      </c>
      <c r="R761">
        <v>4</v>
      </c>
      <c r="S761">
        <v>0.01799715731319251</v>
      </c>
      <c r="T761" t="s">
        <v>911</v>
      </c>
      <c r="U761">
        <v>-0.07845310517420301</v>
      </c>
      <c r="V761" t="s">
        <v>1005</v>
      </c>
      <c r="W761" t="s">
        <v>1008</v>
      </c>
      <c r="X761" t="s">
        <v>1019</v>
      </c>
      <c r="Y761">
        <v>5193.927407</v>
      </c>
      <c r="Z761" s="2">
        <v>45147</v>
      </c>
      <c r="AA761" t="s">
        <v>1032</v>
      </c>
    </row>
    <row r="762" spans="1:27">
      <c r="A762" s="1" t="s">
        <v>787</v>
      </c>
      <c r="B762">
        <f>HYPERLINK("https://www.suredividend.com/sure-analysis-VTR/","Ventas Inc")</f>
        <v>0</v>
      </c>
      <c r="C762" t="s">
        <v>899</v>
      </c>
      <c r="D762">
        <v>43</v>
      </c>
      <c r="E762">
        <v>42.83</v>
      </c>
      <c r="F762">
        <v>44</v>
      </c>
      <c r="G762">
        <v>0.9734090909090909</v>
      </c>
      <c r="H762">
        <v>0.04202661685734298</v>
      </c>
      <c r="I762">
        <v>0.005404721552327185</v>
      </c>
      <c r="J762">
        <v>0.07000000000000001</v>
      </c>
      <c r="K762">
        <v>0.1101491713315021</v>
      </c>
      <c r="L762" t="s">
        <v>642</v>
      </c>
      <c r="M762" t="s">
        <v>825</v>
      </c>
      <c r="N762">
        <v>14.27666666666667</v>
      </c>
      <c r="O762">
        <v>3</v>
      </c>
      <c r="P762">
        <v>1.8</v>
      </c>
      <c r="Q762">
        <v>0.6</v>
      </c>
      <c r="R762">
        <v>0</v>
      </c>
      <c r="S762">
        <v>0.05206626739843068</v>
      </c>
      <c r="T762" t="s">
        <v>938</v>
      </c>
      <c r="U762">
        <v>-0.106711733462095</v>
      </c>
      <c r="V762" t="s">
        <v>1005</v>
      </c>
      <c r="W762" t="s">
        <v>1008</v>
      </c>
      <c r="X762" t="s">
        <v>1019</v>
      </c>
      <c r="Y762">
        <v>17418.940633</v>
      </c>
      <c r="Z762" s="2">
        <v>45162</v>
      </c>
      <c r="AA762" t="s">
        <v>1022</v>
      </c>
    </row>
    <row r="763" spans="1:27">
      <c r="A763" s="1" t="s">
        <v>788</v>
      </c>
      <c r="B763">
        <f>HYPERLINK("https://www.suredividend.com/sure-analysis-NLY/","Annaly Capital Management Inc")</f>
        <v>0</v>
      </c>
      <c r="C763" t="s">
        <v>898</v>
      </c>
      <c r="D763">
        <v>20</v>
      </c>
      <c r="E763">
        <v>20.35</v>
      </c>
      <c r="F763">
        <v>22</v>
      </c>
      <c r="G763">
        <v>0.925</v>
      </c>
      <c r="H763">
        <v>0.1277641277641278</v>
      </c>
      <c r="I763">
        <v>0.01571450260395091</v>
      </c>
      <c r="J763">
        <v>-0.01</v>
      </c>
      <c r="K763">
        <v>0.1099267170207003</v>
      </c>
      <c r="L763" t="s">
        <v>642</v>
      </c>
      <c r="M763" t="s">
        <v>580</v>
      </c>
      <c r="N763">
        <v>6.480891719745223</v>
      </c>
      <c r="O763">
        <v>3.14</v>
      </c>
      <c r="P763">
        <v>2.6</v>
      </c>
      <c r="Q763">
        <v>0.8280254777070064</v>
      </c>
      <c r="R763">
        <v>0</v>
      </c>
      <c r="S763">
        <v>0.009064926884643665</v>
      </c>
      <c r="T763" t="s">
        <v>911</v>
      </c>
      <c r="U763">
        <v>-0.118813141846057</v>
      </c>
      <c r="V763" t="s">
        <v>1005</v>
      </c>
      <c r="W763" t="s">
        <v>1008</v>
      </c>
      <c r="X763" t="s">
        <v>1019</v>
      </c>
      <c r="Y763">
        <v>9912.733219</v>
      </c>
      <c r="Z763" s="2">
        <v>45146</v>
      </c>
      <c r="AA763" t="s">
        <v>1033</v>
      </c>
    </row>
    <row r="764" spans="1:27">
      <c r="A764" s="1" t="s">
        <v>789</v>
      </c>
      <c r="B764">
        <f>HYPERLINK("https://www.suredividend.com/sure-analysis-CTRE/","CareTrust REIT Inc")</f>
        <v>0</v>
      </c>
      <c r="C764" t="s">
        <v>899</v>
      </c>
      <c r="D764">
        <v>21</v>
      </c>
      <c r="E764">
        <v>20.07</v>
      </c>
      <c r="F764">
        <v>21</v>
      </c>
      <c r="G764">
        <v>0.9557142857142857</v>
      </c>
      <c r="H764">
        <v>0.05580468360737419</v>
      </c>
      <c r="I764">
        <v>0.009100414230275966</v>
      </c>
      <c r="J764">
        <v>0.055</v>
      </c>
      <c r="K764">
        <v>0.1095297013183196</v>
      </c>
      <c r="L764" t="s">
        <v>642</v>
      </c>
      <c r="M764" t="s">
        <v>825</v>
      </c>
      <c r="N764">
        <v>13.6530612244898</v>
      </c>
      <c r="O764">
        <v>1.47</v>
      </c>
      <c r="P764">
        <v>1.12</v>
      </c>
      <c r="Q764">
        <v>0.761904761904762</v>
      </c>
      <c r="R764">
        <v>8</v>
      </c>
      <c r="S764">
        <v>0.03959498820755258</v>
      </c>
      <c r="T764" t="s">
        <v>911</v>
      </c>
      <c r="U764">
        <v>-9.924573243300001E-05</v>
      </c>
      <c r="V764" t="s">
        <v>1005</v>
      </c>
      <c r="W764" t="s">
        <v>1008</v>
      </c>
      <c r="X764" t="s">
        <v>1019</v>
      </c>
      <c r="Y764">
        <v>2004.447123</v>
      </c>
      <c r="Z764" s="2">
        <v>45145</v>
      </c>
      <c r="AA764" t="s">
        <v>1026</v>
      </c>
    </row>
    <row r="765" spans="1:27">
      <c r="A765" s="1" t="s">
        <v>790</v>
      </c>
      <c r="B765">
        <f>HYPERLINK("https://www.suredividend.com/sure-analysis-SMG/","Scotts Miracle-Gro Company")</f>
        <v>0</v>
      </c>
      <c r="C765" t="s">
        <v>899</v>
      </c>
      <c r="D765">
        <v>58</v>
      </c>
      <c r="E765">
        <v>53.57</v>
      </c>
      <c r="F765">
        <v>36</v>
      </c>
      <c r="G765">
        <v>1.488055555555555</v>
      </c>
      <c r="H765">
        <v>0.04928131416837783</v>
      </c>
      <c r="I765">
        <v>-0.07641648868555373</v>
      </c>
      <c r="J765">
        <v>0.16</v>
      </c>
      <c r="K765">
        <v>0.1094558096715987</v>
      </c>
      <c r="L765" t="s">
        <v>642</v>
      </c>
      <c r="M765" t="s">
        <v>825</v>
      </c>
      <c r="N765">
        <v>21.0078431372549</v>
      </c>
      <c r="O765">
        <v>2.55</v>
      </c>
      <c r="P765">
        <v>2.64</v>
      </c>
      <c r="Q765">
        <v>1.035294117647059</v>
      </c>
      <c r="R765">
        <v>12</v>
      </c>
      <c r="S765">
        <v>0.02996744995959233</v>
      </c>
      <c r="T765" t="s">
        <v>922</v>
      </c>
      <c r="U765">
        <v>-0.064946868008948</v>
      </c>
      <c r="V765" t="s">
        <v>1004</v>
      </c>
      <c r="W765" t="s">
        <v>1008</v>
      </c>
      <c r="X765" t="s">
        <v>1010</v>
      </c>
      <c r="Y765">
        <v>3004.354079</v>
      </c>
      <c r="Z765" s="2">
        <v>45141</v>
      </c>
      <c r="AA765" t="s">
        <v>1032</v>
      </c>
    </row>
    <row r="766" spans="1:27">
      <c r="A766" s="1" t="s">
        <v>791</v>
      </c>
      <c r="B766">
        <f>HYPERLINK("https://www.suredividend.com/sure-analysis-OWL/","Blue Owl Capital Inc")</f>
        <v>0</v>
      </c>
      <c r="C766" t="s">
        <v>898</v>
      </c>
      <c r="D766">
        <v>11.2</v>
      </c>
      <c r="E766">
        <v>12.09</v>
      </c>
      <c r="F766">
        <v>10.5</v>
      </c>
      <c r="G766">
        <v>1.151428571428571</v>
      </c>
      <c r="H766">
        <v>0.04631927212572375</v>
      </c>
      <c r="I766">
        <v>-0.0278067539684147</v>
      </c>
      <c r="J766">
        <v>0.091</v>
      </c>
      <c r="K766">
        <v>0.108645284785273</v>
      </c>
      <c r="L766" t="s">
        <v>642</v>
      </c>
      <c r="M766" t="s">
        <v>825</v>
      </c>
      <c r="N766">
        <v>17.27142857142857</v>
      </c>
      <c r="O766">
        <v>0.7</v>
      </c>
      <c r="P766">
        <v>0.5600000000000001</v>
      </c>
      <c r="Q766">
        <v>0.8000000000000002</v>
      </c>
      <c r="R766">
        <v>2</v>
      </c>
      <c r="S766">
        <v>0.1229551070568209</v>
      </c>
      <c r="T766" t="s">
        <v>905</v>
      </c>
      <c r="U766">
        <v>0.09868355933881001</v>
      </c>
      <c r="V766" t="s">
        <v>1004</v>
      </c>
      <c r="W766" t="s">
        <v>1008</v>
      </c>
      <c r="X766" t="s">
        <v>1015</v>
      </c>
      <c r="Y766">
        <v>5550.148223</v>
      </c>
      <c r="Z766" s="2">
        <v>45164</v>
      </c>
      <c r="AA766" t="s">
        <v>1033</v>
      </c>
    </row>
    <row r="767" spans="1:27">
      <c r="A767" s="1" t="s">
        <v>792</v>
      </c>
      <c r="B767">
        <f>HYPERLINK("https://www.suredividend.com/sure-analysis-EXR/","Extra Space Storage Inc.")</f>
        <v>0</v>
      </c>
      <c r="C767" t="s">
        <v>898</v>
      </c>
      <c r="D767">
        <v>126</v>
      </c>
      <c r="E767">
        <v>124.04</v>
      </c>
      <c r="F767">
        <v>132</v>
      </c>
      <c r="G767">
        <v>0.9396969696969697</v>
      </c>
      <c r="H767">
        <v>0.05224121251209288</v>
      </c>
      <c r="I767">
        <v>0.01251725889026489</v>
      </c>
      <c r="J767">
        <v>0.05</v>
      </c>
      <c r="K767">
        <v>0.1080493375591973</v>
      </c>
      <c r="L767" t="s">
        <v>642</v>
      </c>
      <c r="M767" t="s">
        <v>825</v>
      </c>
      <c r="N767">
        <v>15.03515151515152</v>
      </c>
      <c r="O767">
        <v>8.25</v>
      </c>
      <c r="P767">
        <v>6.48</v>
      </c>
      <c r="Q767">
        <v>0.7854545454545455</v>
      </c>
      <c r="R767">
        <v>14</v>
      </c>
      <c r="S767">
        <v>0.05995839365595046</v>
      </c>
      <c r="T767" t="s">
        <v>912</v>
      </c>
      <c r="U767">
        <v>-0.336677844098368</v>
      </c>
      <c r="V767" t="s">
        <v>1005</v>
      </c>
      <c r="W767" t="s">
        <v>1008</v>
      </c>
      <c r="X767" t="s">
        <v>1019</v>
      </c>
      <c r="Y767">
        <v>26792.84</v>
      </c>
      <c r="Z767" s="2">
        <v>45143</v>
      </c>
      <c r="AA767" t="s">
        <v>1032</v>
      </c>
    </row>
    <row r="768" spans="1:27">
      <c r="A768" s="1" t="s">
        <v>793</v>
      </c>
      <c r="B768">
        <f>HYPERLINK("https://www.suredividend.com/sure-analysis-SBRA/","Sabra Healthcare REIT Inc")</f>
        <v>0</v>
      </c>
      <c r="C768" t="s">
        <v>898</v>
      </c>
      <c r="D768">
        <v>12.2</v>
      </c>
      <c r="E768">
        <v>13.18</v>
      </c>
      <c r="F768">
        <v>12.9</v>
      </c>
      <c r="G768">
        <v>1.021705426356589</v>
      </c>
      <c r="H768">
        <v>0.09104704097116843</v>
      </c>
      <c r="I768">
        <v>-0.004285434747319239</v>
      </c>
      <c r="J768">
        <v>0.036</v>
      </c>
      <c r="K768">
        <v>0.1074400479223749</v>
      </c>
      <c r="L768" t="s">
        <v>642</v>
      </c>
      <c r="M768" t="s">
        <v>580</v>
      </c>
      <c r="N768">
        <v>9.414285714285715</v>
      </c>
      <c r="O768">
        <v>1.4</v>
      </c>
      <c r="P768">
        <v>1.2</v>
      </c>
      <c r="Q768">
        <v>0.8571428571428572</v>
      </c>
      <c r="R768">
        <v>0</v>
      </c>
      <c r="S768">
        <v>0.02983277847878951</v>
      </c>
      <c r="T768" t="s">
        <v>936</v>
      </c>
      <c r="U768">
        <v>-0.037220192118334</v>
      </c>
      <c r="V768" t="s">
        <v>1005</v>
      </c>
      <c r="W768" t="s">
        <v>1008</v>
      </c>
      <c r="X768" t="s">
        <v>1019</v>
      </c>
      <c r="Y768">
        <v>3052.086286</v>
      </c>
      <c r="Z768" s="2">
        <v>45165</v>
      </c>
      <c r="AA768" t="s">
        <v>1033</v>
      </c>
    </row>
    <row r="769" spans="1:27">
      <c r="A769" s="1" t="s">
        <v>794</v>
      </c>
      <c r="B769">
        <f>HYPERLINK("https://www.suredividend.com/sure-analysis-MAIN/","Main Street Capital Corporation")</f>
        <v>0</v>
      </c>
      <c r="C769" t="s">
        <v>899</v>
      </c>
      <c r="D769">
        <v>42</v>
      </c>
      <c r="E769">
        <v>40.62</v>
      </c>
      <c r="F769">
        <v>53</v>
      </c>
      <c r="G769">
        <v>0.7664150943396226</v>
      </c>
      <c r="H769">
        <v>0.06942392909896603</v>
      </c>
      <c r="I769">
        <v>0.05464716631622424</v>
      </c>
      <c r="J769">
        <v>0</v>
      </c>
      <c r="K769">
        <v>0.1069678621985306</v>
      </c>
      <c r="L769" t="s">
        <v>642</v>
      </c>
      <c r="M769" t="s">
        <v>580</v>
      </c>
      <c r="N769">
        <v>9.955882352941176</v>
      </c>
      <c r="O769">
        <v>4.08</v>
      </c>
      <c r="P769">
        <v>2.82</v>
      </c>
      <c r="Q769">
        <v>0.6911764705882353</v>
      </c>
      <c r="R769">
        <v>7</v>
      </c>
      <c r="S769">
        <v>0.009737581379025473</v>
      </c>
      <c r="T769" t="s">
        <v>924</v>
      </c>
      <c r="U769">
        <v>0.08507929220264401</v>
      </c>
      <c r="V769" t="s">
        <v>1007</v>
      </c>
      <c r="W769" t="s">
        <v>1008</v>
      </c>
      <c r="X769" t="s">
        <v>1015</v>
      </c>
      <c r="Y769">
        <v>3350.699013</v>
      </c>
      <c r="Z769" s="2">
        <v>45145</v>
      </c>
      <c r="AA769" t="s">
        <v>1026</v>
      </c>
    </row>
    <row r="770" spans="1:27">
      <c r="A770" s="1" t="s">
        <v>795</v>
      </c>
      <c r="B770">
        <f>HYPERLINK("https://www.suredividend.com/sure-analysis-FCPT/","Four Corners Property Trust Inc")</f>
        <v>0</v>
      </c>
      <c r="C770" t="s">
        <v>899</v>
      </c>
      <c r="D770">
        <v>26</v>
      </c>
      <c r="E770">
        <v>24.32</v>
      </c>
      <c r="F770">
        <v>27</v>
      </c>
      <c r="G770">
        <v>0.9007407407407407</v>
      </c>
      <c r="H770">
        <v>0.05633223684210527</v>
      </c>
      <c r="I770">
        <v>0.02112765605309708</v>
      </c>
      <c r="J770">
        <v>0.04</v>
      </c>
      <c r="K770">
        <v>0.1065435721820276</v>
      </c>
      <c r="L770" t="s">
        <v>642</v>
      </c>
      <c r="M770" t="s">
        <v>825</v>
      </c>
      <c r="N770">
        <v>15.1055900621118</v>
      </c>
      <c r="O770">
        <v>1.61</v>
      </c>
      <c r="P770">
        <v>1.37</v>
      </c>
      <c r="Q770">
        <v>0.8509316770186336</v>
      </c>
      <c r="R770">
        <v>7</v>
      </c>
      <c r="S770">
        <v>0.03023265489990212</v>
      </c>
      <c r="T770" t="s">
        <v>911</v>
      </c>
      <c r="U770">
        <v>-0.04165920295329401</v>
      </c>
      <c r="V770" t="s">
        <v>1005</v>
      </c>
      <c r="W770" t="s">
        <v>1008</v>
      </c>
      <c r="X770" t="s">
        <v>1019</v>
      </c>
      <c r="Y770">
        <v>2228.82547</v>
      </c>
      <c r="Z770" s="2">
        <v>45145</v>
      </c>
      <c r="AA770" t="s">
        <v>1027</v>
      </c>
    </row>
    <row r="771" spans="1:27">
      <c r="A771" s="1" t="s">
        <v>796</v>
      </c>
      <c r="B771">
        <f>HYPERLINK("https://www.suredividend.com/sure-analysis-TU/","Telus Corp.")</f>
        <v>0</v>
      </c>
      <c r="C771" t="s">
        <v>898</v>
      </c>
      <c r="D771">
        <v>17</v>
      </c>
      <c r="E771">
        <v>16.85</v>
      </c>
      <c r="F771">
        <v>12</v>
      </c>
      <c r="G771">
        <v>1.404166666666667</v>
      </c>
      <c r="H771">
        <v>0.06468842729970327</v>
      </c>
      <c r="I771">
        <v>-0.06563563219168778</v>
      </c>
      <c r="J771">
        <v>0.13</v>
      </c>
      <c r="K771">
        <v>0.1059974492480726</v>
      </c>
      <c r="L771" t="s">
        <v>642</v>
      </c>
      <c r="M771" t="s">
        <v>825</v>
      </c>
      <c r="N771">
        <v>24.07142857142858</v>
      </c>
      <c r="O771">
        <v>0.7</v>
      </c>
      <c r="P771">
        <v>1.09</v>
      </c>
      <c r="Q771">
        <v>1.557142857142857</v>
      </c>
      <c r="R771">
        <v>15</v>
      </c>
      <c r="S771">
        <v>0.01941483562655222</v>
      </c>
      <c r="T771" t="s">
        <v>924</v>
      </c>
      <c r="U771">
        <v>-0.208708862647143</v>
      </c>
      <c r="V771" t="s">
        <v>1004</v>
      </c>
      <c r="W771" t="s">
        <v>1009</v>
      </c>
      <c r="X771" t="s">
        <v>1017</v>
      </c>
      <c r="Y771">
        <v>24696.247125</v>
      </c>
      <c r="Z771" s="2">
        <v>45166</v>
      </c>
      <c r="AA771" t="s">
        <v>1022</v>
      </c>
    </row>
    <row r="772" spans="1:27">
      <c r="A772" s="1" t="s">
        <v>797</v>
      </c>
      <c r="B772">
        <f>HYPERLINK("https://www.suredividend.com/sure-analysis-EBF/","Ennis Inc.")</f>
        <v>0</v>
      </c>
      <c r="C772" t="s">
        <v>898</v>
      </c>
      <c r="D772">
        <v>21</v>
      </c>
      <c r="E772">
        <v>20.97</v>
      </c>
      <c r="F772">
        <v>25</v>
      </c>
      <c r="G772">
        <v>0.8388</v>
      </c>
      <c r="H772">
        <v>0.04768717215069147</v>
      </c>
      <c r="I772">
        <v>0.03578189539264565</v>
      </c>
      <c r="J772">
        <v>0.03</v>
      </c>
      <c r="K772">
        <v>0.1043941580236891</v>
      </c>
      <c r="L772" t="s">
        <v>642</v>
      </c>
      <c r="M772" t="s">
        <v>825</v>
      </c>
      <c r="N772">
        <v>12.70909090909091</v>
      </c>
      <c r="O772">
        <v>1.65</v>
      </c>
      <c r="P772">
        <v>1</v>
      </c>
      <c r="Q772">
        <v>0.6060606060606061</v>
      </c>
      <c r="R772">
        <v>2</v>
      </c>
      <c r="S772">
        <v>0.03012896281839894</v>
      </c>
      <c r="T772" t="s">
        <v>907</v>
      </c>
      <c r="U772">
        <v>0.06497493297186301</v>
      </c>
      <c r="V772" t="s">
        <v>1004</v>
      </c>
      <c r="W772" t="s">
        <v>1008</v>
      </c>
      <c r="X772" t="s">
        <v>1012</v>
      </c>
      <c r="Y772">
        <v>552.479187</v>
      </c>
      <c r="Z772" s="2">
        <v>45160</v>
      </c>
      <c r="AA772" t="s">
        <v>1034</v>
      </c>
    </row>
    <row r="773" spans="1:27">
      <c r="A773" s="1" t="s">
        <v>798</v>
      </c>
      <c r="B773">
        <f>HYPERLINK("https://www.suredividend.com/sure-analysis-APLE/","Apple Hospitality REIT Inc")</f>
        <v>0</v>
      </c>
      <c r="C773" t="s">
        <v>898</v>
      </c>
      <c r="D773">
        <v>14.7</v>
      </c>
      <c r="E773">
        <v>15.78</v>
      </c>
      <c r="F773">
        <v>19.4</v>
      </c>
      <c r="G773">
        <v>0.8134020618556701</v>
      </c>
      <c r="H773">
        <v>0.06083650190114068</v>
      </c>
      <c r="I773">
        <v>0.04217090909944354</v>
      </c>
      <c r="J773">
        <v>0.014</v>
      </c>
      <c r="K773">
        <v>0.1038638308896795</v>
      </c>
      <c r="L773" t="s">
        <v>642</v>
      </c>
      <c r="M773" t="s">
        <v>580</v>
      </c>
      <c r="N773">
        <v>9.392857142857142</v>
      </c>
      <c r="O773">
        <v>1.68</v>
      </c>
      <c r="P773">
        <v>0.96</v>
      </c>
      <c r="Q773">
        <v>0.5714285714285714</v>
      </c>
      <c r="R773">
        <v>2</v>
      </c>
      <c r="S773">
        <v>0.01808400232019891</v>
      </c>
      <c r="T773" t="s">
        <v>925</v>
      </c>
      <c r="U773">
        <v>0.045102376055773</v>
      </c>
      <c r="V773" t="s">
        <v>1005</v>
      </c>
      <c r="W773" t="s">
        <v>1008</v>
      </c>
      <c r="X773" t="s">
        <v>1019</v>
      </c>
      <c r="Y773">
        <v>3697.393327</v>
      </c>
      <c r="Z773" s="2">
        <v>45167</v>
      </c>
      <c r="AA773" t="s">
        <v>1033</v>
      </c>
    </row>
    <row r="774" spans="1:27">
      <c r="A774" s="1" t="s">
        <v>799</v>
      </c>
      <c r="B774">
        <f>HYPERLINK("https://www.suredividend.com/sure-analysis-KSS/","Kohl`s Corp.")</f>
        <v>0</v>
      </c>
      <c r="C774" t="s">
        <v>899</v>
      </c>
      <c r="D774">
        <v>24</v>
      </c>
      <c r="E774">
        <v>22.45</v>
      </c>
      <c r="F774">
        <v>23</v>
      </c>
      <c r="G774">
        <v>0.976086956521739</v>
      </c>
      <c r="H774">
        <v>0.08908685968819599</v>
      </c>
      <c r="I774">
        <v>0.004852455562911917</v>
      </c>
      <c r="J774">
        <v>0.03</v>
      </c>
      <c r="K774">
        <v>0.1030699413170537</v>
      </c>
      <c r="L774" t="s">
        <v>642</v>
      </c>
      <c r="M774" t="s">
        <v>580</v>
      </c>
      <c r="N774">
        <v>8.98</v>
      </c>
      <c r="O774">
        <v>2.5</v>
      </c>
      <c r="P774">
        <v>2</v>
      </c>
      <c r="Q774">
        <v>0.8</v>
      </c>
      <c r="R774">
        <v>2</v>
      </c>
      <c r="S774">
        <v>0</v>
      </c>
      <c r="T774" t="s">
        <v>940</v>
      </c>
      <c r="U774">
        <v>-0.17550058892815</v>
      </c>
      <c r="V774" t="s">
        <v>1004</v>
      </c>
      <c r="W774" t="s">
        <v>1008</v>
      </c>
      <c r="X774" t="s">
        <v>1013</v>
      </c>
      <c r="Y774">
        <v>2595.652149</v>
      </c>
      <c r="Z774" s="2">
        <v>45166</v>
      </c>
      <c r="AA774" t="s">
        <v>1030</v>
      </c>
    </row>
    <row r="775" spans="1:27">
      <c r="A775" s="1" t="s">
        <v>800</v>
      </c>
      <c r="B775">
        <f>HYPERLINK("https://www.suredividend.com/sure-analysis-SBLK/","Star Bulk Carriers Corp")</f>
        <v>0</v>
      </c>
      <c r="C775" t="s">
        <v>898</v>
      </c>
      <c r="D775">
        <v>18.28</v>
      </c>
      <c r="E775">
        <v>17.44</v>
      </c>
      <c r="F775">
        <v>15.6</v>
      </c>
      <c r="G775">
        <v>1.117948717948718</v>
      </c>
      <c r="H775">
        <v>0.08027522935779816</v>
      </c>
      <c r="I775">
        <v>-0.02205231367680682</v>
      </c>
      <c r="J775">
        <v>0.06</v>
      </c>
      <c r="K775">
        <v>0.1029476349977745</v>
      </c>
      <c r="L775" t="s">
        <v>642</v>
      </c>
      <c r="M775" t="s">
        <v>902</v>
      </c>
      <c r="N775">
        <v>7.266666666666667</v>
      </c>
      <c r="O775">
        <v>2.4</v>
      </c>
      <c r="P775">
        <v>1.4</v>
      </c>
      <c r="Q775">
        <v>0.5833333333333334</v>
      </c>
      <c r="R775">
        <v>0</v>
      </c>
      <c r="S775">
        <v>0.02706608708935176</v>
      </c>
      <c r="T775" t="s">
        <v>949</v>
      </c>
      <c r="U775">
        <v>-0.0456631368012</v>
      </c>
      <c r="V775" t="s">
        <v>1004</v>
      </c>
      <c r="W775" t="s">
        <v>1009</v>
      </c>
      <c r="X775" t="s">
        <v>1012</v>
      </c>
      <c r="Y775">
        <v>1773.261852</v>
      </c>
      <c r="Z775" s="2">
        <v>45143</v>
      </c>
      <c r="AA775" t="s">
        <v>1032</v>
      </c>
    </row>
    <row r="776" spans="1:27">
      <c r="A776" s="1" t="s">
        <v>801</v>
      </c>
      <c r="B776">
        <f>HYPERLINK("https://www.suredividend.com/sure-analysis-SCM/","Stellus Capital Investment Corp")</f>
        <v>0</v>
      </c>
      <c r="C776" t="s">
        <v>899</v>
      </c>
      <c r="D776">
        <v>14.22</v>
      </c>
      <c r="E776">
        <v>13.94</v>
      </c>
      <c r="F776">
        <v>17.1</v>
      </c>
      <c r="G776">
        <v>0.815204678362573</v>
      </c>
      <c r="H776">
        <v>0.114777618364419</v>
      </c>
      <c r="I776">
        <v>0.04170960204628038</v>
      </c>
      <c r="J776">
        <v>-0.03</v>
      </c>
      <c r="K776">
        <v>0.1022820117642362</v>
      </c>
      <c r="L776" t="s">
        <v>642</v>
      </c>
      <c r="M776" t="s">
        <v>580</v>
      </c>
      <c r="N776">
        <v>7.336842105263158</v>
      </c>
      <c r="O776">
        <v>1.9</v>
      </c>
      <c r="P776">
        <v>1.6</v>
      </c>
      <c r="Q776">
        <v>0.8421052631578948</v>
      </c>
      <c r="R776">
        <v>2</v>
      </c>
      <c r="S776">
        <v>0</v>
      </c>
      <c r="T776" t="s">
        <v>925</v>
      </c>
      <c r="U776">
        <v>0.130670551576221</v>
      </c>
      <c r="V776" t="s">
        <v>1007</v>
      </c>
      <c r="W776" t="s">
        <v>1008</v>
      </c>
      <c r="X776" t="s">
        <v>1015</v>
      </c>
      <c r="Y776">
        <v>315.133919</v>
      </c>
      <c r="Z776" s="2">
        <v>45155</v>
      </c>
      <c r="AA776" t="s">
        <v>1030</v>
      </c>
    </row>
    <row r="777" spans="1:27">
      <c r="A777" s="1" t="s">
        <v>802</v>
      </c>
      <c r="B777">
        <f>HYPERLINK("https://www.suredividend.com/sure-analysis-SPG/","Simon Property Group, Inc.")</f>
        <v>0</v>
      </c>
      <c r="C777" t="s">
        <v>899</v>
      </c>
      <c r="D777">
        <v>118</v>
      </c>
      <c r="E777">
        <v>114.77</v>
      </c>
      <c r="F777">
        <v>125</v>
      </c>
      <c r="G777">
        <v>0.91816</v>
      </c>
      <c r="H777">
        <v>0.06621939531236386</v>
      </c>
      <c r="I777">
        <v>0.0172233630698202</v>
      </c>
      <c r="J777">
        <v>0.03</v>
      </c>
      <c r="K777">
        <v>0.1019327329770772</v>
      </c>
      <c r="L777" t="s">
        <v>642</v>
      </c>
      <c r="M777" t="s">
        <v>580</v>
      </c>
      <c r="N777">
        <v>9.64453781512605</v>
      </c>
      <c r="O777">
        <v>11.9</v>
      </c>
      <c r="P777">
        <v>7.6</v>
      </c>
      <c r="Q777">
        <v>0.6386554621848739</v>
      </c>
      <c r="R777">
        <v>3</v>
      </c>
      <c r="S777">
        <v>0.02998870744020898</v>
      </c>
      <c r="T777" t="s">
        <v>924</v>
      </c>
      <c r="U777">
        <v>0.16875375103359</v>
      </c>
      <c r="V777" t="s">
        <v>1005</v>
      </c>
      <c r="W777" t="s">
        <v>1008</v>
      </c>
      <c r="X777" t="s">
        <v>1019</v>
      </c>
      <c r="Y777">
        <v>37784.021299</v>
      </c>
      <c r="Z777" s="2">
        <v>45142</v>
      </c>
      <c r="AA777" t="s">
        <v>1032</v>
      </c>
    </row>
    <row r="778" spans="1:27">
      <c r="A778" s="1" t="s">
        <v>803</v>
      </c>
      <c r="B778">
        <f>HYPERLINK("https://www.suredividend.com/sure-analysis-BCE/","BCE Inc")</f>
        <v>0</v>
      </c>
      <c r="C778" t="s">
        <v>899</v>
      </c>
      <c r="D778">
        <v>42</v>
      </c>
      <c r="E778">
        <v>40.536</v>
      </c>
      <c r="F778">
        <v>40</v>
      </c>
      <c r="G778">
        <v>1.0134</v>
      </c>
      <c r="H778">
        <v>0.07154134596408131</v>
      </c>
      <c r="I778">
        <v>-0.002658662292585601</v>
      </c>
      <c r="J778">
        <v>0.045</v>
      </c>
      <c r="K778">
        <v>0.1017864585064938</v>
      </c>
      <c r="L778" t="s">
        <v>642</v>
      </c>
      <c r="M778" t="s">
        <v>825</v>
      </c>
      <c r="N778">
        <v>16.89</v>
      </c>
      <c r="O778">
        <v>2.4</v>
      </c>
      <c r="P778">
        <v>2.9</v>
      </c>
      <c r="Q778">
        <v>1.208333333333333</v>
      </c>
      <c r="R778">
        <v>14</v>
      </c>
      <c r="S778">
        <v>0.03232437953530787</v>
      </c>
      <c r="T778" t="s">
        <v>912</v>
      </c>
      <c r="U778">
        <v>-0.115732485444819</v>
      </c>
      <c r="V778" t="s">
        <v>1004</v>
      </c>
      <c r="W778" t="s">
        <v>1009</v>
      </c>
      <c r="X778" t="s">
        <v>1017</v>
      </c>
      <c r="Y778">
        <v>37549.838578</v>
      </c>
      <c r="Z778" s="2">
        <v>45144</v>
      </c>
      <c r="AA778" t="s">
        <v>1036</v>
      </c>
    </row>
    <row r="779" spans="1:27">
      <c r="A779" s="1" t="s">
        <v>804</v>
      </c>
      <c r="B779">
        <f>HYPERLINK("https://www.suredividend.com/sure-analysis-LADR/","Ladder Capital Corp")</f>
        <v>0</v>
      </c>
      <c r="C779" t="s">
        <v>899</v>
      </c>
      <c r="D779">
        <v>10.9</v>
      </c>
      <c r="E779">
        <v>10.75</v>
      </c>
      <c r="F779">
        <v>11.5</v>
      </c>
      <c r="G779">
        <v>0.9347826086956522</v>
      </c>
      <c r="H779">
        <v>0.08558139534883721</v>
      </c>
      <c r="I779">
        <v>0.01357963306236676</v>
      </c>
      <c r="J779">
        <v>0.02</v>
      </c>
      <c r="K779">
        <v>0.1016834814946965</v>
      </c>
      <c r="L779" t="s">
        <v>642</v>
      </c>
      <c r="M779" t="s">
        <v>580</v>
      </c>
      <c r="N779">
        <v>7.962962962962963</v>
      </c>
      <c r="O779">
        <v>1.35</v>
      </c>
      <c r="P779">
        <v>0.92</v>
      </c>
      <c r="Q779">
        <v>0.6814814814814815</v>
      </c>
      <c r="R779">
        <v>1</v>
      </c>
      <c r="S779">
        <v>0.01064069405849488</v>
      </c>
      <c r="T779" t="s">
        <v>911</v>
      </c>
      <c r="U779">
        <v>0.05028213650769101</v>
      </c>
      <c r="V779" t="s">
        <v>1005</v>
      </c>
      <c r="W779" t="s">
        <v>1008</v>
      </c>
      <c r="X779" t="s">
        <v>1019</v>
      </c>
      <c r="Y779">
        <v>1379.745981</v>
      </c>
      <c r="Z779" s="2">
        <v>45145</v>
      </c>
      <c r="AA779" t="s">
        <v>1026</v>
      </c>
    </row>
    <row r="780" spans="1:27">
      <c r="A780" s="1" t="s">
        <v>805</v>
      </c>
      <c r="B780">
        <f>HYPERLINK("https://www.suredividend.com/sure-analysis-BXP/","Boston Properties, Inc.")</f>
        <v>0</v>
      </c>
      <c r="C780" t="s">
        <v>898</v>
      </c>
      <c r="D780">
        <v>62.5</v>
      </c>
      <c r="E780">
        <v>63.8</v>
      </c>
      <c r="F780">
        <v>72.59999999999999</v>
      </c>
      <c r="G780">
        <v>0.8787878787878788</v>
      </c>
      <c r="H780">
        <v>0.06144200626959248</v>
      </c>
      <c r="I780">
        <v>0.02617915477537269</v>
      </c>
      <c r="J780">
        <v>0.024</v>
      </c>
      <c r="K780">
        <v>0.09932783085658059</v>
      </c>
      <c r="L780" t="s">
        <v>642</v>
      </c>
      <c r="M780" t="s">
        <v>580</v>
      </c>
      <c r="N780">
        <v>8.787878787878787</v>
      </c>
      <c r="O780">
        <v>7.26</v>
      </c>
      <c r="P780">
        <v>3.92</v>
      </c>
      <c r="Q780">
        <v>0.5399449035812672</v>
      </c>
      <c r="R780">
        <v>0</v>
      </c>
      <c r="S780">
        <v>0.01820270163581017</v>
      </c>
      <c r="T780" t="s">
        <v>911</v>
      </c>
      <c r="U780">
        <v>-0.193970237396847</v>
      </c>
      <c r="V780" t="s">
        <v>1005</v>
      </c>
      <c r="W780" t="s">
        <v>1008</v>
      </c>
      <c r="X780" t="s">
        <v>1019</v>
      </c>
      <c r="Y780">
        <v>10345.217007</v>
      </c>
      <c r="Z780" s="2">
        <v>45161</v>
      </c>
      <c r="AA780" t="s">
        <v>1033</v>
      </c>
    </row>
    <row r="781" spans="1:27">
      <c r="A781" s="1" t="s">
        <v>806</v>
      </c>
      <c r="B781">
        <f>HYPERLINK("https://www.suredividend.com/sure-analysis-PMT/","Pennymac Mortgage Investment Trust")</f>
        <v>0</v>
      </c>
      <c r="C781" t="s">
        <v>899</v>
      </c>
      <c r="D781">
        <v>13</v>
      </c>
      <c r="E781">
        <v>12.78</v>
      </c>
      <c r="F781">
        <v>13.2</v>
      </c>
      <c r="G781">
        <v>0.9681818181818181</v>
      </c>
      <c r="H781">
        <v>0.1251956181533646</v>
      </c>
      <c r="I781">
        <v>0.006488032817223655</v>
      </c>
      <c r="J781">
        <v>0.02</v>
      </c>
      <c r="K781">
        <v>0.09862644965493361</v>
      </c>
      <c r="L781" t="s">
        <v>642</v>
      </c>
      <c r="M781" t="s">
        <v>580</v>
      </c>
      <c r="N781">
        <v>8.24516129032258</v>
      </c>
      <c r="O781">
        <v>1.55</v>
      </c>
      <c r="P781">
        <v>1.6</v>
      </c>
      <c r="Q781">
        <v>1.032258064516129</v>
      </c>
      <c r="R781">
        <v>0</v>
      </c>
      <c r="S781">
        <v>-0.1009132981313342</v>
      </c>
      <c r="T781" t="s">
        <v>908</v>
      </c>
      <c r="U781">
        <v>-0.022012385799252</v>
      </c>
      <c r="V781" t="s">
        <v>1005</v>
      </c>
      <c r="W781" t="s">
        <v>1008</v>
      </c>
      <c r="X781" t="s">
        <v>1015</v>
      </c>
      <c r="Y781">
        <v>1107.062806</v>
      </c>
      <c r="Z781" s="2">
        <v>45148</v>
      </c>
      <c r="AA781" t="s">
        <v>1026</v>
      </c>
    </row>
    <row r="782" spans="1:27">
      <c r="A782" s="1" t="s">
        <v>807</v>
      </c>
      <c r="B782">
        <f>HYPERLINK("https://www.suredividend.com/sure-analysis-NMFC/","New Mountain Finance Corp")</f>
        <v>0</v>
      </c>
      <c r="C782" t="s">
        <v>899</v>
      </c>
      <c r="D782">
        <v>12.77</v>
      </c>
      <c r="E782">
        <v>12.501</v>
      </c>
      <c r="F782">
        <v>13.6</v>
      </c>
      <c r="G782">
        <v>0.9191911764705882</v>
      </c>
      <c r="H782">
        <v>0.1023918086553076</v>
      </c>
      <c r="I782">
        <v>0.01699503019786119</v>
      </c>
      <c r="J782">
        <v>0</v>
      </c>
      <c r="K782">
        <v>0.09854296718106981</v>
      </c>
      <c r="L782" t="s">
        <v>642</v>
      </c>
      <c r="M782" t="s">
        <v>580</v>
      </c>
      <c r="N782">
        <v>9.766406249999999</v>
      </c>
      <c r="O782">
        <v>1.28</v>
      </c>
      <c r="P782">
        <v>1.28</v>
      </c>
      <c r="Q782">
        <v>1</v>
      </c>
      <c r="R782">
        <v>2</v>
      </c>
      <c r="S782">
        <v>0</v>
      </c>
      <c r="T782" t="s">
        <v>904</v>
      </c>
      <c r="U782">
        <v>0.06330120242472401</v>
      </c>
      <c r="V782" t="s">
        <v>1007</v>
      </c>
      <c r="W782" t="s">
        <v>1008</v>
      </c>
      <c r="X782" t="s">
        <v>1015</v>
      </c>
      <c r="Y782">
        <v>1296.031414</v>
      </c>
      <c r="Z782" s="2">
        <v>45142</v>
      </c>
      <c r="AA782" t="s">
        <v>1032</v>
      </c>
    </row>
    <row r="783" spans="1:27">
      <c r="A783" s="1" t="s">
        <v>808</v>
      </c>
      <c r="B783">
        <f>HYPERLINK("https://www.suredividend.com/sure-analysis-OBDC/","Blue Owl Capital Corp")</f>
        <v>0</v>
      </c>
      <c r="C783" t="s">
        <v>899</v>
      </c>
      <c r="D783">
        <v>13.76</v>
      </c>
      <c r="E783">
        <v>13.65</v>
      </c>
      <c r="F783">
        <v>14.8</v>
      </c>
      <c r="G783">
        <v>0.9222972972972973</v>
      </c>
      <c r="H783">
        <v>0.09670329670329671</v>
      </c>
      <c r="I783">
        <v>0.01630909660280633</v>
      </c>
      <c r="J783">
        <v>0</v>
      </c>
      <c r="K783">
        <v>0.09830244071272509</v>
      </c>
      <c r="L783" t="s">
        <v>642</v>
      </c>
      <c r="M783" t="s">
        <v>580</v>
      </c>
      <c r="N783">
        <v>7.378378378378378</v>
      </c>
      <c r="O783">
        <v>1.85</v>
      </c>
      <c r="P783">
        <v>1.32</v>
      </c>
      <c r="Q783">
        <v>0.7135135135135136</v>
      </c>
      <c r="R783">
        <v>1</v>
      </c>
      <c r="S783">
        <v>0.02036554426441151</v>
      </c>
      <c r="T783" t="s">
        <v>911</v>
      </c>
      <c r="U783">
        <v>0.165442764578833</v>
      </c>
      <c r="V783" t="s">
        <v>1007</v>
      </c>
      <c r="W783" t="s">
        <v>1008</v>
      </c>
      <c r="X783" t="s">
        <v>1015</v>
      </c>
      <c r="Y783">
        <v>5257.496389</v>
      </c>
      <c r="Z783" s="2">
        <v>45153</v>
      </c>
      <c r="AA783" t="s">
        <v>1032</v>
      </c>
    </row>
    <row r="784" spans="1:27">
      <c r="A784" s="1" t="s">
        <v>809</v>
      </c>
      <c r="B784">
        <f>HYPERLINK("https://www.suredividend.com/sure-analysis-GMRE/","Global Medical REIT Inc")</f>
        <v>0</v>
      </c>
      <c r="C784" t="s">
        <v>899</v>
      </c>
      <c r="D784">
        <v>10</v>
      </c>
      <c r="E784">
        <v>9.56</v>
      </c>
      <c r="F784">
        <v>9.449999999999999</v>
      </c>
      <c r="G784">
        <v>1.011640211640212</v>
      </c>
      <c r="H784">
        <v>0.08786610878661087</v>
      </c>
      <c r="I784">
        <v>-0.002311920497130249</v>
      </c>
      <c r="J784">
        <v>0.03</v>
      </c>
      <c r="K784">
        <v>0.09825004329522713</v>
      </c>
      <c r="L784" t="s">
        <v>642</v>
      </c>
      <c r="M784" t="s">
        <v>580</v>
      </c>
      <c r="N784">
        <v>10.62222222222222</v>
      </c>
      <c r="O784">
        <v>0.9</v>
      </c>
      <c r="P784">
        <v>0.84</v>
      </c>
      <c r="Q784">
        <v>0.9333333333333332</v>
      </c>
      <c r="R784">
        <v>2</v>
      </c>
      <c r="S784">
        <v>0.009347419909568888</v>
      </c>
      <c r="T784" t="s">
        <v>934</v>
      </c>
      <c r="U784">
        <v>-0.059761112583301</v>
      </c>
      <c r="V784" t="s">
        <v>1005</v>
      </c>
      <c r="W784" t="s">
        <v>1008</v>
      </c>
      <c r="X784" t="s">
        <v>1019</v>
      </c>
      <c r="Y784">
        <v>628.112154</v>
      </c>
      <c r="Z784" s="2">
        <v>45142</v>
      </c>
      <c r="AA784" t="s">
        <v>1032</v>
      </c>
    </row>
    <row r="785" spans="1:27">
      <c r="A785" s="1" t="s">
        <v>810</v>
      </c>
      <c r="B785">
        <f>HYPERLINK("https://www.suredividend.com/sure-analysis-ORAN/","Orange.")</f>
        <v>0</v>
      </c>
      <c r="C785" t="s">
        <v>898</v>
      </c>
      <c r="D785">
        <v>11.4</v>
      </c>
      <c r="E785">
        <v>11.7</v>
      </c>
      <c r="F785">
        <v>11.7</v>
      </c>
      <c r="G785">
        <v>1</v>
      </c>
      <c r="H785">
        <v>0.06324786324786325</v>
      </c>
      <c r="I785">
        <v>0</v>
      </c>
      <c r="J785">
        <v>0.04</v>
      </c>
      <c r="K785">
        <v>0.09615241857076096</v>
      </c>
      <c r="L785" t="s">
        <v>642</v>
      </c>
      <c r="M785" t="s">
        <v>580</v>
      </c>
      <c r="N785">
        <v>10</v>
      </c>
      <c r="O785">
        <v>1.17</v>
      </c>
      <c r="P785">
        <v>0.74</v>
      </c>
      <c r="Q785">
        <v>0.6324786324786326</v>
      </c>
      <c r="R785">
        <v>0</v>
      </c>
      <c r="S785">
        <v>0.04900903024942593</v>
      </c>
      <c r="T785" t="s">
        <v>985</v>
      </c>
      <c r="U785">
        <v>0.217205105816806</v>
      </c>
      <c r="V785" t="s">
        <v>1004</v>
      </c>
      <c r="W785" t="s">
        <v>1009</v>
      </c>
      <c r="X785" t="s">
        <v>1017</v>
      </c>
      <c r="Y785">
        <v>31149.262774</v>
      </c>
      <c r="Z785" s="2">
        <v>45136</v>
      </c>
      <c r="AA785" t="s">
        <v>1031</v>
      </c>
    </row>
    <row r="786" spans="1:27">
      <c r="A786" s="1" t="s">
        <v>811</v>
      </c>
      <c r="B786">
        <f>HYPERLINK("https://www.suredividend.com/sure-analysis-GECC/","Great Elm Capital Corp")</f>
        <v>0</v>
      </c>
      <c r="C786" t="s">
        <v>899</v>
      </c>
      <c r="D786">
        <v>9.9</v>
      </c>
      <c r="E786">
        <v>9.4154</v>
      </c>
      <c r="F786">
        <v>10.9</v>
      </c>
      <c r="G786">
        <v>0.8637981651376146</v>
      </c>
      <c r="H786">
        <v>0.1486925674958047</v>
      </c>
      <c r="I786">
        <v>0.02971619817952642</v>
      </c>
      <c r="J786">
        <v>-0.049</v>
      </c>
      <c r="K786">
        <v>0.09565349614837548</v>
      </c>
      <c r="L786" t="s">
        <v>642</v>
      </c>
      <c r="M786" t="s">
        <v>580</v>
      </c>
      <c r="N786">
        <v>6.725285714285715</v>
      </c>
      <c r="O786">
        <v>1.4</v>
      </c>
      <c r="P786">
        <v>1.4</v>
      </c>
      <c r="Q786">
        <v>1</v>
      </c>
      <c r="R786">
        <v>0</v>
      </c>
      <c r="S786">
        <v>-0.03035973390442093</v>
      </c>
      <c r="T786" t="s">
        <v>912</v>
      </c>
      <c r="U786">
        <v>0.043331331494355</v>
      </c>
      <c r="V786" t="s">
        <v>1007</v>
      </c>
      <c r="W786" t="s">
        <v>1008</v>
      </c>
      <c r="X786" t="s">
        <v>1015</v>
      </c>
      <c r="Y786">
        <v>77.92007</v>
      </c>
      <c r="Z786" s="2">
        <v>45165</v>
      </c>
      <c r="AA786" t="s">
        <v>1033</v>
      </c>
    </row>
    <row r="787" spans="1:27">
      <c r="A787" s="1" t="s">
        <v>812</v>
      </c>
      <c r="B787">
        <f>HYPERLINK("https://www.suredividend.com/sure-analysis-GAIN/","Gladstone Investment Corporation")</f>
        <v>0</v>
      </c>
      <c r="C787" t="s">
        <v>899</v>
      </c>
      <c r="D787">
        <v>13</v>
      </c>
      <c r="E787">
        <v>12.85</v>
      </c>
      <c r="F787">
        <v>13</v>
      </c>
      <c r="G787">
        <v>0.9884615384615384</v>
      </c>
      <c r="H787">
        <v>0.07470817120622568</v>
      </c>
      <c r="I787">
        <v>0.002323805083467745</v>
      </c>
      <c r="J787">
        <v>0.03</v>
      </c>
      <c r="K787">
        <v>0.09432396811032095</v>
      </c>
      <c r="L787" t="s">
        <v>642</v>
      </c>
      <c r="M787" t="s">
        <v>580</v>
      </c>
      <c r="N787">
        <v>12.23809523809524</v>
      </c>
      <c r="O787">
        <v>1.05</v>
      </c>
      <c r="P787">
        <v>0.96</v>
      </c>
      <c r="Q787">
        <v>0.9142857142857143</v>
      </c>
      <c r="R787">
        <v>2</v>
      </c>
      <c r="S787">
        <v>0.02001586442069092</v>
      </c>
      <c r="T787" t="s">
        <v>913</v>
      </c>
      <c r="U787">
        <v>0.0368915969591</v>
      </c>
      <c r="V787" t="s">
        <v>1007</v>
      </c>
      <c r="W787" t="s">
        <v>1008</v>
      </c>
      <c r="X787" t="s">
        <v>1015</v>
      </c>
      <c r="Y787">
        <v>433.186727</v>
      </c>
      <c r="Z787" s="2">
        <v>45168</v>
      </c>
      <c r="AA787" t="s">
        <v>1028</v>
      </c>
    </row>
    <row r="788" spans="1:27">
      <c r="A788" s="1" t="s">
        <v>813</v>
      </c>
      <c r="B788">
        <f>HYPERLINK("https://www.suredividend.com/sure-analysis-OHI/","Omega Healthcare Investors, Inc.")</f>
        <v>0</v>
      </c>
      <c r="C788" t="s">
        <v>899</v>
      </c>
      <c r="D788">
        <v>32</v>
      </c>
      <c r="E788">
        <v>32.61</v>
      </c>
      <c r="F788">
        <v>31</v>
      </c>
      <c r="G788">
        <v>1.051935483870968</v>
      </c>
      <c r="H788">
        <v>0.08218337933149342</v>
      </c>
      <c r="I788">
        <v>-0.01007525813697419</v>
      </c>
      <c r="J788">
        <v>0.04</v>
      </c>
      <c r="K788">
        <v>0.09406120983898303</v>
      </c>
      <c r="L788" t="s">
        <v>642</v>
      </c>
      <c r="M788" t="s">
        <v>580</v>
      </c>
      <c r="N788">
        <v>11.64642857142857</v>
      </c>
      <c r="O788">
        <v>2.8</v>
      </c>
      <c r="P788">
        <v>2.68</v>
      </c>
      <c r="Q788">
        <v>0.9571428571428573</v>
      </c>
      <c r="R788">
        <v>0</v>
      </c>
      <c r="S788">
        <v>0</v>
      </c>
      <c r="T788" t="s">
        <v>918</v>
      </c>
      <c r="U788">
        <v>0.09240568609459901</v>
      </c>
      <c r="V788" t="s">
        <v>1005</v>
      </c>
      <c r="W788" t="s">
        <v>1008</v>
      </c>
      <c r="X788" t="s">
        <v>1019</v>
      </c>
      <c r="Y788">
        <v>8046.509529</v>
      </c>
      <c r="Z788" s="2">
        <v>45148</v>
      </c>
      <c r="AA788" t="s">
        <v>1030</v>
      </c>
    </row>
    <row r="789" spans="1:27">
      <c r="A789" s="1" t="s">
        <v>814</v>
      </c>
      <c r="B789">
        <f>HYPERLINK("https://www.suredividend.com/sure-analysis-DRI/","Darden Restaurants, Inc.")</f>
        <v>0</v>
      </c>
      <c r="C789" t="s">
        <v>899</v>
      </c>
      <c r="D789">
        <v>168</v>
      </c>
      <c r="E789">
        <v>148.81</v>
      </c>
      <c r="F789">
        <v>149</v>
      </c>
      <c r="G789">
        <v>0.9987248322147652</v>
      </c>
      <c r="H789">
        <v>0.03575028559908609</v>
      </c>
      <c r="I789">
        <v>0.0002552288660460089</v>
      </c>
      <c r="J789">
        <v>0.06</v>
      </c>
      <c r="K789">
        <v>0.09392179298174241</v>
      </c>
      <c r="L789" t="s">
        <v>642</v>
      </c>
      <c r="M789" t="s">
        <v>825</v>
      </c>
      <c r="N789">
        <v>17.00685714285714</v>
      </c>
      <c r="O789">
        <v>8.75</v>
      </c>
      <c r="P789">
        <v>5.32</v>
      </c>
      <c r="Q789">
        <v>0.608</v>
      </c>
      <c r="R789">
        <v>2</v>
      </c>
      <c r="S789">
        <v>0.08008770939432597</v>
      </c>
      <c r="T789" t="s">
        <v>921</v>
      </c>
      <c r="U789">
        <v>0.157691605924065</v>
      </c>
      <c r="V789" t="s">
        <v>1004</v>
      </c>
      <c r="W789" t="s">
        <v>1008</v>
      </c>
      <c r="X789" t="s">
        <v>1013</v>
      </c>
      <c r="Y789">
        <v>18099.573033</v>
      </c>
      <c r="Z789" s="2">
        <v>45112</v>
      </c>
      <c r="AA789" t="s">
        <v>1027</v>
      </c>
    </row>
    <row r="790" spans="1:27">
      <c r="A790" s="1" t="s">
        <v>815</v>
      </c>
      <c r="B790">
        <f>HYPERLINK("https://www.suredividend.com/sure-analysis-QSR/","Restaurant Brands International Inc")</f>
        <v>0</v>
      </c>
      <c r="C790" t="s">
        <v>899</v>
      </c>
      <c r="D790">
        <v>71</v>
      </c>
      <c r="E790">
        <v>67.59</v>
      </c>
      <c r="F790">
        <v>61</v>
      </c>
      <c r="G790">
        <v>1.108032786885246</v>
      </c>
      <c r="H790">
        <v>0.03254919366770232</v>
      </c>
      <c r="I790">
        <v>-0.02030818943114954</v>
      </c>
      <c r="J790">
        <v>0.09</v>
      </c>
      <c r="K790">
        <v>0.09375377260565898</v>
      </c>
      <c r="L790" t="s">
        <v>642</v>
      </c>
      <c r="M790" t="s">
        <v>825</v>
      </c>
      <c r="N790">
        <v>20.99068322981367</v>
      </c>
      <c r="O790">
        <v>3.22</v>
      </c>
      <c r="P790">
        <v>2.2</v>
      </c>
      <c r="Q790">
        <v>0.6832298136645963</v>
      </c>
      <c r="R790">
        <v>11</v>
      </c>
      <c r="S790">
        <v>0.02753251148110025</v>
      </c>
      <c r="T790" t="s">
        <v>943</v>
      </c>
      <c r="U790">
        <v>0.118534518845967</v>
      </c>
      <c r="V790" t="s">
        <v>1004</v>
      </c>
      <c r="W790" t="s">
        <v>1009</v>
      </c>
      <c r="X790" t="s">
        <v>1013</v>
      </c>
      <c r="Y790">
        <v>20867.808312</v>
      </c>
      <c r="Z790" s="2">
        <v>45155</v>
      </c>
      <c r="AA790" t="s">
        <v>1022</v>
      </c>
    </row>
    <row r="791" spans="1:27">
      <c r="A791" s="1" t="s">
        <v>816</v>
      </c>
      <c r="B791">
        <f>HYPERLINK("https://www.suredividend.com/sure-analysis-PFLT/","PennantPark Floating Rate Capital Ltd")</f>
        <v>0</v>
      </c>
      <c r="C791" t="s">
        <v>899</v>
      </c>
      <c r="D791">
        <v>10.4</v>
      </c>
      <c r="E791">
        <v>10.83</v>
      </c>
      <c r="F791">
        <v>10.8</v>
      </c>
      <c r="G791">
        <v>1.002777777777778</v>
      </c>
      <c r="H791">
        <v>0.1135734072022161</v>
      </c>
      <c r="I791">
        <v>-0.0005546315115934064</v>
      </c>
      <c r="J791">
        <v>0.001</v>
      </c>
      <c r="K791">
        <v>0.09286674832171293</v>
      </c>
      <c r="L791" t="s">
        <v>642</v>
      </c>
      <c r="M791" t="s">
        <v>580</v>
      </c>
      <c r="N791">
        <v>8.733870967741936</v>
      </c>
      <c r="O791">
        <v>1.24</v>
      </c>
      <c r="P791">
        <v>1.23</v>
      </c>
      <c r="Q791">
        <v>0.9919354838709677</v>
      </c>
      <c r="R791">
        <v>1</v>
      </c>
      <c r="S791">
        <v>-0.006590360141973228</v>
      </c>
      <c r="T791" t="s">
        <v>923</v>
      </c>
      <c r="U791">
        <v>-0.025254360465116</v>
      </c>
      <c r="V791" t="s">
        <v>1007</v>
      </c>
      <c r="W791" t="s">
        <v>1008</v>
      </c>
      <c r="X791" t="s">
        <v>1015</v>
      </c>
      <c r="Y791">
        <v>630.223352</v>
      </c>
      <c r="Z791" s="2">
        <v>45165</v>
      </c>
      <c r="AA791" t="s">
        <v>1033</v>
      </c>
    </row>
    <row r="792" spans="1:27">
      <c r="A792" s="1" t="s">
        <v>817</v>
      </c>
      <c r="B792">
        <f>HYPERLINK("https://www.suredividend.com/sure-analysis-PINE/","Alpine Income Property Trust Inc")</f>
        <v>0</v>
      </c>
      <c r="C792" t="s">
        <v>899</v>
      </c>
      <c r="D792">
        <v>16.75</v>
      </c>
      <c r="E792">
        <v>16.88</v>
      </c>
      <c r="F792">
        <v>16.94</v>
      </c>
      <c r="G792">
        <v>0.9964580873671781</v>
      </c>
      <c r="H792">
        <v>0.06516587677725119</v>
      </c>
      <c r="I792">
        <v>0.0007098918652639341</v>
      </c>
      <c r="J792">
        <v>0.035</v>
      </c>
      <c r="K792">
        <v>0.09219669075812087</v>
      </c>
      <c r="L792" t="s">
        <v>642</v>
      </c>
      <c r="M792" t="s">
        <v>580</v>
      </c>
      <c r="N792">
        <v>10.96103896103896</v>
      </c>
      <c r="O792">
        <v>1.54</v>
      </c>
      <c r="P792">
        <v>1.1</v>
      </c>
      <c r="Q792">
        <v>0.7142857142857143</v>
      </c>
      <c r="R792">
        <v>4</v>
      </c>
      <c r="S792">
        <v>0.03556108556173765</v>
      </c>
      <c r="T792" t="s">
        <v>972</v>
      </c>
      <c r="U792">
        <v>-0.022777075311389</v>
      </c>
      <c r="V792" t="s">
        <v>1005</v>
      </c>
      <c r="W792" t="s">
        <v>1008</v>
      </c>
      <c r="X792" t="s">
        <v>1019</v>
      </c>
      <c r="Y792">
        <v>239.972992</v>
      </c>
      <c r="Z792" s="2">
        <v>45128</v>
      </c>
      <c r="AA792" t="s">
        <v>1032</v>
      </c>
    </row>
    <row r="793" spans="1:27">
      <c r="A793" s="1" t="s">
        <v>818</v>
      </c>
      <c r="B793">
        <f>HYPERLINK("https://www.suredividend.com/sure-analysis-CSWC/","Capital Southwest Corp.")</f>
        <v>0</v>
      </c>
      <c r="C793" t="s">
        <v>899</v>
      </c>
      <c r="D793">
        <v>21.69</v>
      </c>
      <c r="E793">
        <v>22.0815</v>
      </c>
      <c r="F793">
        <v>21.68</v>
      </c>
      <c r="G793">
        <v>1.018519372693727</v>
      </c>
      <c r="H793">
        <v>0.1014423838960216</v>
      </c>
      <c r="I793">
        <v>-0.003663269260064883</v>
      </c>
      <c r="J793">
        <v>0.01</v>
      </c>
      <c r="K793">
        <v>0.09216440945482218</v>
      </c>
      <c r="L793" t="s">
        <v>642</v>
      </c>
      <c r="M793" t="s">
        <v>580</v>
      </c>
      <c r="N793">
        <v>8.659411764705883</v>
      </c>
      <c r="O793">
        <v>2.55</v>
      </c>
      <c r="P793">
        <v>2.24</v>
      </c>
      <c r="Q793">
        <v>0.8784313725490197</v>
      </c>
      <c r="R793">
        <v>8</v>
      </c>
      <c r="S793">
        <v>0.009634003550291759</v>
      </c>
      <c r="T793" t="s">
        <v>912</v>
      </c>
      <c r="U793">
        <v>0.373626373626373</v>
      </c>
      <c r="V793" t="s">
        <v>1007</v>
      </c>
      <c r="W793" t="s">
        <v>1008</v>
      </c>
      <c r="X793" t="s">
        <v>1015</v>
      </c>
      <c r="Y793">
        <v>894.905043</v>
      </c>
      <c r="Z793" s="2">
        <v>45146</v>
      </c>
      <c r="AA793" t="s">
        <v>1032</v>
      </c>
    </row>
    <row r="794" spans="1:27">
      <c r="A794" s="1" t="s">
        <v>819</v>
      </c>
      <c r="B794">
        <f>HYPERLINK("https://www.suredividend.com/sure-analysis-SACH/","Sachem Capital Corp")</f>
        <v>0</v>
      </c>
      <c r="C794" t="s">
        <v>898</v>
      </c>
      <c r="D794">
        <v>3.12</v>
      </c>
      <c r="E794">
        <v>3.61</v>
      </c>
      <c r="F794">
        <v>3.38</v>
      </c>
      <c r="G794">
        <v>1.068047337278107</v>
      </c>
      <c r="H794">
        <v>0.1440443213296399</v>
      </c>
      <c r="I794">
        <v>-0.01308011452042701</v>
      </c>
      <c r="J794">
        <v>0</v>
      </c>
      <c r="K794">
        <v>0.09207181931099218</v>
      </c>
      <c r="L794" t="s">
        <v>642</v>
      </c>
      <c r="M794" t="s">
        <v>580</v>
      </c>
      <c r="N794">
        <v>8.022222222222222</v>
      </c>
      <c r="O794">
        <v>0.45</v>
      </c>
      <c r="P794">
        <v>0.52</v>
      </c>
      <c r="Q794">
        <v>1.155555555555556</v>
      </c>
      <c r="R794">
        <v>1</v>
      </c>
      <c r="S794">
        <v>-0.05111991994525078</v>
      </c>
      <c r="T794" t="s">
        <v>910</v>
      </c>
      <c r="U794">
        <v>0.024345950854094</v>
      </c>
      <c r="V794" t="s">
        <v>1005</v>
      </c>
      <c r="W794" t="s">
        <v>1008</v>
      </c>
      <c r="X794" t="s">
        <v>1019</v>
      </c>
      <c r="Y794">
        <v>163.700609</v>
      </c>
      <c r="Z794" s="2">
        <v>45156</v>
      </c>
      <c r="AA794" t="s">
        <v>1032</v>
      </c>
    </row>
    <row r="795" spans="1:27">
      <c r="A795" s="1" t="s">
        <v>820</v>
      </c>
      <c r="B795">
        <f>HYPERLINK("https://www.suredividend.com/sure-analysis-SJT/","San Juan Basin Royalty Trust")</f>
        <v>0</v>
      </c>
      <c r="C795" t="s">
        <v>899</v>
      </c>
      <c r="D795">
        <v>7</v>
      </c>
      <c r="E795">
        <v>6.87</v>
      </c>
      <c r="F795">
        <v>11.6</v>
      </c>
      <c r="G795">
        <v>0.5922413793103448</v>
      </c>
      <c r="H795">
        <v>0.2110625909752547</v>
      </c>
      <c r="I795">
        <v>0.110453175670042</v>
      </c>
      <c r="J795">
        <v>-0.13</v>
      </c>
      <c r="K795">
        <v>0.0914118036798941</v>
      </c>
      <c r="L795" t="s">
        <v>642</v>
      </c>
      <c r="M795" t="s">
        <v>580</v>
      </c>
      <c r="N795">
        <v>4.737931034482759</v>
      </c>
      <c r="O795">
        <v>1.45</v>
      </c>
      <c r="P795">
        <v>1.45</v>
      </c>
      <c r="Q795">
        <v>1</v>
      </c>
      <c r="R795">
        <v>2</v>
      </c>
      <c r="S795">
        <v>-0.1306535223144092</v>
      </c>
      <c r="T795" t="s">
        <v>925</v>
      </c>
      <c r="U795">
        <v>-0.306908589056665</v>
      </c>
      <c r="V795" t="s">
        <v>1004</v>
      </c>
      <c r="W795" t="s">
        <v>1008</v>
      </c>
      <c r="X795" t="s">
        <v>1020</v>
      </c>
      <c r="Y795">
        <v>318.338077</v>
      </c>
      <c r="Z795" s="2">
        <v>45167</v>
      </c>
      <c r="AA795" t="s">
        <v>1022</v>
      </c>
    </row>
    <row r="796" spans="1:27">
      <c r="A796" s="1" t="s">
        <v>821</v>
      </c>
      <c r="B796">
        <f>HYPERLINK("https://www.suredividend.com/sure-analysis-LXP/","LXP Industrial Trust")</f>
        <v>0</v>
      </c>
      <c r="C796" t="s">
        <v>899</v>
      </c>
      <c r="D796">
        <v>10</v>
      </c>
      <c r="E796">
        <v>9.449999999999999</v>
      </c>
      <c r="F796">
        <v>9</v>
      </c>
      <c r="G796">
        <v>1.05</v>
      </c>
      <c r="H796">
        <v>0.05291005291005291</v>
      </c>
      <c r="I796">
        <v>-0.009710577713137658</v>
      </c>
      <c r="J796">
        <v>0.06</v>
      </c>
      <c r="K796">
        <v>0.09139579865691339</v>
      </c>
      <c r="L796" t="s">
        <v>642</v>
      </c>
      <c r="M796" t="s">
        <v>825</v>
      </c>
      <c r="N796">
        <v>13.89705882352941</v>
      </c>
      <c r="O796">
        <v>0.68</v>
      </c>
      <c r="P796">
        <v>0.5</v>
      </c>
      <c r="Q796">
        <v>0.7352941176470588</v>
      </c>
      <c r="R796">
        <v>3</v>
      </c>
      <c r="S796">
        <v>0.01172195149275423</v>
      </c>
      <c r="T796" t="s">
        <v>911</v>
      </c>
      <c r="U796">
        <v>-0.047609539877606</v>
      </c>
      <c r="V796" t="s">
        <v>1005</v>
      </c>
      <c r="W796" t="s">
        <v>1008</v>
      </c>
      <c r="X796" t="s">
        <v>1019</v>
      </c>
      <c r="Y796">
        <v>2791.461707</v>
      </c>
      <c r="Z796" s="2">
        <v>45142</v>
      </c>
      <c r="AA796" t="s">
        <v>1026</v>
      </c>
    </row>
    <row r="797" spans="1:27">
      <c r="A797" s="1" t="s">
        <v>822</v>
      </c>
      <c r="B797">
        <f>HYPERLINK("https://www.suredividend.com/sure-analysis-ARCC/","Ares Capital Corp")</f>
        <v>0</v>
      </c>
      <c r="C797" t="s">
        <v>899</v>
      </c>
      <c r="D797">
        <v>19.6</v>
      </c>
      <c r="E797">
        <v>18.8018</v>
      </c>
      <c r="F797">
        <v>21</v>
      </c>
      <c r="G797">
        <v>0.8953238095238095</v>
      </c>
      <c r="H797">
        <v>0.1021178823304152</v>
      </c>
      <c r="I797">
        <v>0.02236029169250564</v>
      </c>
      <c r="J797">
        <v>-0.016</v>
      </c>
      <c r="K797">
        <v>0.09033142136516892</v>
      </c>
      <c r="L797" t="s">
        <v>642</v>
      </c>
      <c r="M797" t="s">
        <v>580</v>
      </c>
      <c r="N797">
        <v>8.069442060085837</v>
      </c>
      <c r="O797">
        <v>2.33</v>
      </c>
      <c r="P797">
        <v>1.92</v>
      </c>
      <c r="Q797">
        <v>0.8240343347639485</v>
      </c>
      <c r="R797">
        <v>2</v>
      </c>
      <c r="S797">
        <v>0</v>
      </c>
      <c r="T797" t="s">
        <v>912</v>
      </c>
      <c r="U797">
        <v>0.055832100094174</v>
      </c>
      <c r="V797" t="s">
        <v>1007</v>
      </c>
      <c r="W797" t="s">
        <v>1008</v>
      </c>
      <c r="X797" t="s">
        <v>1015</v>
      </c>
      <c r="Y797">
        <v>10935.772959</v>
      </c>
      <c r="Z797" s="2">
        <v>45140</v>
      </c>
      <c r="AA797" t="s">
        <v>1033</v>
      </c>
    </row>
    <row r="798" spans="1:27">
      <c r="A798" s="1" t="s">
        <v>823</v>
      </c>
      <c r="B798">
        <f>HYPERLINK("https://www.suredividend.com/sure-analysis-RITM/","Rithm Capital Corporation")</f>
        <v>0</v>
      </c>
      <c r="C798" t="s">
        <v>899</v>
      </c>
      <c r="D798">
        <v>10</v>
      </c>
      <c r="E798">
        <v>9.949999999999999</v>
      </c>
      <c r="F798">
        <v>9.800000000000001</v>
      </c>
      <c r="G798">
        <v>1.015306122448979</v>
      </c>
      <c r="H798">
        <v>0.1005025125628141</v>
      </c>
      <c r="I798">
        <v>-0.003033422946020936</v>
      </c>
      <c r="J798">
        <v>0.01</v>
      </c>
      <c r="K798">
        <v>0.08986597343110359</v>
      </c>
      <c r="L798" t="s">
        <v>642</v>
      </c>
      <c r="M798" t="s">
        <v>580</v>
      </c>
      <c r="N798">
        <v>7.107142857142857</v>
      </c>
      <c r="O798">
        <v>1.4</v>
      </c>
      <c r="P798">
        <v>1</v>
      </c>
      <c r="Q798">
        <v>0.7142857142857143</v>
      </c>
      <c r="R798">
        <v>2</v>
      </c>
      <c r="S798">
        <v>0</v>
      </c>
      <c r="T798" t="s">
        <v>938</v>
      </c>
      <c r="U798">
        <v>0.217565835610475</v>
      </c>
      <c r="V798" t="s">
        <v>1005</v>
      </c>
      <c r="W798" t="s">
        <v>1008</v>
      </c>
      <c r="X798" t="s">
        <v>1019</v>
      </c>
      <c r="Y798">
        <v>4867.038502</v>
      </c>
      <c r="Z798" s="2">
        <v>45143</v>
      </c>
      <c r="AA798" t="s">
        <v>1028</v>
      </c>
    </row>
    <row r="799" spans="1:27">
      <c r="A799" s="1" t="s">
        <v>824</v>
      </c>
      <c r="B799">
        <f>HYPERLINK("https://www.suredividend.com/sure-analysis-GBDC/","Golub Capital BDC Inc")</f>
        <v>0</v>
      </c>
      <c r="C799" t="s">
        <v>899</v>
      </c>
      <c r="D799">
        <v>14.81</v>
      </c>
      <c r="E799">
        <v>14.18</v>
      </c>
      <c r="F799">
        <v>14.4</v>
      </c>
      <c r="G799">
        <v>0.9847222222222222</v>
      </c>
      <c r="H799">
        <v>0.1043723554301834</v>
      </c>
      <c r="I799">
        <v>0.003083882507562752</v>
      </c>
      <c r="J799">
        <v>0</v>
      </c>
      <c r="K799">
        <v>0.08982320925059661</v>
      </c>
      <c r="L799" t="s">
        <v>642</v>
      </c>
      <c r="M799" t="s">
        <v>580</v>
      </c>
      <c r="N799">
        <v>8.862499999999999</v>
      </c>
      <c r="O799">
        <v>1.6</v>
      </c>
      <c r="P799">
        <v>1.48</v>
      </c>
      <c r="Q799">
        <v>0.9249999999999999</v>
      </c>
      <c r="R799">
        <v>3</v>
      </c>
      <c r="S799">
        <v>0</v>
      </c>
      <c r="T799" t="s">
        <v>916</v>
      </c>
      <c r="U799">
        <v>0.173573116911023</v>
      </c>
      <c r="V799" t="s">
        <v>1007</v>
      </c>
      <c r="W799" t="s">
        <v>1008</v>
      </c>
      <c r="X799" t="s">
        <v>1015</v>
      </c>
      <c r="Y799">
        <v>2408.245336</v>
      </c>
      <c r="Z799" s="2">
        <v>45153</v>
      </c>
      <c r="AA799" t="s">
        <v>1032</v>
      </c>
    </row>
    <row r="800" spans="1:27">
      <c r="A800" s="1" t="s">
        <v>825</v>
      </c>
      <c r="B800">
        <f>HYPERLINK("https://www.suredividend.com/sure-analysis-D/","Dominion Energy Inc")</f>
        <v>0</v>
      </c>
      <c r="C800" t="s">
        <v>899</v>
      </c>
      <c r="D800">
        <v>50</v>
      </c>
      <c r="E800">
        <v>47.75</v>
      </c>
      <c r="F800">
        <v>50</v>
      </c>
      <c r="G800">
        <v>0.955</v>
      </c>
      <c r="H800">
        <v>0.05591623036649215</v>
      </c>
      <c r="I800">
        <v>0.009251319039511818</v>
      </c>
      <c r="J800">
        <v>0.03</v>
      </c>
      <c r="K800">
        <v>0.08734249175519349</v>
      </c>
      <c r="L800" t="s">
        <v>642</v>
      </c>
      <c r="M800" t="s">
        <v>825</v>
      </c>
      <c r="N800">
        <v>13.26388888888889</v>
      </c>
      <c r="O800">
        <v>3.6</v>
      </c>
      <c r="P800">
        <v>2.67</v>
      </c>
      <c r="Q800">
        <v>0.7416666666666666</v>
      </c>
      <c r="R800">
        <v>0</v>
      </c>
      <c r="S800">
        <v>0.03031515154547226</v>
      </c>
      <c r="T800" t="s">
        <v>916</v>
      </c>
      <c r="U800">
        <v>-0.405954194660206</v>
      </c>
      <c r="V800" t="s">
        <v>1004</v>
      </c>
      <c r="W800" t="s">
        <v>1008</v>
      </c>
      <c r="X800" t="s">
        <v>1018</v>
      </c>
      <c r="Y800">
        <v>39805.287471</v>
      </c>
      <c r="Z800" s="2">
        <v>45148</v>
      </c>
      <c r="AA800" t="s">
        <v>1036</v>
      </c>
    </row>
    <row r="801" spans="1:27">
      <c r="A801" s="1" t="s">
        <v>826</v>
      </c>
      <c r="B801">
        <f>HYPERLINK("https://www.suredividend.com/sure-analysis-IP/","International Paper Co.")</f>
        <v>0</v>
      </c>
      <c r="C801" t="s">
        <v>899</v>
      </c>
      <c r="D801">
        <v>34</v>
      </c>
      <c r="E801">
        <v>33.81</v>
      </c>
      <c r="F801">
        <v>22</v>
      </c>
      <c r="G801">
        <v>1.536818181818182</v>
      </c>
      <c r="H801">
        <v>0.05471753918958887</v>
      </c>
      <c r="I801">
        <v>-0.08235331087030839</v>
      </c>
      <c r="J801">
        <v>0.13</v>
      </c>
      <c r="K801">
        <v>0.08487488898441997</v>
      </c>
      <c r="L801" t="s">
        <v>642</v>
      </c>
      <c r="M801" t="s">
        <v>825</v>
      </c>
      <c r="N801">
        <v>15.36818181818182</v>
      </c>
      <c r="O801">
        <v>2.2</v>
      </c>
      <c r="P801">
        <v>1.85</v>
      </c>
      <c r="Q801">
        <v>0.8409090909090908</v>
      </c>
      <c r="R801">
        <v>0</v>
      </c>
      <c r="S801">
        <v>0.03526180275714541</v>
      </c>
      <c r="T801" t="s">
        <v>917</v>
      </c>
      <c r="U801">
        <v>-0.137780221428035</v>
      </c>
      <c r="V801" t="s">
        <v>1004</v>
      </c>
      <c r="W801" t="s">
        <v>1008</v>
      </c>
      <c r="X801" t="s">
        <v>1010</v>
      </c>
      <c r="Y801">
        <v>11936.969951</v>
      </c>
      <c r="Z801" s="2">
        <v>45156</v>
      </c>
      <c r="AA801" t="s">
        <v>1022</v>
      </c>
    </row>
    <row r="802" spans="1:27">
      <c r="A802" s="1" t="s">
        <v>827</v>
      </c>
      <c r="B802">
        <f>HYPERLINK("https://www.suredividend.com/sure-analysis-LAMR/","Lamar Advertising Co")</f>
        <v>0</v>
      </c>
      <c r="C802" t="s">
        <v>899</v>
      </c>
      <c r="D802">
        <v>90</v>
      </c>
      <c r="E802">
        <v>85.73999999999999</v>
      </c>
      <c r="F802">
        <v>85</v>
      </c>
      <c r="G802">
        <v>1.008705882352941</v>
      </c>
      <c r="H802">
        <v>0.05831583858175881</v>
      </c>
      <c r="I802">
        <v>-0.001732139048492121</v>
      </c>
      <c r="J802">
        <v>0.037</v>
      </c>
      <c r="K802">
        <v>0.08463246694184323</v>
      </c>
      <c r="L802" t="s">
        <v>642</v>
      </c>
      <c r="M802" t="s">
        <v>580</v>
      </c>
      <c r="N802">
        <v>12.11016949152542</v>
      </c>
      <c r="O802">
        <v>7.08</v>
      </c>
      <c r="P802">
        <v>5</v>
      </c>
      <c r="Q802">
        <v>0.7062146892655368</v>
      </c>
      <c r="R802">
        <v>2</v>
      </c>
      <c r="S802">
        <v>0.02292455662603032</v>
      </c>
      <c r="T802" t="s">
        <v>904</v>
      </c>
      <c r="U802">
        <v>-0.04702415976534</v>
      </c>
      <c r="V802" t="s">
        <v>1005</v>
      </c>
      <c r="W802" t="s">
        <v>1008</v>
      </c>
      <c r="X802" t="s">
        <v>1019</v>
      </c>
      <c r="Y802">
        <v>7599.369103</v>
      </c>
      <c r="Z802" s="2">
        <v>45164</v>
      </c>
      <c r="AA802" t="s">
        <v>1033</v>
      </c>
    </row>
    <row r="803" spans="1:27">
      <c r="A803" s="1" t="s">
        <v>828</v>
      </c>
      <c r="B803">
        <f>HYPERLINK("https://www.suredividend.com/sure-analysis-MDC/","M.D.C. Holdings, Inc.")</f>
        <v>0</v>
      </c>
      <c r="C803" t="s">
        <v>899</v>
      </c>
      <c r="D803">
        <v>50</v>
      </c>
      <c r="E803">
        <v>43.81</v>
      </c>
      <c r="F803">
        <v>35</v>
      </c>
      <c r="G803">
        <v>1.251714285714286</v>
      </c>
      <c r="H803">
        <v>0.05021684546907099</v>
      </c>
      <c r="I803">
        <v>-0.04390959840851172</v>
      </c>
      <c r="J803">
        <v>0.08500000000000001</v>
      </c>
      <c r="K803">
        <v>0.08462778567170148</v>
      </c>
      <c r="L803" t="s">
        <v>642</v>
      </c>
      <c r="M803" t="s">
        <v>825</v>
      </c>
      <c r="N803">
        <v>12.51714285714286</v>
      </c>
      <c r="O803">
        <v>3.5</v>
      </c>
      <c r="P803">
        <v>2.2</v>
      </c>
      <c r="Q803">
        <v>0.6285714285714287</v>
      </c>
      <c r="R803">
        <v>7</v>
      </c>
      <c r="S803">
        <v>0.05970486933121499</v>
      </c>
      <c r="T803" t="s">
        <v>954</v>
      </c>
      <c r="U803">
        <v>0.4790460235592081</v>
      </c>
      <c r="V803" t="s">
        <v>1004</v>
      </c>
      <c r="W803" t="s">
        <v>1008</v>
      </c>
      <c r="X803" t="s">
        <v>1015</v>
      </c>
      <c r="Y803">
        <v>3343.40761</v>
      </c>
      <c r="Z803" s="2">
        <v>45135</v>
      </c>
      <c r="AA803" t="s">
        <v>1032</v>
      </c>
    </row>
    <row r="804" spans="1:27">
      <c r="A804" s="1" t="s">
        <v>829</v>
      </c>
      <c r="B804">
        <f>HYPERLINK("https://www.suredividend.com/sure-analysis-ATLO/","Ames National Corp.")</f>
        <v>0</v>
      </c>
      <c r="C804" t="s">
        <v>899</v>
      </c>
      <c r="D804">
        <v>20</v>
      </c>
      <c r="E804">
        <v>17.87</v>
      </c>
      <c r="F804">
        <v>17</v>
      </c>
      <c r="G804">
        <v>1.051176470588235</v>
      </c>
      <c r="H804">
        <v>0.0604364857302742</v>
      </c>
      <c r="I804">
        <v>-0.009932342246027903</v>
      </c>
      <c r="J804">
        <v>0.04</v>
      </c>
      <c r="K804">
        <v>0.08406971676595432</v>
      </c>
      <c r="L804" t="s">
        <v>642</v>
      </c>
      <c r="M804" t="s">
        <v>580</v>
      </c>
      <c r="N804">
        <v>12.76428571428572</v>
      </c>
      <c r="O804">
        <v>1.4</v>
      </c>
      <c r="P804">
        <v>1.08</v>
      </c>
      <c r="Q804">
        <v>0.7714285714285716</v>
      </c>
      <c r="R804">
        <v>13</v>
      </c>
      <c r="S804">
        <v>0.03936839817115478</v>
      </c>
      <c r="T804" t="s">
        <v>957</v>
      </c>
      <c r="U804">
        <v>-0.132546674600985</v>
      </c>
      <c r="V804" t="s">
        <v>1004</v>
      </c>
      <c r="W804" t="s">
        <v>1008</v>
      </c>
      <c r="X804" t="s">
        <v>1015</v>
      </c>
      <c r="Y804">
        <v>161.229554</v>
      </c>
      <c r="Z804" s="2">
        <v>45131</v>
      </c>
      <c r="AA804" t="s">
        <v>1023</v>
      </c>
    </row>
    <row r="805" spans="1:27">
      <c r="A805" s="1" t="s">
        <v>830</v>
      </c>
      <c r="B805">
        <f>HYPERLINK("https://www.suredividend.com/sure-analysis-FDUS/","Fidus Investment Corp")</f>
        <v>0</v>
      </c>
      <c r="C805" t="s">
        <v>899</v>
      </c>
      <c r="D805">
        <v>20.5</v>
      </c>
      <c r="E805">
        <v>19.4</v>
      </c>
      <c r="F805">
        <v>20.83</v>
      </c>
      <c r="G805">
        <v>0.9313490158425348</v>
      </c>
      <c r="H805">
        <v>0.08350515463917527</v>
      </c>
      <c r="I805">
        <v>0.01432588368486587</v>
      </c>
      <c r="J805">
        <v>0</v>
      </c>
      <c r="K805">
        <v>0.0836499192865634</v>
      </c>
      <c r="L805" t="s">
        <v>642</v>
      </c>
      <c r="M805" t="s">
        <v>580</v>
      </c>
      <c r="N805">
        <v>7.918367346938775</v>
      </c>
      <c r="O805">
        <v>2.45</v>
      </c>
      <c r="P805">
        <v>1.62</v>
      </c>
      <c r="Q805">
        <v>0.6612244897959184</v>
      </c>
      <c r="R805">
        <v>4</v>
      </c>
      <c r="S805">
        <v>0.002457032086420119</v>
      </c>
      <c r="T805" t="s">
        <v>914</v>
      </c>
      <c r="U805">
        <v>0.045213823033375</v>
      </c>
      <c r="V805" t="s">
        <v>1007</v>
      </c>
      <c r="W805" t="s">
        <v>1008</v>
      </c>
      <c r="X805" t="s">
        <v>1015</v>
      </c>
      <c r="Y805">
        <v>492.650761</v>
      </c>
      <c r="Z805" s="2">
        <v>45144</v>
      </c>
      <c r="AA805" t="s">
        <v>1032</v>
      </c>
    </row>
    <row r="806" spans="1:27">
      <c r="A806" s="1" t="s">
        <v>831</v>
      </c>
      <c r="B806">
        <f>HYPERLINK("https://www.suredividend.com/sure-analysis-PVL/","Permianville Royalty Trust")</f>
        <v>0</v>
      </c>
      <c r="C806" t="s">
        <v>899</v>
      </c>
      <c r="D806">
        <v>2.6</v>
      </c>
      <c r="E806">
        <v>2.5</v>
      </c>
      <c r="F806">
        <v>2.9</v>
      </c>
      <c r="G806">
        <v>0.8620689655172414</v>
      </c>
      <c r="H806">
        <v>0.124</v>
      </c>
      <c r="I806">
        <v>0.03012896281839894</v>
      </c>
      <c r="J806">
        <v>-0.04</v>
      </c>
      <c r="K806">
        <v>0.08327896617357977</v>
      </c>
      <c r="L806" t="s">
        <v>642</v>
      </c>
      <c r="M806" t="s">
        <v>580</v>
      </c>
      <c r="N806">
        <v>8.064516129032258</v>
      </c>
      <c r="O806">
        <v>0.31</v>
      </c>
      <c r="P806">
        <v>0.31</v>
      </c>
      <c r="Q806">
        <v>1</v>
      </c>
      <c r="R806">
        <v>0</v>
      </c>
      <c r="S806">
        <v>-0.04210994805604396</v>
      </c>
      <c r="T806" t="s">
        <v>925</v>
      </c>
      <c r="U806">
        <v>-0.122776602753025</v>
      </c>
      <c r="V806" t="s">
        <v>1004</v>
      </c>
      <c r="W806" t="s">
        <v>1008</v>
      </c>
      <c r="X806" t="s">
        <v>1020</v>
      </c>
      <c r="Y806">
        <v>83.48999999999999</v>
      </c>
      <c r="Z806" s="2">
        <v>45167</v>
      </c>
      <c r="AA806" t="s">
        <v>1022</v>
      </c>
    </row>
    <row r="807" spans="1:27">
      <c r="A807" s="1" t="s">
        <v>832</v>
      </c>
      <c r="B807">
        <f>HYPERLINK("https://www.suredividend.com/sure-analysis-GOOD/","Gladstone Commercial Corp")</f>
        <v>0</v>
      </c>
      <c r="C807" t="s">
        <v>899</v>
      </c>
      <c r="D807">
        <v>14</v>
      </c>
      <c r="E807">
        <v>13.12</v>
      </c>
      <c r="F807">
        <v>15</v>
      </c>
      <c r="G807">
        <v>0.8746666666666666</v>
      </c>
      <c r="H807">
        <v>0.09146341463414634</v>
      </c>
      <c r="I807">
        <v>0.02714435763492551</v>
      </c>
      <c r="J807">
        <v>-0.02</v>
      </c>
      <c r="K807">
        <v>0.08313284903609364</v>
      </c>
      <c r="L807" t="s">
        <v>642</v>
      </c>
      <c r="M807" t="s">
        <v>580</v>
      </c>
      <c r="N807">
        <v>8.746666666666666</v>
      </c>
      <c r="O807">
        <v>1.5</v>
      </c>
      <c r="P807">
        <v>1.2</v>
      </c>
      <c r="Q807">
        <v>0.7999999999999999</v>
      </c>
      <c r="R807">
        <v>0</v>
      </c>
      <c r="S807">
        <v>0</v>
      </c>
      <c r="T807" t="s">
        <v>913</v>
      </c>
      <c r="U807">
        <v>-0.226666822777325</v>
      </c>
      <c r="V807" t="s">
        <v>1005</v>
      </c>
      <c r="W807" t="s">
        <v>1008</v>
      </c>
      <c r="X807" t="s">
        <v>1019</v>
      </c>
      <c r="Y807">
        <v>527.316714</v>
      </c>
      <c r="Z807" s="2">
        <v>45149</v>
      </c>
      <c r="AA807" t="s">
        <v>1030</v>
      </c>
    </row>
    <row r="808" spans="1:27">
      <c r="A808" s="1" t="s">
        <v>833</v>
      </c>
      <c r="B808">
        <f>HYPERLINK("https://www.suredividend.com/sure-analysis-PPRQF/","Choice Properties Real Estate Investment Trust")</f>
        <v>0</v>
      </c>
      <c r="C808" t="s">
        <v>899</v>
      </c>
      <c r="D808">
        <v>10.6</v>
      </c>
      <c r="E808">
        <v>9.81</v>
      </c>
      <c r="F808">
        <v>9.800000000000001</v>
      </c>
      <c r="G808">
        <v>1.001020408163265</v>
      </c>
      <c r="H808">
        <v>0.05810397553516819</v>
      </c>
      <c r="I808">
        <v>-0.0002039567781368934</v>
      </c>
      <c r="J808">
        <v>0.033</v>
      </c>
      <c r="K808">
        <v>0.08078675686462788</v>
      </c>
      <c r="L808" t="s">
        <v>642</v>
      </c>
      <c r="M808" t="s">
        <v>580</v>
      </c>
      <c r="N808">
        <v>10.01020408163265</v>
      </c>
      <c r="O808">
        <v>0.98</v>
      </c>
      <c r="P808">
        <v>0.57</v>
      </c>
      <c r="Q808">
        <v>0.5816326530612245</v>
      </c>
      <c r="R808">
        <v>2</v>
      </c>
      <c r="S808">
        <v>0.01031145931793609</v>
      </c>
      <c r="T808" t="s">
        <v>925</v>
      </c>
      <c r="U808">
        <v>-0.038944909365112</v>
      </c>
      <c r="V808" t="s">
        <v>1005</v>
      </c>
      <c r="W808" t="s">
        <v>1009</v>
      </c>
      <c r="X808" t="s">
        <v>1019</v>
      </c>
      <c r="Y808">
        <v>3196.634727</v>
      </c>
      <c r="Z808" s="2">
        <v>45145</v>
      </c>
      <c r="AA808" t="s">
        <v>1033</v>
      </c>
    </row>
    <row r="809" spans="1:27">
      <c r="A809" s="1" t="s">
        <v>834</v>
      </c>
      <c r="B809">
        <f>HYPERLINK("https://www.suredividend.com/sure-analysis-KHC/","Kraft Heinz Co")</f>
        <v>0</v>
      </c>
      <c r="C809" t="s">
        <v>899</v>
      </c>
      <c r="D809">
        <v>34</v>
      </c>
      <c r="E809">
        <v>33.19</v>
      </c>
      <c r="F809">
        <v>37</v>
      </c>
      <c r="G809">
        <v>0.897027027027027</v>
      </c>
      <c r="H809">
        <v>0.04820729135281712</v>
      </c>
      <c r="I809">
        <v>0.02197175803440321</v>
      </c>
      <c r="J809">
        <v>0.02</v>
      </c>
      <c r="K809">
        <v>0.08037175832985244</v>
      </c>
      <c r="L809" t="s">
        <v>642</v>
      </c>
      <c r="M809" t="s">
        <v>825</v>
      </c>
      <c r="N809">
        <v>11.56445993031359</v>
      </c>
      <c r="O809">
        <v>2.87</v>
      </c>
      <c r="P809">
        <v>1.6</v>
      </c>
      <c r="Q809">
        <v>0.5574912891986062</v>
      </c>
      <c r="R809">
        <v>0</v>
      </c>
      <c r="S809">
        <v>0</v>
      </c>
      <c r="T809" t="s">
        <v>916</v>
      </c>
      <c r="U809">
        <v>-0.044522517495259</v>
      </c>
      <c r="V809" t="s">
        <v>1004</v>
      </c>
      <c r="W809" t="s">
        <v>1008</v>
      </c>
      <c r="X809" t="s">
        <v>1011</v>
      </c>
      <c r="Y809">
        <v>41221.563487</v>
      </c>
      <c r="Z809" s="2">
        <v>45158</v>
      </c>
      <c r="AA809" t="s">
        <v>1028</v>
      </c>
    </row>
    <row r="810" spans="1:27">
      <c r="A810" s="1" t="s">
        <v>835</v>
      </c>
      <c r="B810">
        <f>HYPERLINK("https://www.suredividend.com/sure-analysis-LWSCF/","Sienna Senior Living Inc")</f>
        <v>0</v>
      </c>
      <c r="C810" t="s">
        <v>899</v>
      </c>
      <c r="D810">
        <v>8.529999999999999</v>
      </c>
      <c r="E810">
        <v>8.369999999999999</v>
      </c>
      <c r="F810">
        <v>8.800000000000001</v>
      </c>
      <c r="G810">
        <v>0.9511363636363634</v>
      </c>
      <c r="H810">
        <v>0.08363201911589009</v>
      </c>
      <c r="I810">
        <v>0.01006993132969503</v>
      </c>
      <c r="J810">
        <v>0</v>
      </c>
      <c r="K810">
        <v>0.08003027761881687</v>
      </c>
      <c r="L810" t="s">
        <v>642</v>
      </c>
      <c r="M810" t="s">
        <v>580</v>
      </c>
      <c r="N810">
        <v>10.4625</v>
      </c>
      <c r="O810">
        <v>0.8</v>
      </c>
      <c r="P810">
        <v>0.7</v>
      </c>
      <c r="Q810">
        <v>0.8749999999999999</v>
      </c>
      <c r="R810">
        <v>0</v>
      </c>
      <c r="S810">
        <v>0</v>
      </c>
      <c r="T810" t="s">
        <v>925</v>
      </c>
      <c r="U810">
        <v>-0.119197701705831</v>
      </c>
      <c r="V810" t="s">
        <v>1004</v>
      </c>
      <c r="W810" t="s">
        <v>1009</v>
      </c>
      <c r="X810" t="s">
        <v>1014</v>
      </c>
      <c r="Y810">
        <v>610.735179</v>
      </c>
      <c r="Z810" s="2">
        <v>45152</v>
      </c>
      <c r="AA810" t="s">
        <v>1032</v>
      </c>
    </row>
    <row r="811" spans="1:27">
      <c r="A811" s="1" t="s">
        <v>836</v>
      </c>
      <c r="B811">
        <f>HYPERLINK("https://www.suredividend.com/sure-analysis-EIFZF/","Exchange Income Corp")</f>
        <v>0</v>
      </c>
      <c r="C811" t="s">
        <v>899</v>
      </c>
      <c r="D811">
        <v>39</v>
      </c>
      <c r="E811">
        <v>34.323</v>
      </c>
      <c r="F811">
        <v>35</v>
      </c>
      <c r="G811">
        <v>0.9806571428571429</v>
      </c>
      <c r="H811">
        <v>0.05389971739067098</v>
      </c>
      <c r="I811">
        <v>0.003914115841926247</v>
      </c>
      <c r="J811">
        <v>0.03</v>
      </c>
      <c r="K811">
        <v>0.07980897918499785</v>
      </c>
      <c r="L811" t="s">
        <v>642</v>
      </c>
      <c r="M811" t="s">
        <v>825</v>
      </c>
      <c r="N811">
        <v>12.71222222222222</v>
      </c>
      <c r="O811">
        <v>2.7</v>
      </c>
      <c r="P811">
        <v>1.85</v>
      </c>
      <c r="Q811">
        <v>0.6851851851851851</v>
      </c>
      <c r="R811">
        <v>2</v>
      </c>
      <c r="S811">
        <v>0.01974524240586417</v>
      </c>
      <c r="T811" t="s">
        <v>925</v>
      </c>
      <c r="U811">
        <v>-0.005304266728841001</v>
      </c>
      <c r="V811" t="s">
        <v>1004</v>
      </c>
      <c r="W811" t="s">
        <v>1009</v>
      </c>
      <c r="X811" t="s">
        <v>1012</v>
      </c>
      <c r="Y811">
        <v>1589.719768</v>
      </c>
      <c r="Z811" s="2">
        <v>45061</v>
      </c>
      <c r="AA811" t="s">
        <v>1032</v>
      </c>
    </row>
    <row r="812" spans="1:27">
      <c r="A812" s="1" t="s">
        <v>837</v>
      </c>
      <c r="B812">
        <f>HYPERLINK("https://www.suredividend.com/sure-analysis-DREUF/","Dream Industrial Real Estate Investment Trust")</f>
        <v>0</v>
      </c>
      <c r="C812" t="s">
        <v>899</v>
      </c>
      <c r="D812">
        <v>10.85</v>
      </c>
      <c r="E812">
        <v>10.1399</v>
      </c>
      <c r="F812">
        <v>9.99</v>
      </c>
      <c r="G812">
        <v>1.015005005005005</v>
      </c>
      <c r="H812">
        <v>0.05128255702718962</v>
      </c>
      <c r="I812">
        <v>-0.002974276753018423</v>
      </c>
      <c r="J812">
        <v>0.04</v>
      </c>
      <c r="K812">
        <v>0.07919925683600848</v>
      </c>
      <c r="L812" t="s">
        <v>642</v>
      </c>
      <c r="M812" t="s">
        <v>825</v>
      </c>
      <c r="N812">
        <v>13.70256756756757</v>
      </c>
      <c r="O812">
        <v>0.74</v>
      </c>
      <c r="P812">
        <v>0.52</v>
      </c>
      <c r="Q812">
        <v>0.7027027027027027</v>
      </c>
      <c r="R812">
        <v>0</v>
      </c>
      <c r="S812">
        <v>0.01128104983563905</v>
      </c>
      <c r="T812" t="s">
        <v>925</v>
      </c>
      <c r="U812">
        <v>0.106010034904014</v>
      </c>
      <c r="V812" t="s">
        <v>1005</v>
      </c>
      <c r="W812" t="s">
        <v>1009</v>
      </c>
      <c r="X812" t="s">
        <v>1019</v>
      </c>
      <c r="Y812">
        <v>2755.763089</v>
      </c>
      <c r="Z812" s="2">
        <v>45145</v>
      </c>
      <c r="AA812" t="s">
        <v>1026</v>
      </c>
    </row>
    <row r="813" spans="1:27">
      <c r="A813" s="1" t="s">
        <v>838</v>
      </c>
      <c r="B813">
        <f>HYPERLINK("https://www.suredividend.com/sure-analysis-DANOY/","Danone")</f>
        <v>0</v>
      </c>
      <c r="C813" t="s">
        <v>899</v>
      </c>
      <c r="D813">
        <v>12.41</v>
      </c>
      <c r="E813">
        <v>11.43</v>
      </c>
      <c r="F813">
        <v>12.96</v>
      </c>
      <c r="G813">
        <v>0.8819444444444444</v>
      </c>
      <c r="H813">
        <v>0.03849518810148732</v>
      </c>
      <c r="I813">
        <v>0.02544354172175489</v>
      </c>
      <c r="J813">
        <v>0.02</v>
      </c>
      <c r="K813">
        <v>0.07822334174222001</v>
      </c>
      <c r="L813" t="s">
        <v>642</v>
      </c>
      <c r="M813" t="s">
        <v>825</v>
      </c>
      <c r="N813">
        <v>15.875</v>
      </c>
      <c r="O813">
        <v>0.72</v>
      </c>
      <c r="P813">
        <v>0.44</v>
      </c>
      <c r="Q813">
        <v>0.6111111111111112</v>
      </c>
      <c r="R813">
        <v>1</v>
      </c>
      <c r="S813">
        <v>0.02175949146424117</v>
      </c>
      <c r="T813" t="s">
        <v>1001</v>
      </c>
      <c r="U813">
        <v>0.135699787118174</v>
      </c>
      <c r="V813" t="s">
        <v>1004</v>
      </c>
      <c r="W813" t="s">
        <v>1009</v>
      </c>
      <c r="X813" t="s">
        <v>1011</v>
      </c>
      <c r="Y813">
        <v>38870.288891</v>
      </c>
      <c r="Z813" s="2">
        <v>45134</v>
      </c>
      <c r="AA813" t="s">
        <v>1031</v>
      </c>
    </row>
    <row r="814" spans="1:27">
      <c r="A814" s="1" t="s">
        <v>839</v>
      </c>
      <c r="B814">
        <f>HYPERLINK("https://www.suredividend.com/sure-analysis-CCOI/","Cogent Communications Holdings Inc")</f>
        <v>0</v>
      </c>
      <c r="C814" t="s">
        <v>899</v>
      </c>
      <c r="D814">
        <v>69</v>
      </c>
      <c r="E814">
        <v>66.61</v>
      </c>
      <c r="F814">
        <v>50</v>
      </c>
      <c r="G814">
        <v>1.3322</v>
      </c>
      <c r="H814">
        <v>0.05674823600060051</v>
      </c>
      <c r="I814">
        <v>-0.05575191192473461</v>
      </c>
      <c r="J814">
        <v>0.08</v>
      </c>
      <c r="K814">
        <v>0.07744857900637969</v>
      </c>
      <c r="L814" t="s">
        <v>642</v>
      </c>
      <c r="M814" t="s">
        <v>825</v>
      </c>
      <c r="N814">
        <v>158.5952380952381</v>
      </c>
      <c r="O814">
        <v>0.42</v>
      </c>
      <c r="P814">
        <v>3.78</v>
      </c>
      <c r="Q814">
        <v>9</v>
      </c>
      <c r="R814">
        <v>14</v>
      </c>
      <c r="S814">
        <v>0.06993356973353193</v>
      </c>
      <c r="T814" t="s">
        <v>959</v>
      </c>
      <c r="U814">
        <v>0.308767346618084</v>
      </c>
      <c r="V814" t="s">
        <v>1004</v>
      </c>
      <c r="W814" t="s">
        <v>1008</v>
      </c>
      <c r="X814" t="s">
        <v>1017</v>
      </c>
      <c r="Y814">
        <v>3258.207</v>
      </c>
      <c r="Z814" s="2">
        <v>45152</v>
      </c>
      <c r="AA814" t="s">
        <v>1031</v>
      </c>
    </row>
    <row r="815" spans="1:27">
      <c r="A815" s="1" t="s">
        <v>840</v>
      </c>
      <c r="B815">
        <f>HYPERLINK("https://www.suredividend.com/sure-analysis-NEM/","Newmont Corp")</f>
        <v>0</v>
      </c>
      <c r="C815" t="s">
        <v>899</v>
      </c>
      <c r="D815">
        <v>38</v>
      </c>
      <c r="E815">
        <v>39.26</v>
      </c>
      <c r="F815">
        <v>40</v>
      </c>
      <c r="G815">
        <v>0.9814999999999999</v>
      </c>
      <c r="H815">
        <v>0.04075394803871626</v>
      </c>
      <c r="I815">
        <v>0.003741635559544987</v>
      </c>
      <c r="J815">
        <v>0.04</v>
      </c>
      <c r="K815">
        <v>0.07615451066924339</v>
      </c>
      <c r="L815" t="s">
        <v>642</v>
      </c>
      <c r="M815" t="s">
        <v>825</v>
      </c>
      <c r="N815">
        <v>17.84545454545454</v>
      </c>
      <c r="O815">
        <v>2.2</v>
      </c>
      <c r="P815">
        <v>1.6</v>
      </c>
      <c r="Q815">
        <v>0.7272727272727273</v>
      </c>
      <c r="R815">
        <v>0</v>
      </c>
      <c r="S815">
        <v>0</v>
      </c>
      <c r="T815" t="s">
        <v>956</v>
      </c>
      <c r="U815">
        <v>-0.079296261686676</v>
      </c>
      <c r="V815" t="s">
        <v>1004</v>
      </c>
      <c r="W815" t="s">
        <v>1008</v>
      </c>
      <c r="X815" t="s">
        <v>1010</v>
      </c>
      <c r="Y815">
        <v>30851.513437</v>
      </c>
      <c r="Z815" s="2">
        <v>45158</v>
      </c>
      <c r="AA815" t="s">
        <v>1028</v>
      </c>
    </row>
    <row r="816" spans="1:27">
      <c r="A816" s="1" t="s">
        <v>841</v>
      </c>
      <c r="B816">
        <f>HYPERLINK("https://www.suredividend.com/sure-analysis-TSLX/","Sixth Street Specialty Lending Inc")</f>
        <v>0</v>
      </c>
      <c r="C816" t="s">
        <v>899</v>
      </c>
      <c r="D816">
        <v>20.9</v>
      </c>
      <c r="E816">
        <v>20.1</v>
      </c>
      <c r="F816">
        <v>19.8</v>
      </c>
      <c r="G816">
        <v>1.015151515151515</v>
      </c>
      <c r="H816">
        <v>0.09154228855721393</v>
      </c>
      <c r="I816">
        <v>-0.003003057248564089</v>
      </c>
      <c r="J816">
        <v>0</v>
      </c>
      <c r="K816">
        <v>0.07606966383433034</v>
      </c>
      <c r="L816" t="s">
        <v>642</v>
      </c>
      <c r="M816" t="s">
        <v>580</v>
      </c>
      <c r="N816">
        <v>9.136363636363637</v>
      </c>
      <c r="O816">
        <v>2.2</v>
      </c>
      <c r="P816">
        <v>1.84</v>
      </c>
      <c r="Q816">
        <v>0.8363636363636363</v>
      </c>
      <c r="R816">
        <v>2</v>
      </c>
      <c r="S816">
        <v>0</v>
      </c>
      <c r="T816" t="s">
        <v>912</v>
      </c>
      <c r="U816">
        <v>0.196933514722282</v>
      </c>
      <c r="V816" t="s">
        <v>1007</v>
      </c>
      <c r="W816" t="s">
        <v>1008</v>
      </c>
      <c r="X816" t="s">
        <v>1015</v>
      </c>
      <c r="Y816">
        <v>1788.445236</v>
      </c>
      <c r="Z816" s="2">
        <v>45143</v>
      </c>
      <c r="AA816" t="s">
        <v>1032</v>
      </c>
    </row>
    <row r="817" spans="1:27">
      <c r="A817" s="1" t="s">
        <v>842</v>
      </c>
      <c r="B817">
        <f>HYPERLINK("https://www.suredividend.com/sure-analysis-STWD/","Starwood Property Trust Inc")</f>
        <v>0</v>
      </c>
      <c r="C817" t="s">
        <v>899</v>
      </c>
      <c r="D817">
        <v>20.61</v>
      </c>
      <c r="E817">
        <v>20.58</v>
      </c>
      <c r="F817">
        <v>20</v>
      </c>
      <c r="G817">
        <v>1.029</v>
      </c>
      <c r="H817">
        <v>0.09329446064139942</v>
      </c>
      <c r="I817">
        <v>-0.005701177622642661</v>
      </c>
      <c r="J817">
        <v>0</v>
      </c>
      <c r="K817">
        <v>0.07539810814871584</v>
      </c>
      <c r="L817" t="s">
        <v>642</v>
      </c>
      <c r="M817" t="s">
        <v>580</v>
      </c>
      <c r="N817">
        <v>10.29</v>
      </c>
      <c r="O817">
        <v>2</v>
      </c>
      <c r="P817">
        <v>1.92</v>
      </c>
      <c r="Q817">
        <v>0.96</v>
      </c>
      <c r="R817">
        <v>0</v>
      </c>
      <c r="S817">
        <v>0</v>
      </c>
      <c r="T817" t="s">
        <v>911</v>
      </c>
      <c r="U817">
        <v>-0.036401576628796</v>
      </c>
      <c r="V817" t="s">
        <v>1005</v>
      </c>
      <c r="W817" t="s">
        <v>1008</v>
      </c>
      <c r="X817" t="s">
        <v>1019</v>
      </c>
      <c r="Y817">
        <v>6499.510382</v>
      </c>
      <c r="Z817" s="2">
        <v>45142</v>
      </c>
      <c r="AA817" t="s">
        <v>1032</v>
      </c>
    </row>
    <row r="818" spans="1:27">
      <c r="A818" s="1" t="s">
        <v>843</v>
      </c>
      <c r="B818">
        <f>HYPERLINK("https://www.suredividend.com/sure-analysis-SLRC/","SLR Investment Corp")</f>
        <v>0</v>
      </c>
      <c r="C818" t="s">
        <v>899</v>
      </c>
      <c r="D818">
        <v>15.27</v>
      </c>
      <c r="E818">
        <v>15.35</v>
      </c>
      <c r="F818">
        <v>15.87</v>
      </c>
      <c r="G818">
        <v>0.9672337744171393</v>
      </c>
      <c r="H818">
        <v>0.1068403908794788</v>
      </c>
      <c r="I818">
        <v>0.006685259349933137</v>
      </c>
      <c r="J818">
        <v>-0.022</v>
      </c>
      <c r="K818">
        <v>0.07348436845775352</v>
      </c>
      <c r="L818" t="s">
        <v>642</v>
      </c>
      <c r="M818" t="s">
        <v>580</v>
      </c>
      <c r="N818">
        <v>9.191616766467066</v>
      </c>
      <c r="O818">
        <v>1.67</v>
      </c>
      <c r="P818">
        <v>1.64</v>
      </c>
      <c r="Q818">
        <v>0.9820359281437125</v>
      </c>
      <c r="R818">
        <v>0</v>
      </c>
      <c r="S818">
        <v>-0.02164899078357707</v>
      </c>
      <c r="T818" t="s">
        <v>932</v>
      </c>
      <c r="U818">
        <v>0.154888219534714</v>
      </c>
      <c r="V818" t="s">
        <v>1007</v>
      </c>
      <c r="W818" t="s">
        <v>1008</v>
      </c>
      <c r="X818" t="s">
        <v>1015</v>
      </c>
      <c r="Y818">
        <v>832.5037150000001</v>
      </c>
      <c r="Z818" s="2">
        <v>45155</v>
      </c>
      <c r="AA818" t="s">
        <v>1032</v>
      </c>
    </row>
    <row r="819" spans="1:27">
      <c r="A819" s="1" t="s">
        <v>844</v>
      </c>
      <c r="B819">
        <f>HYPERLINK("https://www.suredividend.com/sure-analysis-BFS/","Saul Centers, Inc.")</f>
        <v>0</v>
      </c>
      <c r="C819" t="s">
        <v>899</v>
      </c>
      <c r="D819">
        <v>37</v>
      </c>
      <c r="E819">
        <v>36.72</v>
      </c>
      <c r="F819">
        <v>34</v>
      </c>
      <c r="G819">
        <v>1.08</v>
      </c>
      <c r="H819">
        <v>0.06427015250544663</v>
      </c>
      <c r="I819">
        <v>-0.01527435364574092</v>
      </c>
      <c r="J819">
        <v>0.03</v>
      </c>
      <c r="K819">
        <v>0.07343063286394336</v>
      </c>
      <c r="L819" t="s">
        <v>642</v>
      </c>
      <c r="M819" t="s">
        <v>580</v>
      </c>
      <c r="N819">
        <v>12.03934426229508</v>
      </c>
      <c r="O819">
        <v>3.05</v>
      </c>
      <c r="P819">
        <v>2.36</v>
      </c>
      <c r="Q819">
        <v>0.7737704918032787</v>
      </c>
      <c r="R819">
        <v>3</v>
      </c>
      <c r="S819">
        <v>0.0303095182681723</v>
      </c>
      <c r="T819" t="s">
        <v>939</v>
      </c>
      <c r="U819">
        <v>-0.09298873232581301</v>
      </c>
      <c r="V819" t="s">
        <v>1005</v>
      </c>
      <c r="W819" t="s">
        <v>1008</v>
      </c>
      <c r="X819" t="s">
        <v>1019</v>
      </c>
      <c r="Y819">
        <v>892.335335</v>
      </c>
      <c r="Z819" s="2">
        <v>45143</v>
      </c>
      <c r="AA819" t="s">
        <v>1032</v>
      </c>
    </row>
    <row r="820" spans="1:27">
      <c r="A820" s="1" t="s">
        <v>845</v>
      </c>
      <c r="B820">
        <f>HYPERLINK("https://www.suredividend.com/sure-analysis-AVB/","Avalonbay Communities Inc.")</f>
        <v>0</v>
      </c>
      <c r="C820" t="s">
        <v>899</v>
      </c>
      <c r="D820">
        <v>177</v>
      </c>
      <c r="E820">
        <v>180</v>
      </c>
      <c r="F820">
        <v>190</v>
      </c>
      <c r="G820">
        <v>0.9473684210526315</v>
      </c>
      <c r="H820">
        <v>0.03666666666666667</v>
      </c>
      <c r="I820">
        <v>0.01087212085035083</v>
      </c>
      <c r="J820">
        <v>0.028</v>
      </c>
      <c r="K820">
        <v>0.0730721543400652</v>
      </c>
      <c r="L820" t="s">
        <v>642</v>
      </c>
      <c r="M820" t="s">
        <v>825</v>
      </c>
      <c r="N820">
        <v>17.04545454545454</v>
      </c>
      <c r="O820">
        <v>10.56</v>
      </c>
      <c r="P820">
        <v>6.6</v>
      </c>
      <c r="Q820">
        <v>0.6249999999999999</v>
      </c>
      <c r="R820">
        <v>1</v>
      </c>
      <c r="S820">
        <v>0.04715607753446549</v>
      </c>
      <c r="T820" t="s">
        <v>911</v>
      </c>
      <c r="U820">
        <v>-0.122955825473298</v>
      </c>
      <c r="V820" t="s">
        <v>1005</v>
      </c>
      <c r="W820" t="s">
        <v>1008</v>
      </c>
      <c r="X820" t="s">
        <v>1019</v>
      </c>
      <c r="Y820">
        <v>25697.71522</v>
      </c>
      <c r="Z820" s="2">
        <v>45161</v>
      </c>
      <c r="AA820" t="s">
        <v>1033</v>
      </c>
    </row>
    <row r="821" spans="1:27">
      <c r="A821" s="1" t="s">
        <v>846</v>
      </c>
      <c r="B821">
        <f>HYPERLINK("https://www.suredividend.com/sure-analysis-AM/","Antero Midstream Corp")</f>
        <v>0</v>
      </c>
      <c r="C821" t="s">
        <v>899</v>
      </c>
      <c r="D821">
        <v>11.9</v>
      </c>
      <c r="E821">
        <v>11.86</v>
      </c>
      <c r="F821">
        <v>11.7</v>
      </c>
      <c r="G821">
        <v>1.013675213675214</v>
      </c>
      <c r="H821">
        <v>0.07588532883642496</v>
      </c>
      <c r="I821">
        <v>-0.002712823977705558</v>
      </c>
      <c r="J821">
        <v>0.005</v>
      </c>
      <c r="K821">
        <v>0.07201174582748893</v>
      </c>
      <c r="L821" t="s">
        <v>642</v>
      </c>
      <c r="M821" t="s">
        <v>580</v>
      </c>
      <c r="N821">
        <v>8.123287671232877</v>
      </c>
      <c r="O821">
        <v>1.46</v>
      </c>
      <c r="P821">
        <v>0.9</v>
      </c>
      <c r="Q821">
        <v>0.6164383561643836</v>
      </c>
      <c r="R821">
        <v>0</v>
      </c>
      <c r="S821">
        <v>0.02129568760013512</v>
      </c>
      <c r="T821" t="s">
        <v>933</v>
      </c>
      <c r="U821">
        <v>0.243958067418551</v>
      </c>
      <c r="V821" t="s">
        <v>1004</v>
      </c>
      <c r="W821" t="s">
        <v>1008</v>
      </c>
      <c r="X821" t="s">
        <v>1020</v>
      </c>
      <c r="Y821">
        <v>5703.374666</v>
      </c>
      <c r="Z821" s="2">
        <v>45139</v>
      </c>
      <c r="AA821" t="s">
        <v>1033</v>
      </c>
    </row>
    <row r="822" spans="1:27">
      <c r="A822" s="1" t="s">
        <v>847</v>
      </c>
      <c r="B822">
        <f>HYPERLINK("https://www.suredividend.com/sure-analysis-RIO/","Rio Tinto plc")</f>
        <v>0</v>
      </c>
      <c r="C822" t="s">
        <v>899</v>
      </c>
      <c r="D822">
        <v>59</v>
      </c>
      <c r="E822">
        <v>63.11</v>
      </c>
      <c r="F822">
        <v>65</v>
      </c>
      <c r="G822">
        <v>0.9709230769230769</v>
      </c>
      <c r="H822">
        <v>0.06369830454761527</v>
      </c>
      <c r="I822">
        <v>0.005919055650074334</v>
      </c>
      <c r="J822">
        <v>0.01</v>
      </c>
      <c r="K822">
        <v>0.07019396681163825</v>
      </c>
      <c r="L822" t="s">
        <v>642</v>
      </c>
      <c r="M822" t="s">
        <v>580</v>
      </c>
      <c r="N822">
        <v>8.765277777777778</v>
      </c>
      <c r="O822">
        <v>7.2</v>
      </c>
      <c r="P822">
        <v>4.02</v>
      </c>
      <c r="Q822">
        <v>0.5583333333333332</v>
      </c>
      <c r="R822">
        <v>0</v>
      </c>
      <c r="S822">
        <v>0.002967411231198369</v>
      </c>
      <c r="T822" t="s">
        <v>915</v>
      </c>
      <c r="U822">
        <v>0.140471674105571</v>
      </c>
      <c r="V822" t="s">
        <v>1004</v>
      </c>
      <c r="W822" t="s">
        <v>1009</v>
      </c>
      <c r="X822" t="s">
        <v>1010</v>
      </c>
      <c r="Y822">
        <v>79056.911624</v>
      </c>
      <c r="Z822" s="2">
        <v>45160</v>
      </c>
      <c r="AA822" t="s">
        <v>1022</v>
      </c>
    </row>
    <row r="823" spans="1:27">
      <c r="A823" s="1" t="s">
        <v>848</v>
      </c>
      <c r="B823">
        <f>HYPERLINK("https://www.suredividend.com/sure-analysis-ABR/","Arbor Realty Trust Inc.")</f>
        <v>0</v>
      </c>
      <c r="C823" t="s">
        <v>899</v>
      </c>
      <c r="D823">
        <v>16.7</v>
      </c>
      <c r="E823">
        <v>15.65</v>
      </c>
      <c r="F823">
        <v>12.8</v>
      </c>
      <c r="G823">
        <v>1.22265625</v>
      </c>
      <c r="H823">
        <v>0.1099041533546326</v>
      </c>
      <c r="I823">
        <v>-0.03940764582752498</v>
      </c>
      <c r="J823">
        <v>0</v>
      </c>
      <c r="K823">
        <v>0.06983323727821644</v>
      </c>
      <c r="L823" t="s">
        <v>642</v>
      </c>
      <c r="M823" t="s">
        <v>580</v>
      </c>
      <c r="N823">
        <v>8.324468085106384</v>
      </c>
      <c r="O823">
        <v>1.88</v>
      </c>
      <c r="P823">
        <v>1.72</v>
      </c>
      <c r="Q823">
        <v>0.9148936170212766</v>
      </c>
      <c r="R823">
        <v>11</v>
      </c>
      <c r="S823">
        <v>0.02010536305016597</v>
      </c>
      <c r="T823" t="s">
        <v>917</v>
      </c>
      <c r="U823">
        <v>0.183254023740255</v>
      </c>
      <c r="V823" t="s">
        <v>1005</v>
      </c>
      <c r="W823" t="s">
        <v>1008</v>
      </c>
      <c r="X823" t="s">
        <v>1019</v>
      </c>
      <c r="Y823">
        <v>2935.541087</v>
      </c>
      <c r="Z823" s="2">
        <v>45139</v>
      </c>
      <c r="AA823" t="s">
        <v>1033</v>
      </c>
    </row>
    <row r="824" spans="1:27">
      <c r="A824" s="1" t="s">
        <v>849</v>
      </c>
      <c r="B824">
        <f>HYPERLINK("https://www.suredividend.com/sure-analysis-VOD/","Vodafone Group plc")</f>
        <v>0</v>
      </c>
      <c r="C824" t="s">
        <v>899</v>
      </c>
      <c r="D824">
        <v>9.109999999999999</v>
      </c>
      <c r="E824">
        <v>9.859999999999999</v>
      </c>
      <c r="F824">
        <v>6.2</v>
      </c>
      <c r="G824">
        <v>1.590322580645161</v>
      </c>
      <c r="H824">
        <v>0.09939148073022312</v>
      </c>
      <c r="I824">
        <v>-0.08861273687213811</v>
      </c>
      <c r="J824">
        <v>0.08</v>
      </c>
      <c r="K824">
        <v>0.06856019522097712</v>
      </c>
      <c r="L824" t="s">
        <v>642</v>
      </c>
      <c r="M824" t="s">
        <v>580</v>
      </c>
      <c r="N824">
        <v>15.90322580645161</v>
      </c>
      <c r="O824">
        <v>0.62</v>
      </c>
      <c r="P824">
        <v>0.98</v>
      </c>
      <c r="Q824">
        <v>1.580645161290323</v>
      </c>
      <c r="R824">
        <v>0</v>
      </c>
      <c r="S824">
        <v>-0.01908181431406375</v>
      </c>
      <c r="T824" t="s">
        <v>926</v>
      </c>
      <c r="U824">
        <v>-0.130287406561646</v>
      </c>
      <c r="V824" t="s">
        <v>1004</v>
      </c>
      <c r="W824" t="s">
        <v>1009</v>
      </c>
      <c r="X824" t="s">
        <v>1017</v>
      </c>
      <c r="Y824">
        <v>26400.147121</v>
      </c>
      <c r="Z824" s="2">
        <v>45155</v>
      </c>
      <c r="AA824" t="s">
        <v>1030</v>
      </c>
    </row>
    <row r="825" spans="1:27">
      <c r="A825" s="1" t="s">
        <v>850</v>
      </c>
      <c r="B825">
        <f>HYPERLINK("https://www.suredividend.com/sure-analysis-FTCO/","Fortitude Gold Corp")</f>
        <v>0</v>
      </c>
      <c r="C825" t="s">
        <v>899</v>
      </c>
      <c r="D825">
        <v>6.4</v>
      </c>
      <c r="E825">
        <v>6.01</v>
      </c>
      <c r="F825">
        <v>5.95</v>
      </c>
      <c r="G825">
        <v>1.010084033613445</v>
      </c>
      <c r="H825">
        <v>0.07986688851913477</v>
      </c>
      <c r="I825">
        <v>-0.002004693709950378</v>
      </c>
      <c r="J825">
        <v>0</v>
      </c>
      <c r="K825">
        <v>0.06797823173868145</v>
      </c>
      <c r="L825" t="s">
        <v>642</v>
      </c>
      <c r="M825" t="s">
        <v>580</v>
      </c>
      <c r="N825">
        <v>8.585714285714285</v>
      </c>
      <c r="O825">
        <v>0.7</v>
      </c>
      <c r="P825">
        <v>0.48</v>
      </c>
      <c r="Q825">
        <v>0.6857142857142857</v>
      </c>
      <c r="R825">
        <v>1</v>
      </c>
      <c r="S825">
        <v>0</v>
      </c>
      <c r="T825" t="s">
        <v>905</v>
      </c>
      <c r="U825">
        <v>0.07580864950154101</v>
      </c>
      <c r="V825" t="s">
        <v>1004</v>
      </c>
      <c r="W825" t="s">
        <v>1008</v>
      </c>
      <c r="X825" t="s">
        <v>1010</v>
      </c>
      <c r="Y825">
        <v>144.507246</v>
      </c>
      <c r="Z825" s="2">
        <v>45140</v>
      </c>
      <c r="AA825" t="s">
        <v>1032</v>
      </c>
    </row>
    <row r="826" spans="1:27">
      <c r="A826" s="1" t="s">
        <v>851</v>
      </c>
      <c r="B826">
        <f>HYPERLINK("https://www.suredividend.com/sure-analysis-SGU/","Star Group L.P.")</f>
        <v>0</v>
      </c>
      <c r="C826" t="s">
        <v>899</v>
      </c>
      <c r="D826">
        <v>12</v>
      </c>
      <c r="E826">
        <v>11.82</v>
      </c>
      <c r="F826">
        <v>10</v>
      </c>
      <c r="G826">
        <v>1.182</v>
      </c>
      <c r="H826">
        <v>0.05499153976311337</v>
      </c>
      <c r="I826">
        <v>-0.03288859544233225</v>
      </c>
      <c r="J826">
        <v>0.05</v>
      </c>
      <c r="K826">
        <v>0.06797523560857011</v>
      </c>
      <c r="L826" t="s">
        <v>642</v>
      </c>
      <c r="M826" t="s">
        <v>580</v>
      </c>
      <c r="N826">
        <v>13.13333333333333</v>
      </c>
      <c r="O826">
        <v>0.9</v>
      </c>
      <c r="P826">
        <v>0.65</v>
      </c>
      <c r="Q826">
        <v>0.7222222222222222</v>
      </c>
      <c r="R826">
        <v>10</v>
      </c>
      <c r="S826">
        <v>0.03978308212039239</v>
      </c>
      <c r="T826" t="s">
        <v>973</v>
      </c>
      <c r="U826">
        <v>0.340117608989165</v>
      </c>
      <c r="V826" t="s">
        <v>1006</v>
      </c>
      <c r="W826" t="s">
        <v>1008</v>
      </c>
      <c r="X826" t="s">
        <v>1020</v>
      </c>
      <c r="Y826">
        <v>427.58665</v>
      </c>
      <c r="Z826" s="2">
        <v>45147</v>
      </c>
      <c r="AA826" t="s">
        <v>1024</v>
      </c>
    </row>
    <row r="827" spans="1:27">
      <c r="A827" s="1" t="s">
        <v>852</v>
      </c>
      <c r="B827">
        <f>HYPERLINK("https://www.suredividend.com/sure-analysis-CNS/","Cohen &amp; Steers Inc.")</f>
        <v>0</v>
      </c>
      <c r="C827" t="s">
        <v>899</v>
      </c>
      <c r="D827">
        <v>66</v>
      </c>
      <c r="E827">
        <v>63.01</v>
      </c>
      <c r="F827">
        <v>58</v>
      </c>
      <c r="G827">
        <v>1.086379310344828</v>
      </c>
      <c r="H827">
        <v>0.03618473258212982</v>
      </c>
      <c r="I827">
        <v>-0.01643355793306156</v>
      </c>
      <c r="J827">
        <v>0.05</v>
      </c>
      <c r="K827">
        <v>0.06726947837229047</v>
      </c>
      <c r="L827" t="s">
        <v>642</v>
      </c>
      <c r="M827" t="s">
        <v>825</v>
      </c>
      <c r="N827">
        <v>20.65901639344262</v>
      </c>
      <c r="O827">
        <v>3.05</v>
      </c>
      <c r="P827">
        <v>2.28</v>
      </c>
      <c r="Q827">
        <v>0.7475409836065574</v>
      </c>
      <c r="R827">
        <v>14</v>
      </c>
      <c r="S827">
        <v>0.05000563166277994</v>
      </c>
      <c r="T827" t="s">
        <v>947</v>
      </c>
      <c r="U827">
        <v>-0.131188595646311</v>
      </c>
      <c r="V827" t="s">
        <v>1004</v>
      </c>
      <c r="W827" t="s">
        <v>1008</v>
      </c>
      <c r="X827" t="s">
        <v>1015</v>
      </c>
      <c r="Y827">
        <v>3102.058287</v>
      </c>
      <c r="Z827" s="2">
        <v>45127</v>
      </c>
      <c r="AA827" t="s">
        <v>1023</v>
      </c>
    </row>
    <row r="828" spans="1:27">
      <c r="A828" s="1" t="s">
        <v>853</v>
      </c>
      <c r="B828">
        <f>HYPERLINK("https://www.suredividend.com/sure-analysis-APAM/","Artisan Partners Asset Management Inc")</f>
        <v>0</v>
      </c>
      <c r="C828" t="s">
        <v>899</v>
      </c>
      <c r="D828">
        <v>37</v>
      </c>
      <c r="E828">
        <v>37.59</v>
      </c>
      <c r="F828">
        <v>32</v>
      </c>
      <c r="G828">
        <v>1.1746875</v>
      </c>
      <c r="H828">
        <v>0.06491088055333864</v>
      </c>
      <c r="I828">
        <v>-0.03168751716783724</v>
      </c>
      <c r="J828">
        <v>0.04</v>
      </c>
      <c r="K828">
        <v>0.0665323737864183</v>
      </c>
      <c r="L828" t="s">
        <v>642</v>
      </c>
      <c r="M828" t="s">
        <v>825</v>
      </c>
      <c r="N828">
        <v>12.74237288135593</v>
      </c>
      <c r="O828">
        <v>2.95</v>
      </c>
      <c r="P828">
        <v>2.44</v>
      </c>
      <c r="Q828">
        <v>0.8271186440677966</v>
      </c>
      <c r="R828">
        <v>1</v>
      </c>
      <c r="S828">
        <v>0.01970016771382976</v>
      </c>
      <c r="T828" t="s">
        <v>936</v>
      </c>
      <c r="U828">
        <v>0.186163483198074</v>
      </c>
      <c r="V828" t="s">
        <v>1004</v>
      </c>
      <c r="W828" t="s">
        <v>1008</v>
      </c>
      <c r="X828" t="s">
        <v>1015</v>
      </c>
      <c r="Y828">
        <v>2631.894813</v>
      </c>
      <c r="Z828" s="2">
        <v>45160</v>
      </c>
      <c r="AA828" t="s">
        <v>1030</v>
      </c>
    </row>
    <row r="829" spans="1:27">
      <c r="A829" s="1" t="s">
        <v>854</v>
      </c>
      <c r="B829">
        <f>HYPERLINK("https://www.suredividend.com/sure-analysis-LAND/","Gladstone Land Corp")</f>
        <v>0</v>
      </c>
      <c r="C829" t="s">
        <v>899</v>
      </c>
      <c r="D829">
        <v>16.33</v>
      </c>
      <c r="E829">
        <v>15.21</v>
      </c>
      <c r="F829">
        <v>15.64</v>
      </c>
      <c r="G829">
        <v>0.9725063938618926</v>
      </c>
      <c r="H829">
        <v>0.03616042077580539</v>
      </c>
      <c r="I829">
        <v>0.005591299058796295</v>
      </c>
      <c r="J829">
        <v>0.03</v>
      </c>
      <c r="K829">
        <v>0.06633960173474196</v>
      </c>
      <c r="L829" t="s">
        <v>642</v>
      </c>
      <c r="M829" t="s">
        <v>825</v>
      </c>
      <c r="N829">
        <v>22.36764705882353</v>
      </c>
      <c r="O829">
        <v>0.68</v>
      </c>
      <c r="P829">
        <v>0.55</v>
      </c>
      <c r="Q829">
        <v>0.8088235294117647</v>
      </c>
      <c r="R829">
        <v>9</v>
      </c>
      <c r="S829">
        <v>0.01067857840444453</v>
      </c>
      <c r="T829" t="s">
        <v>913</v>
      </c>
      <c r="U829">
        <v>-0.322229271474654</v>
      </c>
      <c r="V829" t="s">
        <v>1005</v>
      </c>
      <c r="W829" t="s">
        <v>1008</v>
      </c>
      <c r="X829" t="s">
        <v>1019</v>
      </c>
      <c r="Y829">
        <v>543.669165</v>
      </c>
      <c r="Z829" s="2">
        <v>45155</v>
      </c>
      <c r="AA829" t="s">
        <v>1030</v>
      </c>
    </row>
    <row r="830" spans="1:27">
      <c r="A830" s="1" t="s">
        <v>855</v>
      </c>
      <c r="B830">
        <f>HYPERLINK("https://www.suredividend.com/sure-analysis-WFG/","West Fraser Timber Co., Ltd.")</f>
        <v>0</v>
      </c>
      <c r="C830" t="s">
        <v>900</v>
      </c>
      <c r="D830">
        <v>79</v>
      </c>
      <c r="E830">
        <v>71.40000000000001</v>
      </c>
      <c r="F830">
        <v>12</v>
      </c>
      <c r="G830">
        <v>5.95</v>
      </c>
      <c r="H830">
        <v>0.01680672268907563</v>
      </c>
      <c r="I830">
        <v>-0.3000023099771313</v>
      </c>
      <c r="J830">
        <v>0.5</v>
      </c>
      <c r="K830">
        <v>0.06556285750471136</v>
      </c>
      <c r="L830" t="s">
        <v>642</v>
      </c>
      <c r="M830" t="s">
        <v>642</v>
      </c>
      <c r="N830">
        <v>70.6930693069307</v>
      </c>
      <c r="O830">
        <v>1.01</v>
      </c>
      <c r="P830">
        <v>1.2</v>
      </c>
      <c r="Q830">
        <v>1.188118811881188</v>
      </c>
      <c r="R830">
        <v>7</v>
      </c>
      <c r="S830">
        <v>0.04978904632428516</v>
      </c>
      <c r="T830" t="s">
        <v>914</v>
      </c>
      <c r="U830">
        <v>-0.170858501640985</v>
      </c>
      <c r="V830" t="s">
        <v>1004</v>
      </c>
      <c r="W830" t="s">
        <v>1009</v>
      </c>
      <c r="X830" t="s">
        <v>1012</v>
      </c>
      <c r="Y830">
        <v>5843.623536</v>
      </c>
      <c r="Z830" s="2">
        <v>45143</v>
      </c>
      <c r="AA830" t="s">
        <v>1024</v>
      </c>
    </row>
    <row r="831" spans="1:27">
      <c r="A831" s="1" t="s">
        <v>856</v>
      </c>
      <c r="B831">
        <f>HYPERLINK("https://www.suredividend.com/sure-analysis-USAC/","USA Compression Partners LP")</f>
        <v>0</v>
      </c>
      <c r="C831" t="s">
        <v>899</v>
      </c>
      <c r="D831">
        <v>19.9</v>
      </c>
      <c r="E831">
        <v>22.36</v>
      </c>
      <c r="F831">
        <v>19</v>
      </c>
      <c r="G831">
        <v>1.176842105263158</v>
      </c>
      <c r="H831">
        <v>0.09391771019677997</v>
      </c>
      <c r="I831">
        <v>-0.03204234144467955</v>
      </c>
      <c r="J831">
        <v>0.01</v>
      </c>
      <c r="K831">
        <v>0.06384369657679168</v>
      </c>
      <c r="L831" t="s">
        <v>642</v>
      </c>
      <c r="M831" t="s">
        <v>580</v>
      </c>
      <c r="N831">
        <v>8.250922509225092</v>
      </c>
      <c r="O831">
        <v>2.71</v>
      </c>
      <c r="P831">
        <v>2.1</v>
      </c>
      <c r="Q831">
        <v>0.7749077490774908</v>
      </c>
      <c r="R831">
        <v>0</v>
      </c>
      <c r="S831">
        <v>0</v>
      </c>
      <c r="T831" t="s">
        <v>973</v>
      </c>
      <c r="U831">
        <v>0.352683132023316</v>
      </c>
      <c r="V831" t="s">
        <v>1006</v>
      </c>
      <c r="W831" t="s">
        <v>1008</v>
      </c>
      <c r="X831" t="s">
        <v>1020</v>
      </c>
      <c r="Y831">
        <v>2212.248045</v>
      </c>
      <c r="Z831" s="2">
        <v>45145</v>
      </c>
      <c r="AA831" t="s">
        <v>1026</v>
      </c>
    </row>
    <row r="832" spans="1:27">
      <c r="A832" s="1" t="s">
        <v>857</v>
      </c>
      <c r="B832">
        <f>HYPERLINK("https://www.suredividend.com/sure-analysis-NHC/","National Healthcare Corp.")</f>
        <v>0</v>
      </c>
      <c r="C832" t="s">
        <v>899</v>
      </c>
      <c r="D832">
        <v>63</v>
      </c>
      <c r="E832">
        <v>67.3</v>
      </c>
      <c r="F832">
        <v>53</v>
      </c>
      <c r="G832">
        <v>1.269811320754717</v>
      </c>
      <c r="H832">
        <v>0.03506686478454681</v>
      </c>
      <c r="I832">
        <v>-0.04665046060906186</v>
      </c>
      <c r="J832">
        <v>0.08</v>
      </c>
      <c r="K832">
        <v>0.06171076393077435</v>
      </c>
      <c r="L832" t="s">
        <v>642</v>
      </c>
      <c r="M832" t="s">
        <v>642</v>
      </c>
      <c r="N832">
        <v>24.03571428571428</v>
      </c>
      <c r="O832">
        <v>2.8</v>
      </c>
      <c r="P832">
        <v>2.36</v>
      </c>
      <c r="Q832">
        <v>0.8428571428571429</v>
      </c>
      <c r="R832">
        <v>2</v>
      </c>
      <c r="S832">
        <v>0.0303095182681723</v>
      </c>
      <c r="T832" t="s">
        <v>911</v>
      </c>
      <c r="U832">
        <v>0.012355233201652</v>
      </c>
      <c r="V832" t="s">
        <v>1005</v>
      </c>
      <c r="W832" t="s">
        <v>1008</v>
      </c>
      <c r="X832" t="s">
        <v>1019</v>
      </c>
      <c r="Y832">
        <v>1034.136653</v>
      </c>
      <c r="Z832" s="2">
        <v>45144</v>
      </c>
      <c r="AA832" t="s">
        <v>1034</v>
      </c>
    </row>
    <row r="833" spans="1:27">
      <c r="A833" s="1" t="s">
        <v>858</v>
      </c>
      <c r="B833">
        <f>HYPERLINK("https://www.suredividend.com/sure-analysis-CQP/","Cheniere Energy Partners LP")</f>
        <v>0</v>
      </c>
      <c r="C833" t="s">
        <v>899</v>
      </c>
      <c r="D833">
        <v>51</v>
      </c>
      <c r="E833">
        <v>53.64</v>
      </c>
      <c r="F833">
        <v>74</v>
      </c>
      <c r="G833">
        <v>0.7248648648648649</v>
      </c>
      <c r="H833">
        <v>0.07829977628635347</v>
      </c>
      <c r="I833">
        <v>0.06646986969841229</v>
      </c>
      <c r="J833">
        <v>-0.06</v>
      </c>
      <c r="K833">
        <v>0.06170493673957922</v>
      </c>
      <c r="L833" t="s">
        <v>642</v>
      </c>
      <c r="M833" t="s">
        <v>580</v>
      </c>
      <c r="N833">
        <v>10.51764705882353</v>
      </c>
      <c r="O833">
        <v>5.1</v>
      </c>
      <c r="P833">
        <v>4.2</v>
      </c>
      <c r="Q833">
        <v>0.823529411764706</v>
      </c>
      <c r="R833">
        <v>6</v>
      </c>
      <c r="S833">
        <v>-0.0499929808059546</v>
      </c>
      <c r="T833" t="s">
        <v>910</v>
      </c>
      <c r="U833">
        <v>-0.005824295792209001</v>
      </c>
      <c r="V833" t="s">
        <v>1006</v>
      </c>
      <c r="W833" t="s">
        <v>1008</v>
      </c>
      <c r="X833" t="s">
        <v>1020</v>
      </c>
      <c r="Y833">
        <v>26050.82414</v>
      </c>
      <c r="Z833" s="2">
        <v>45160</v>
      </c>
      <c r="AA833" t="s">
        <v>1022</v>
      </c>
    </row>
    <row r="834" spans="1:27">
      <c r="A834" s="1" t="s">
        <v>859</v>
      </c>
      <c r="B834">
        <f>HYPERLINK("https://www.suredividend.com/sure-analysis-HTGC/","Hercules Capital Inc")</f>
        <v>0</v>
      </c>
      <c r="C834" t="s">
        <v>899</v>
      </c>
      <c r="D834">
        <v>16.4</v>
      </c>
      <c r="E834">
        <v>16.27</v>
      </c>
      <c r="F834">
        <v>12.8</v>
      </c>
      <c r="G834">
        <v>1.27109375</v>
      </c>
      <c r="H834">
        <v>0.1180086047940996</v>
      </c>
      <c r="I834">
        <v>-0.04684290857472007</v>
      </c>
      <c r="J834">
        <v>0.007</v>
      </c>
      <c r="K834">
        <v>0.06033956865324286</v>
      </c>
      <c r="L834" t="s">
        <v>642</v>
      </c>
      <c r="M834" t="s">
        <v>580</v>
      </c>
      <c r="N834">
        <v>8.794594594594594</v>
      </c>
      <c r="O834">
        <v>1.85</v>
      </c>
      <c r="P834">
        <v>1.92</v>
      </c>
      <c r="Q834">
        <v>1.037837837837838</v>
      </c>
      <c r="R834">
        <v>0</v>
      </c>
      <c r="S834">
        <v>-0.03823012085525568</v>
      </c>
      <c r="T834" t="s">
        <v>932</v>
      </c>
      <c r="U834">
        <v>0.23971399513052</v>
      </c>
      <c r="V834" t="s">
        <v>1007</v>
      </c>
      <c r="W834" t="s">
        <v>1008</v>
      </c>
      <c r="X834" t="s">
        <v>1015</v>
      </c>
      <c r="Y834">
        <v>2326.649527</v>
      </c>
      <c r="Z834" s="2">
        <v>45165</v>
      </c>
      <c r="AA834" t="s">
        <v>1033</v>
      </c>
    </row>
    <row r="835" spans="1:27">
      <c r="A835" s="1" t="s">
        <v>860</v>
      </c>
      <c r="B835">
        <f>HYPERLINK("https://www.suredividend.com/sure-analysis-BXMT/","Blackstone Mortgage Trust Inc")</f>
        <v>0</v>
      </c>
      <c r="C835" t="s">
        <v>898</v>
      </c>
      <c r="D835">
        <v>23</v>
      </c>
      <c r="E835">
        <v>22.74</v>
      </c>
      <c r="F835">
        <v>23</v>
      </c>
      <c r="G835">
        <v>0.988695652173913</v>
      </c>
      <c r="H835">
        <v>0.1090589270008795</v>
      </c>
      <c r="I835">
        <v>0.002276332440994011</v>
      </c>
      <c r="J835">
        <v>-0.041</v>
      </c>
      <c r="K835">
        <v>0.05948326382013502</v>
      </c>
      <c r="L835" t="s">
        <v>642</v>
      </c>
      <c r="M835" t="s">
        <v>580</v>
      </c>
      <c r="N835">
        <v>8.007042253521126</v>
      </c>
      <c r="O835">
        <v>2.84</v>
      </c>
      <c r="P835">
        <v>2.48</v>
      </c>
      <c r="Q835">
        <v>0.8732394366197184</v>
      </c>
      <c r="R835">
        <v>0</v>
      </c>
      <c r="S835">
        <v>-0.01927743599905785</v>
      </c>
      <c r="T835" t="s">
        <v>911</v>
      </c>
      <c r="U835">
        <v>-0.12310990532926</v>
      </c>
      <c r="V835" t="s">
        <v>1005</v>
      </c>
      <c r="W835" t="s">
        <v>1008</v>
      </c>
      <c r="X835" t="s">
        <v>1019</v>
      </c>
      <c r="Y835">
        <v>3982.119412</v>
      </c>
      <c r="Z835" s="2">
        <v>45140</v>
      </c>
      <c r="AA835" t="s">
        <v>1033</v>
      </c>
    </row>
    <row r="836" spans="1:27">
      <c r="A836" s="1" t="s">
        <v>861</v>
      </c>
      <c r="B836">
        <f>HYPERLINK("https://www.suredividend.com/sure-analysis-OMF/","OneMain Holdings Inc")</f>
        <v>0</v>
      </c>
      <c r="C836" t="s">
        <v>899</v>
      </c>
      <c r="D836">
        <v>41</v>
      </c>
      <c r="E836">
        <v>40.39</v>
      </c>
      <c r="F836">
        <v>31</v>
      </c>
      <c r="G836">
        <v>1.302903225806452</v>
      </c>
      <c r="H836">
        <v>0.09903441445902451</v>
      </c>
      <c r="I836">
        <v>-0.05154317038483569</v>
      </c>
      <c r="J836">
        <v>0.01</v>
      </c>
      <c r="K836">
        <v>0.05911055317106961</v>
      </c>
      <c r="L836" t="s">
        <v>642</v>
      </c>
      <c r="M836" t="s">
        <v>902</v>
      </c>
      <c r="N836">
        <v>7.161347517730497</v>
      </c>
      <c r="O836">
        <v>5.64</v>
      </c>
      <c r="P836">
        <v>4</v>
      </c>
      <c r="Q836">
        <v>0.7092198581560284</v>
      </c>
      <c r="R836">
        <v>4</v>
      </c>
      <c r="S836">
        <v>0.02016978262061087</v>
      </c>
      <c r="T836" t="s">
        <v>910</v>
      </c>
      <c r="U836">
        <v>0.194286978081458</v>
      </c>
      <c r="V836" t="s">
        <v>1004</v>
      </c>
      <c r="W836" t="s">
        <v>1008</v>
      </c>
      <c r="X836" t="s">
        <v>1015</v>
      </c>
      <c r="Y836">
        <v>4941.973598</v>
      </c>
      <c r="Z836" s="2">
        <v>45153</v>
      </c>
      <c r="AA836" t="s">
        <v>1034</v>
      </c>
    </row>
    <row r="837" spans="1:27">
      <c r="A837" s="1" t="s">
        <v>862</v>
      </c>
      <c r="B837">
        <f>HYPERLINK("https://www.suredividend.com/sure-analysis-INVH/","Invitation Homes Inc")</f>
        <v>0</v>
      </c>
      <c r="C837" t="s">
        <v>899</v>
      </c>
      <c r="D837">
        <v>35</v>
      </c>
      <c r="E837">
        <v>34.29</v>
      </c>
      <c r="F837">
        <v>27</v>
      </c>
      <c r="G837">
        <v>1.27</v>
      </c>
      <c r="H837">
        <v>0.03032954214056576</v>
      </c>
      <c r="I837">
        <v>-0.04667878942197823</v>
      </c>
      <c r="J837">
        <v>0.075</v>
      </c>
      <c r="K837">
        <v>0.05791345974448303</v>
      </c>
      <c r="L837" t="s">
        <v>642</v>
      </c>
      <c r="M837" t="s">
        <v>642</v>
      </c>
      <c r="N837">
        <v>23.16891891891892</v>
      </c>
      <c r="O837">
        <v>1.48</v>
      </c>
      <c r="P837">
        <v>1.04</v>
      </c>
      <c r="Q837">
        <v>0.7027027027027027</v>
      </c>
      <c r="R837">
        <v>6</v>
      </c>
      <c r="S837">
        <v>0.08447177119769855</v>
      </c>
      <c r="T837" t="s">
        <v>950</v>
      </c>
      <c r="U837">
        <v>-0.117857161211411</v>
      </c>
      <c r="V837" t="s">
        <v>1005</v>
      </c>
      <c r="W837" t="s">
        <v>1008</v>
      </c>
      <c r="X837" t="s">
        <v>1019</v>
      </c>
      <c r="Y837">
        <v>21008.457994</v>
      </c>
      <c r="Z837" s="2">
        <v>45134</v>
      </c>
      <c r="AA837" t="s">
        <v>1032</v>
      </c>
    </row>
    <row r="838" spans="1:27">
      <c r="A838" s="1" t="s">
        <v>863</v>
      </c>
      <c r="B838">
        <f>HYPERLINK("https://www.suredividend.com/sure-analysis-SPH/","Suburban Propane Partners LP")</f>
        <v>0</v>
      </c>
      <c r="C838" t="s">
        <v>899</v>
      </c>
      <c r="D838">
        <v>15</v>
      </c>
      <c r="E838">
        <v>14.76</v>
      </c>
      <c r="F838">
        <v>9</v>
      </c>
      <c r="G838">
        <v>1.64</v>
      </c>
      <c r="H838">
        <v>0.0880758807588076</v>
      </c>
      <c r="I838">
        <v>-0.09420226495658801</v>
      </c>
      <c r="J838">
        <v>0.07000000000000001</v>
      </c>
      <c r="K838">
        <v>0.05768261594483315</v>
      </c>
      <c r="L838" t="s">
        <v>642</v>
      </c>
      <c r="M838" t="s">
        <v>580</v>
      </c>
      <c r="N838">
        <v>8.199999999999999</v>
      </c>
      <c r="O838">
        <v>1.8</v>
      </c>
      <c r="P838">
        <v>1.3</v>
      </c>
      <c r="Q838">
        <v>0.7222222222222222</v>
      </c>
      <c r="R838">
        <v>1</v>
      </c>
      <c r="S838">
        <v>0.02066642298936894</v>
      </c>
      <c r="T838" t="s">
        <v>957</v>
      </c>
      <c r="U838">
        <v>-0.059597374066984</v>
      </c>
      <c r="V838" t="s">
        <v>1006</v>
      </c>
      <c r="W838" t="s">
        <v>1008</v>
      </c>
      <c r="X838" t="s">
        <v>1018</v>
      </c>
      <c r="Y838">
        <v>929.838797</v>
      </c>
      <c r="Z838" s="2">
        <v>45152</v>
      </c>
      <c r="AA838" t="s">
        <v>1030</v>
      </c>
    </row>
    <row r="839" spans="1:27">
      <c r="A839" s="1" t="s">
        <v>864</v>
      </c>
      <c r="B839">
        <f>HYPERLINK("https://www.suredividend.com/sure-analysis-SUUIF/","Superior Plus Corp")</f>
        <v>0</v>
      </c>
      <c r="C839" t="s">
        <v>899</v>
      </c>
      <c r="D839">
        <v>7.45</v>
      </c>
      <c r="E839">
        <v>7.8818</v>
      </c>
      <c r="F839">
        <v>7.51</v>
      </c>
      <c r="G839">
        <v>1.049507323568575</v>
      </c>
      <c r="H839">
        <v>0.0685122687710929</v>
      </c>
      <c r="I839">
        <v>-0.0096176196822918</v>
      </c>
      <c r="J839">
        <v>0</v>
      </c>
      <c r="K839">
        <v>0.05312534862723939</v>
      </c>
      <c r="L839" t="s">
        <v>642</v>
      </c>
      <c r="M839" t="s">
        <v>580</v>
      </c>
      <c r="N839">
        <v>8.29663157894737</v>
      </c>
      <c r="O839">
        <v>0.95</v>
      </c>
      <c r="P839">
        <v>0.54</v>
      </c>
      <c r="Q839">
        <v>0.568421052631579</v>
      </c>
      <c r="R839">
        <v>0</v>
      </c>
      <c r="S839">
        <v>0</v>
      </c>
      <c r="T839" t="s">
        <v>911</v>
      </c>
      <c r="U839">
        <v>-0.103971962616822</v>
      </c>
      <c r="V839" t="s">
        <v>1004</v>
      </c>
      <c r="W839" t="s">
        <v>1009</v>
      </c>
      <c r="X839" t="s">
        <v>1018</v>
      </c>
      <c r="Y839">
        <v>1908.707549</v>
      </c>
      <c r="Z839" s="2">
        <v>45144</v>
      </c>
      <c r="AA839" t="s">
        <v>1032</v>
      </c>
    </row>
    <row r="840" spans="1:27">
      <c r="A840" s="1" t="s">
        <v>865</v>
      </c>
      <c r="B840">
        <f>HYPERLINK("https://www.suredividend.com/sure-analysis-AEG/","Aegon N. V.")</f>
        <v>0</v>
      </c>
      <c r="C840" t="s">
        <v>899</v>
      </c>
      <c r="D840">
        <v>5.1</v>
      </c>
      <c r="E840">
        <v>4.97</v>
      </c>
      <c r="F840">
        <v>2.8</v>
      </c>
      <c r="G840">
        <v>1.775</v>
      </c>
      <c r="H840">
        <v>0.05633802816901409</v>
      </c>
      <c r="I840">
        <v>-0.1084199779599558</v>
      </c>
      <c r="J840">
        <v>0.12</v>
      </c>
      <c r="K840">
        <v>0.05264236326262317</v>
      </c>
      <c r="L840" t="s">
        <v>642</v>
      </c>
      <c r="M840" t="s">
        <v>825</v>
      </c>
      <c r="N840">
        <v>14.2</v>
      </c>
      <c r="O840">
        <v>0.35</v>
      </c>
      <c r="P840">
        <v>0.28</v>
      </c>
      <c r="Q840">
        <v>0.8000000000000002</v>
      </c>
      <c r="R840">
        <v>3</v>
      </c>
      <c r="S840">
        <v>0.02056514630321193</v>
      </c>
      <c r="T840" t="s">
        <v>929</v>
      </c>
      <c r="U840">
        <v>0.107266435986159</v>
      </c>
      <c r="V840" t="s">
        <v>1004</v>
      </c>
      <c r="W840" t="s">
        <v>1009</v>
      </c>
      <c r="X840" t="s">
        <v>1015</v>
      </c>
      <c r="Y840">
        <v>10067.445484</v>
      </c>
      <c r="Z840" s="2">
        <v>45167</v>
      </c>
      <c r="AA840" t="s">
        <v>1022</v>
      </c>
    </row>
    <row r="841" spans="1:27">
      <c r="A841" s="1" t="s">
        <v>866</v>
      </c>
      <c r="B841">
        <f>HYPERLINK("https://www.suredividend.com/sure-analysis-IPAR/","Inter Parfums, Inc.")</f>
        <v>0</v>
      </c>
      <c r="C841" t="s">
        <v>899</v>
      </c>
      <c r="D841">
        <v>134</v>
      </c>
      <c r="E841">
        <v>130.3245</v>
      </c>
      <c r="F841">
        <v>120</v>
      </c>
      <c r="G841">
        <v>1.0860375</v>
      </c>
      <c r="H841">
        <v>0.0191828857966077</v>
      </c>
      <c r="I841">
        <v>-0.01637165383334793</v>
      </c>
      <c r="J841">
        <v>0.05</v>
      </c>
      <c r="K841">
        <v>0.0516686085572291</v>
      </c>
      <c r="L841" t="s">
        <v>642</v>
      </c>
      <c r="M841" t="s">
        <v>642</v>
      </c>
      <c r="N841">
        <v>32.581125</v>
      </c>
      <c r="O841">
        <v>4</v>
      </c>
      <c r="P841">
        <v>2.5</v>
      </c>
      <c r="Q841">
        <v>0.625</v>
      </c>
      <c r="R841">
        <v>3</v>
      </c>
      <c r="S841">
        <v>0.04995366747811136</v>
      </c>
      <c r="T841" t="s">
        <v>912</v>
      </c>
      <c r="U841">
        <v>0.621716493567383</v>
      </c>
      <c r="V841" t="s">
        <v>1004</v>
      </c>
      <c r="W841" t="s">
        <v>1008</v>
      </c>
      <c r="X841" t="s">
        <v>1013</v>
      </c>
      <c r="Y841">
        <v>4224.945277</v>
      </c>
      <c r="Z841" s="2">
        <v>45147</v>
      </c>
      <c r="AA841" t="s">
        <v>1031</v>
      </c>
    </row>
    <row r="842" spans="1:27">
      <c r="A842" s="1" t="s">
        <v>867</v>
      </c>
      <c r="B842">
        <f>HYPERLINK("https://www.suredividend.com/sure-analysis-PBA/","Pembina Pipeline Corporation")</f>
        <v>0</v>
      </c>
      <c r="C842" t="s">
        <v>899</v>
      </c>
      <c r="D842">
        <v>30</v>
      </c>
      <c r="E842">
        <v>30.3674</v>
      </c>
      <c r="F842">
        <v>25</v>
      </c>
      <c r="G842">
        <v>1.214696</v>
      </c>
      <c r="H842">
        <v>0.06454289797611913</v>
      </c>
      <c r="I842">
        <v>-0.03815192592471184</v>
      </c>
      <c r="J842">
        <v>0.03</v>
      </c>
      <c r="K842">
        <v>0.05078003229264927</v>
      </c>
      <c r="L842" t="s">
        <v>642</v>
      </c>
      <c r="M842" t="s">
        <v>825</v>
      </c>
      <c r="N842">
        <v>14.46066666666667</v>
      </c>
      <c r="O842">
        <v>2.1</v>
      </c>
      <c r="P842">
        <v>1.96</v>
      </c>
      <c r="Q842">
        <v>0.9333333333333332</v>
      </c>
      <c r="R842">
        <v>0</v>
      </c>
      <c r="S842">
        <v>0.004048715456574481</v>
      </c>
      <c r="T842" t="s">
        <v>912</v>
      </c>
      <c r="U842">
        <v>-0.108830522913123</v>
      </c>
      <c r="V842" t="s">
        <v>1004</v>
      </c>
      <c r="W842" t="s">
        <v>1009</v>
      </c>
      <c r="X842" t="s">
        <v>1020</v>
      </c>
      <c r="Y842">
        <v>17063.592237</v>
      </c>
      <c r="Z842" s="2">
        <v>45163</v>
      </c>
      <c r="AA842" t="s">
        <v>1022</v>
      </c>
    </row>
    <row r="843" spans="1:27">
      <c r="A843" s="1" t="s">
        <v>868</v>
      </c>
      <c r="B843">
        <f>HYPERLINK("https://www.suredividend.com/sure-analysis-SCCO/","Southern Copper Corporation")</f>
        <v>0</v>
      </c>
      <c r="C843" t="s">
        <v>899</v>
      </c>
      <c r="D843">
        <v>84</v>
      </c>
      <c r="E843">
        <v>78.37</v>
      </c>
      <c r="F843">
        <v>62</v>
      </c>
      <c r="G843">
        <v>1.264032258064516</v>
      </c>
      <c r="H843">
        <v>0.05103993875207349</v>
      </c>
      <c r="I843">
        <v>-0.0457803216203817</v>
      </c>
      <c r="J843">
        <v>0.05</v>
      </c>
      <c r="K843">
        <v>0.0507348567939061</v>
      </c>
      <c r="L843" t="s">
        <v>642</v>
      </c>
      <c r="M843" t="s">
        <v>825</v>
      </c>
      <c r="N843">
        <v>22.71594202898551</v>
      </c>
      <c r="O843">
        <v>3.45</v>
      </c>
      <c r="P843">
        <v>4</v>
      </c>
      <c r="Q843">
        <v>1.159420289855073</v>
      </c>
      <c r="R843">
        <v>3</v>
      </c>
      <c r="S843">
        <v>0.02016978262061087</v>
      </c>
      <c r="T843" t="s">
        <v>954</v>
      </c>
      <c r="U843">
        <v>0.678592598865272</v>
      </c>
      <c r="V843" t="s">
        <v>1004</v>
      </c>
      <c r="W843" t="s">
        <v>1008</v>
      </c>
      <c r="X843" t="s">
        <v>1010</v>
      </c>
      <c r="Y843">
        <v>61299.738791</v>
      </c>
      <c r="Z843" s="2">
        <v>45145</v>
      </c>
      <c r="AA843" t="s">
        <v>1026</v>
      </c>
    </row>
    <row r="844" spans="1:27">
      <c r="A844" s="1" t="s">
        <v>869</v>
      </c>
      <c r="B844">
        <f>HYPERLINK("https://www.suredividend.com/sure-analysis-KIM/","Kimco Realty Corporation")</f>
        <v>0</v>
      </c>
      <c r="C844" t="s">
        <v>900</v>
      </c>
      <c r="D844">
        <v>20.2</v>
      </c>
      <c r="E844">
        <v>18.57</v>
      </c>
      <c r="F844">
        <v>15.7</v>
      </c>
      <c r="G844">
        <v>1.182802547770701</v>
      </c>
      <c r="H844">
        <v>0.04954227248249866</v>
      </c>
      <c r="I844">
        <v>-0.03301987074964774</v>
      </c>
      <c r="J844">
        <v>0.028</v>
      </c>
      <c r="K844">
        <v>0.0466273604432732</v>
      </c>
      <c r="L844" t="s">
        <v>642</v>
      </c>
      <c r="M844" t="s">
        <v>825</v>
      </c>
      <c r="N844">
        <v>11.82802547770701</v>
      </c>
      <c r="O844">
        <v>1.57</v>
      </c>
      <c r="P844">
        <v>0.92</v>
      </c>
      <c r="Q844">
        <v>0.5859872611464968</v>
      </c>
      <c r="R844">
        <v>2</v>
      </c>
      <c r="S844">
        <v>0.04745176373283</v>
      </c>
      <c r="T844" t="s">
        <v>956</v>
      </c>
      <c r="U844">
        <v>-0.083984374999999</v>
      </c>
      <c r="V844" t="s">
        <v>1005</v>
      </c>
      <c r="W844" t="s">
        <v>1008</v>
      </c>
      <c r="X844" t="s">
        <v>1019</v>
      </c>
      <c r="Y844">
        <v>11629.006468</v>
      </c>
      <c r="Z844" s="2">
        <v>45146</v>
      </c>
      <c r="AA844" t="s">
        <v>1033</v>
      </c>
    </row>
    <row r="845" spans="1:27">
      <c r="A845" s="1" t="s">
        <v>870</v>
      </c>
      <c r="B845">
        <f>HYPERLINK("https://www.suredividend.com/sure-analysis-KRO/","Kronos Worldwide, Inc.")</f>
        <v>0</v>
      </c>
      <c r="C845" t="s">
        <v>899</v>
      </c>
      <c r="D845">
        <v>9</v>
      </c>
      <c r="E845">
        <v>7.81</v>
      </c>
      <c r="F845">
        <v>6</v>
      </c>
      <c r="G845">
        <v>1.301666666666667</v>
      </c>
      <c r="H845">
        <v>0.09731113956466068</v>
      </c>
      <c r="I845">
        <v>-0.05136303554982413</v>
      </c>
      <c r="J845">
        <v>0</v>
      </c>
      <c r="K845">
        <v>0.04644162938693763</v>
      </c>
      <c r="L845" t="s">
        <v>642</v>
      </c>
      <c r="M845" t="s">
        <v>580</v>
      </c>
      <c r="N845">
        <v>9.188235294117648</v>
      </c>
      <c r="O845">
        <v>0.85</v>
      </c>
      <c r="P845">
        <v>0.76</v>
      </c>
      <c r="Q845">
        <v>0.8941176470588236</v>
      </c>
      <c r="R845">
        <v>1</v>
      </c>
      <c r="S845">
        <v>0</v>
      </c>
      <c r="T845" t="s">
        <v>916</v>
      </c>
      <c r="U845">
        <v>-0.3345041131343</v>
      </c>
      <c r="V845" t="s">
        <v>1004</v>
      </c>
      <c r="W845" t="s">
        <v>1008</v>
      </c>
      <c r="X845" t="s">
        <v>1012</v>
      </c>
      <c r="Y845">
        <v>911.013967</v>
      </c>
      <c r="Z845" s="2">
        <v>45153</v>
      </c>
      <c r="AA845" t="s">
        <v>1034</v>
      </c>
    </row>
    <row r="846" spans="1:27">
      <c r="A846" s="1" t="s">
        <v>871</v>
      </c>
      <c r="B846">
        <f>HYPERLINK("https://www.suredividend.com/sure-analysis-MDV/","Modiv Industrial Inc")</f>
        <v>0</v>
      </c>
      <c r="C846" t="s">
        <v>899</v>
      </c>
      <c r="D846">
        <v>12.37</v>
      </c>
      <c r="E846">
        <v>14.5</v>
      </c>
      <c r="F846">
        <v>12.4</v>
      </c>
      <c r="G846">
        <v>1.169354838709677</v>
      </c>
      <c r="H846">
        <v>0.0793103448275862</v>
      </c>
      <c r="I846">
        <v>-0.03080595602908132</v>
      </c>
      <c r="J846">
        <v>0</v>
      </c>
      <c r="K846">
        <v>0.04592784586713217</v>
      </c>
      <c r="L846" t="s">
        <v>642</v>
      </c>
      <c r="M846" t="s">
        <v>580</v>
      </c>
      <c r="N846">
        <v>9.35483870967742</v>
      </c>
      <c r="O846">
        <v>1.55</v>
      </c>
      <c r="P846">
        <v>1.15</v>
      </c>
      <c r="Q846">
        <v>0.7419354838709676</v>
      </c>
      <c r="R846">
        <v>0</v>
      </c>
      <c r="S846">
        <v>0</v>
      </c>
      <c r="T846" t="s">
        <v>925</v>
      </c>
      <c r="U846">
        <v>0.07002132812782401</v>
      </c>
      <c r="V846" t="s">
        <v>1005</v>
      </c>
      <c r="W846" t="s">
        <v>1008</v>
      </c>
      <c r="X846" t="s">
        <v>1019</v>
      </c>
      <c r="Y846">
        <v>111.660213</v>
      </c>
      <c r="Z846" s="2">
        <v>45153</v>
      </c>
      <c r="AA846" t="s">
        <v>1032</v>
      </c>
    </row>
    <row r="847" spans="1:27">
      <c r="A847" s="1" t="s">
        <v>872</v>
      </c>
      <c r="B847">
        <f>HYPERLINK("https://www.suredividend.com/sure-analysis-BX/","Blackstone Inc")</f>
        <v>0</v>
      </c>
      <c r="C847" t="s">
        <v>899</v>
      </c>
      <c r="D847">
        <v>108</v>
      </c>
      <c r="E847">
        <v>112.75</v>
      </c>
      <c r="F847">
        <v>70</v>
      </c>
      <c r="G847">
        <v>1.610714285714286</v>
      </c>
      <c r="H847">
        <v>0.02802660753880266</v>
      </c>
      <c r="I847">
        <v>-0.09093215194600868</v>
      </c>
      <c r="J847">
        <v>0.12</v>
      </c>
      <c r="K847">
        <v>0.04518963881591787</v>
      </c>
      <c r="L847" t="s">
        <v>642</v>
      </c>
      <c r="M847" t="s">
        <v>642</v>
      </c>
      <c r="N847">
        <v>25.625</v>
      </c>
      <c r="O847">
        <v>4.4</v>
      </c>
      <c r="P847">
        <v>3.16</v>
      </c>
      <c r="Q847">
        <v>0.7181818181818181</v>
      </c>
      <c r="R847">
        <v>0</v>
      </c>
      <c r="S847">
        <v>0.02981402116536103</v>
      </c>
      <c r="T847" t="s">
        <v>918</v>
      </c>
      <c r="U847">
        <v>0.157105857604213</v>
      </c>
      <c r="V847" t="s">
        <v>1004</v>
      </c>
      <c r="W847" t="s">
        <v>1008</v>
      </c>
      <c r="X847" t="s">
        <v>1015</v>
      </c>
      <c r="Y847">
        <v>79875.232026</v>
      </c>
      <c r="Z847" s="2">
        <v>45127</v>
      </c>
      <c r="AA847" t="s">
        <v>1032</v>
      </c>
    </row>
    <row r="848" spans="1:27">
      <c r="A848" s="1" t="s">
        <v>873</v>
      </c>
      <c r="B848">
        <f>HYPERLINK("https://www.suredividend.com/sure-analysis-CODI/","Compass Diversified Holdings")</f>
        <v>0</v>
      </c>
      <c r="C848" t="s">
        <v>900</v>
      </c>
      <c r="D848">
        <v>21</v>
      </c>
      <c r="E848">
        <v>19.79</v>
      </c>
      <c r="F848">
        <v>17</v>
      </c>
      <c r="G848">
        <v>1.164117647058823</v>
      </c>
      <c r="H848">
        <v>0.05053057099545225</v>
      </c>
      <c r="I848">
        <v>-0.02993546921172352</v>
      </c>
      <c r="J848">
        <v>0.02</v>
      </c>
      <c r="K848">
        <v>0.03732391084461306</v>
      </c>
      <c r="L848" t="s">
        <v>642</v>
      </c>
      <c r="M848" t="s">
        <v>825</v>
      </c>
      <c r="N848">
        <v>11.64117647058823</v>
      </c>
      <c r="O848">
        <v>1.7</v>
      </c>
      <c r="P848">
        <v>1</v>
      </c>
      <c r="Q848">
        <v>0.5882352941176471</v>
      </c>
      <c r="R848">
        <v>0</v>
      </c>
      <c r="S848">
        <v>0</v>
      </c>
      <c r="T848" t="s">
        <v>945</v>
      </c>
      <c r="U848">
        <v>0.002747528227343</v>
      </c>
      <c r="V848" t="s">
        <v>1004</v>
      </c>
      <c r="W848" t="s">
        <v>1008</v>
      </c>
      <c r="X848" t="s">
        <v>1012</v>
      </c>
      <c r="Y848">
        <v>1437.91858</v>
      </c>
      <c r="Z848" s="2">
        <v>45175</v>
      </c>
      <c r="AA848" t="s">
        <v>1028</v>
      </c>
    </row>
    <row r="849" spans="1:27">
      <c r="A849" s="1" t="s">
        <v>874</v>
      </c>
      <c r="B849">
        <f>HYPERLINK("https://www.suredividend.com/sure-analysis-TEF/","Telefonica S.A")</f>
        <v>0</v>
      </c>
      <c r="C849" t="s">
        <v>899</v>
      </c>
      <c r="D849">
        <v>4.2</v>
      </c>
      <c r="E849">
        <v>4.19</v>
      </c>
      <c r="F849">
        <v>3.2</v>
      </c>
      <c r="G849">
        <v>1.309375</v>
      </c>
      <c r="H849">
        <v>0.07637231503579951</v>
      </c>
      <c r="I849">
        <v>-0.05248260639346281</v>
      </c>
      <c r="J849">
        <v>0.01</v>
      </c>
      <c r="K849">
        <v>0.03445145180234643</v>
      </c>
      <c r="L849" t="s">
        <v>642</v>
      </c>
      <c r="M849" t="s">
        <v>580</v>
      </c>
      <c r="N849">
        <v>11.97142857142857</v>
      </c>
      <c r="O849">
        <v>0.35</v>
      </c>
      <c r="P849">
        <v>0.32</v>
      </c>
      <c r="Q849">
        <v>0.9142857142857144</v>
      </c>
      <c r="R849">
        <v>0</v>
      </c>
      <c r="S849">
        <v>0</v>
      </c>
      <c r="T849" t="s">
        <v>967</v>
      </c>
      <c r="U849">
        <v>0.162887053559097</v>
      </c>
      <c r="V849" t="s">
        <v>1004</v>
      </c>
      <c r="W849" t="s">
        <v>1009</v>
      </c>
      <c r="X849" t="s">
        <v>1017</v>
      </c>
      <c r="Y849">
        <v>24209.42879</v>
      </c>
      <c r="Z849" s="2">
        <v>45175</v>
      </c>
      <c r="AA849" t="s">
        <v>1028</v>
      </c>
    </row>
    <row r="850" spans="1:27">
      <c r="A850" s="1" t="s">
        <v>875</v>
      </c>
      <c r="B850">
        <f>HYPERLINK("https://www.suredividend.com/sure-analysis-STX/","Seagate Technology Holdings Plc")</f>
        <v>0</v>
      </c>
      <c r="C850" t="s">
        <v>899</v>
      </c>
      <c r="D850">
        <v>64</v>
      </c>
      <c r="E850">
        <v>63.39</v>
      </c>
      <c r="F850">
        <v>50</v>
      </c>
      <c r="G850">
        <v>1.2678</v>
      </c>
      <c r="H850">
        <v>0.04417100489036125</v>
      </c>
      <c r="I850">
        <v>-0.04634816118353802</v>
      </c>
      <c r="J850">
        <v>0.04</v>
      </c>
      <c r="K850">
        <v>0.03374653999953425</v>
      </c>
      <c r="L850" t="s">
        <v>642</v>
      </c>
      <c r="M850" t="s">
        <v>825</v>
      </c>
      <c r="N850">
        <v>12.678</v>
      </c>
      <c r="O850">
        <v>5</v>
      </c>
      <c r="P850">
        <v>2.8</v>
      </c>
      <c r="Q850">
        <v>0.5599999999999999</v>
      </c>
      <c r="R850">
        <v>0</v>
      </c>
      <c r="S850">
        <v>0</v>
      </c>
      <c r="T850" t="s">
        <v>914</v>
      </c>
      <c r="U850">
        <v>-0.054054054054054</v>
      </c>
      <c r="V850" t="s">
        <v>1004</v>
      </c>
      <c r="W850" t="s">
        <v>1009</v>
      </c>
      <c r="X850" t="s">
        <v>1016</v>
      </c>
      <c r="Y850">
        <v>13093.4272</v>
      </c>
      <c r="Z850" s="2">
        <v>45168</v>
      </c>
      <c r="AA850" t="s">
        <v>1028</v>
      </c>
    </row>
    <row r="851" spans="1:27">
      <c r="A851" s="1" t="s">
        <v>876</v>
      </c>
      <c r="B851">
        <f>HYPERLINK("https://www.suredividend.com/sure-analysis-BHP/","BHP Group Limited")</f>
        <v>0</v>
      </c>
      <c r="C851" t="s">
        <v>899</v>
      </c>
      <c r="D851">
        <v>56</v>
      </c>
      <c r="E851">
        <v>56.16</v>
      </c>
      <c r="F851">
        <v>52</v>
      </c>
      <c r="G851">
        <v>1.08</v>
      </c>
      <c r="H851">
        <v>0.06054131054131055</v>
      </c>
      <c r="I851">
        <v>-0.01527435364574092</v>
      </c>
      <c r="J851">
        <v>-0.01</v>
      </c>
      <c r="K851">
        <v>0.03262284153658013</v>
      </c>
      <c r="L851" t="s">
        <v>642</v>
      </c>
      <c r="M851" t="s">
        <v>825</v>
      </c>
      <c r="N851">
        <v>15.17837837837838</v>
      </c>
      <c r="O851">
        <v>3.7</v>
      </c>
      <c r="P851">
        <v>3.4</v>
      </c>
      <c r="Q851">
        <v>0.9189189189189189</v>
      </c>
      <c r="R851">
        <v>0</v>
      </c>
      <c r="S851">
        <v>-0.01020621831301149</v>
      </c>
      <c r="T851" t="s">
        <v>924</v>
      </c>
      <c r="U851">
        <v>0.09606530213101101</v>
      </c>
      <c r="V851" t="s">
        <v>1004</v>
      </c>
      <c r="W851" t="s">
        <v>1009</v>
      </c>
      <c r="X851" t="s">
        <v>1010</v>
      </c>
      <c r="Y851">
        <v>143166.555312</v>
      </c>
      <c r="Z851" s="2">
        <v>45168</v>
      </c>
      <c r="AA851" t="s">
        <v>1022</v>
      </c>
    </row>
    <row r="852" spans="1:27">
      <c r="A852" s="1" t="s">
        <v>877</v>
      </c>
      <c r="B852">
        <f>HYPERLINK("https://www.suredividend.com/sure-analysis-GWRS/","Global Water Resources Inc")</f>
        <v>0</v>
      </c>
      <c r="C852" t="s">
        <v>900</v>
      </c>
      <c r="D852">
        <v>12.27</v>
      </c>
      <c r="E852">
        <v>10.7215</v>
      </c>
      <c r="F852">
        <v>8</v>
      </c>
      <c r="G852">
        <v>1.3401875</v>
      </c>
      <c r="H852">
        <v>0.02798115935270251</v>
      </c>
      <c r="I852">
        <v>-0.05688014609983727</v>
      </c>
      <c r="J852">
        <v>0.06</v>
      </c>
      <c r="K852">
        <v>0.02776116230910031</v>
      </c>
      <c r="L852" t="s">
        <v>642</v>
      </c>
      <c r="M852" t="s">
        <v>642</v>
      </c>
      <c r="N852">
        <v>26.80375</v>
      </c>
      <c r="O852">
        <v>0.4</v>
      </c>
      <c r="P852">
        <v>0.3</v>
      </c>
      <c r="Q852">
        <v>0.7499999999999999</v>
      </c>
      <c r="R852">
        <v>8</v>
      </c>
      <c r="S852">
        <v>0.01924487649145656</v>
      </c>
      <c r="T852" t="s">
        <v>936</v>
      </c>
      <c r="U852">
        <v>-0.17421397265797</v>
      </c>
      <c r="V852" t="s">
        <v>1004</v>
      </c>
      <c r="W852" t="s">
        <v>1008</v>
      </c>
      <c r="X852" t="s">
        <v>1018</v>
      </c>
      <c r="Y852">
        <v>267.325918</v>
      </c>
      <c r="Z852" s="2">
        <v>45152</v>
      </c>
      <c r="AA852" t="s">
        <v>1032</v>
      </c>
    </row>
    <row r="853" spans="1:27">
      <c r="A853" s="1" t="s">
        <v>878</v>
      </c>
      <c r="B853">
        <f>HYPERLINK("https://www.suredividend.com/sure-analysis-PRT/","PermRock Royalty Trust")</f>
        <v>0</v>
      </c>
      <c r="C853" t="s">
        <v>899</v>
      </c>
      <c r="D853">
        <v>6.24</v>
      </c>
      <c r="E853">
        <v>6.48</v>
      </c>
      <c r="F853">
        <v>4.16</v>
      </c>
      <c r="G853">
        <v>1.557692307692308</v>
      </c>
      <c r="H853">
        <v>0.08024691358024691</v>
      </c>
      <c r="I853">
        <v>-0.0848260177243062</v>
      </c>
      <c r="J853">
        <v>0.02</v>
      </c>
      <c r="K853">
        <v>0.02526870940842385</v>
      </c>
      <c r="L853" t="s">
        <v>642</v>
      </c>
      <c r="M853" t="s">
        <v>580</v>
      </c>
      <c r="N853">
        <v>12.46153846153846</v>
      </c>
      <c r="O853">
        <v>0.52</v>
      </c>
      <c r="P853">
        <v>0.52</v>
      </c>
      <c r="Q853">
        <v>1</v>
      </c>
      <c r="R853">
        <v>2</v>
      </c>
      <c r="S853">
        <v>0.01853111887485781</v>
      </c>
      <c r="T853" t="s">
        <v>925</v>
      </c>
      <c r="U853">
        <v>-0.174738473459899</v>
      </c>
      <c r="V853" t="s">
        <v>1004</v>
      </c>
      <c r="W853" t="s">
        <v>1008</v>
      </c>
      <c r="X853" t="s">
        <v>1020</v>
      </c>
      <c r="Y853">
        <v>77.73902699999999</v>
      </c>
      <c r="Z853" s="2">
        <v>45155</v>
      </c>
      <c r="AA853" t="s">
        <v>1026</v>
      </c>
    </row>
    <row r="854" spans="1:27">
      <c r="A854" s="1" t="s">
        <v>879</v>
      </c>
      <c r="B854">
        <f>HYPERLINK("https://www.suredividend.com/sure-analysis-GPS/","Gap, Inc.")</f>
        <v>0</v>
      </c>
      <c r="C854" t="s">
        <v>899</v>
      </c>
      <c r="D854">
        <v>10.22</v>
      </c>
      <c r="E854">
        <v>10.89</v>
      </c>
      <c r="F854">
        <v>7</v>
      </c>
      <c r="G854">
        <v>1.555714285714286</v>
      </c>
      <c r="H854">
        <v>0.05509641873278236</v>
      </c>
      <c r="I854">
        <v>-0.08459341533505782</v>
      </c>
      <c r="J854">
        <v>0.05</v>
      </c>
      <c r="K854">
        <v>0.01847745340125329</v>
      </c>
      <c r="L854" t="s">
        <v>642</v>
      </c>
      <c r="M854" t="s">
        <v>825</v>
      </c>
      <c r="N854">
        <v>15.55714285714286</v>
      </c>
      <c r="O854">
        <v>0.7</v>
      </c>
      <c r="P854">
        <v>0.6</v>
      </c>
      <c r="Q854">
        <v>0.8571428571428572</v>
      </c>
      <c r="R854">
        <v>1</v>
      </c>
      <c r="S854">
        <v>0</v>
      </c>
      <c r="T854" t="s">
        <v>944</v>
      </c>
      <c r="U854">
        <v>0.181309988397848</v>
      </c>
      <c r="V854" t="s">
        <v>1004</v>
      </c>
      <c r="W854" t="s">
        <v>1008</v>
      </c>
      <c r="X854" t="s">
        <v>1013</v>
      </c>
      <c r="Y854">
        <v>4122.72</v>
      </c>
      <c r="Z854" s="2">
        <v>45168</v>
      </c>
      <c r="AA854" t="s">
        <v>1027</v>
      </c>
    </row>
    <row r="855" spans="1:27">
      <c r="A855" s="1" t="s">
        <v>880</v>
      </c>
      <c r="B855">
        <f>HYPERLINK("https://www.suredividend.com/sure-analysis-WELL/","Welltower Inc.")</f>
        <v>0</v>
      </c>
      <c r="C855" t="s">
        <v>900</v>
      </c>
      <c r="D855">
        <v>84</v>
      </c>
      <c r="E855">
        <v>82.58</v>
      </c>
      <c r="F855">
        <v>56</v>
      </c>
      <c r="G855">
        <v>1.474642857142857</v>
      </c>
      <c r="H855">
        <v>0.02954710583676435</v>
      </c>
      <c r="I855">
        <v>-0.07474246679542618</v>
      </c>
      <c r="J855">
        <v>0.06</v>
      </c>
      <c r="K855">
        <v>0.01630065199050201</v>
      </c>
      <c r="L855" t="s">
        <v>642</v>
      </c>
      <c r="M855" t="s">
        <v>642</v>
      </c>
      <c r="N855">
        <v>23.39376770538244</v>
      </c>
      <c r="O855">
        <v>3.53</v>
      </c>
      <c r="P855">
        <v>2.44</v>
      </c>
      <c r="Q855">
        <v>0.6912181303116147</v>
      </c>
      <c r="R855">
        <v>0</v>
      </c>
      <c r="S855">
        <v>0.06030689427453173</v>
      </c>
      <c r="T855" t="s">
        <v>917</v>
      </c>
      <c r="U855">
        <v>0.10300763884582</v>
      </c>
      <c r="V855" t="s">
        <v>1005</v>
      </c>
      <c r="W855" t="s">
        <v>1008</v>
      </c>
      <c r="X855" t="s">
        <v>1019</v>
      </c>
      <c r="Y855">
        <v>43360.56363</v>
      </c>
      <c r="Z855" s="2">
        <v>45141</v>
      </c>
      <c r="AA855" t="s">
        <v>1036</v>
      </c>
    </row>
    <row r="856" spans="1:27">
      <c r="A856" s="1" t="s">
        <v>881</v>
      </c>
      <c r="B856">
        <f>HYPERLINK("https://www.suredividend.com/sure-analysis-DX/","Dynex Capital, Inc.")</f>
        <v>0</v>
      </c>
      <c r="C856" t="s">
        <v>900</v>
      </c>
      <c r="D856">
        <v>13</v>
      </c>
      <c r="E856">
        <v>13</v>
      </c>
      <c r="F856">
        <v>9.1</v>
      </c>
      <c r="G856">
        <v>1.428571428571429</v>
      </c>
      <c r="H856">
        <v>0.12</v>
      </c>
      <c r="I856">
        <v>-0.06885008490516231</v>
      </c>
      <c r="J856">
        <v>-0.026</v>
      </c>
      <c r="K856">
        <v>0.01489815717239495</v>
      </c>
      <c r="L856" t="s">
        <v>642</v>
      </c>
      <c r="M856" t="s">
        <v>580</v>
      </c>
      <c r="N856">
        <v>11.40350877192983</v>
      </c>
      <c r="O856">
        <v>1.14</v>
      </c>
      <c r="P856">
        <v>1.56</v>
      </c>
      <c r="Q856">
        <v>1.368421052631579</v>
      </c>
      <c r="R856">
        <v>0</v>
      </c>
      <c r="S856">
        <v>-0.08509693961379805</v>
      </c>
      <c r="T856" t="s">
        <v>913</v>
      </c>
      <c r="U856">
        <v>-0.055365088627908</v>
      </c>
      <c r="V856" t="s">
        <v>1005</v>
      </c>
      <c r="W856" t="s">
        <v>1008</v>
      </c>
      <c r="X856" t="s">
        <v>1019</v>
      </c>
      <c r="Y856">
        <v>701.945931</v>
      </c>
      <c r="Z856" s="2">
        <v>45140</v>
      </c>
      <c r="AA856" t="s">
        <v>1033</v>
      </c>
    </row>
    <row r="857" spans="1:27">
      <c r="A857" s="1" t="s">
        <v>882</v>
      </c>
      <c r="B857">
        <f>HYPERLINK("https://www.suredividend.com/sure-analysis-DOW/","Dow Inc")</f>
        <v>0</v>
      </c>
      <c r="C857" t="s">
        <v>900</v>
      </c>
      <c r="D857">
        <v>53</v>
      </c>
      <c r="E857">
        <v>52.82</v>
      </c>
      <c r="F857">
        <v>24</v>
      </c>
      <c r="G857">
        <v>2.200833333333333</v>
      </c>
      <c r="H857">
        <v>0.05301022340022718</v>
      </c>
      <c r="I857">
        <v>-0.1459514317334645</v>
      </c>
      <c r="J857">
        <v>0.12</v>
      </c>
      <c r="K857">
        <v>0.01282902229072258</v>
      </c>
      <c r="L857" t="s">
        <v>642</v>
      </c>
      <c r="M857" t="s">
        <v>825</v>
      </c>
      <c r="N857">
        <v>24.00909090909091</v>
      </c>
      <c r="O857">
        <v>2.2</v>
      </c>
      <c r="P857">
        <v>2.8</v>
      </c>
      <c r="Q857">
        <v>1.272727272727272</v>
      </c>
      <c r="R857">
        <v>0</v>
      </c>
      <c r="S857">
        <v>0</v>
      </c>
      <c r="T857" t="s">
        <v>925</v>
      </c>
      <c r="U857">
        <v>0.110312887538119</v>
      </c>
      <c r="V857" t="s">
        <v>1004</v>
      </c>
      <c r="W857" t="s">
        <v>1008</v>
      </c>
      <c r="X857" t="s">
        <v>1010</v>
      </c>
      <c r="Y857">
        <v>37705.888492</v>
      </c>
      <c r="Z857" s="2">
        <v>45134</v>
      </c>
      <c r="AA857" t="s">
        <v>1030</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642</v>
      </c>
      <c r="M858" t="s">
        <v>580</v>
      </c>
      <c r="N858">
        <v>8.647727272727273</v>
      </c>
      <c r="O858">
        <v>0.88</v>
      </c>
      <c r="P858">
        <v>0.85</v>
      </c>
      <c r="Q858">
        <v>0.9659090909090908</v>
      </c>
      <c r="R858">
        <v>0</v>
      </c>
      <c r="S858">
        <v>-0.07042032978800283</v>
      </c>
      <c r="T858" t="s">
        <v>995</v>
      </c>
      <c r="U858">
        <v>0.263049575940648</v>
      </c>
      <c r="V858" t="s">
        <v>1005</v>
      </c>
      <c r="W858" t="s">
        <v>1008</v>
      </c>
      <c r="X858" t="s">
        <v>1019</v>
      </c>
      <c r="Y858">
        <v>1023.800498</v>
      </c>
      <c r="Z858" s="2">
        <v>45142</v>
      </c>
      <c r="AA858" t="s">
        <v>1032</v>
      </c>
    </row>
    <row r="859" spans="1:27">
      <c r="A859" s="1" t="s">
        <v>884</v>
      </c>
      <c r="B859">
        <f>HYPERLINK("https://www.suredividend.com/sure-analysis-IRM/","Iron Mountain Inc.")</f>
        <v>0</v>
      </c>
      <c r="C859" t="s">
        <v>900</v>
      </c>
      <c r="D859">
        <v>59</v>
      </c>
      <c r="E859">
        <v>62.41</v>
      </c>
      <c r="F859">
        <v>43</v>
      </c>
      <c r="G859">
        <v>1.451395348837209</v>
      </c>
      <c r="H859">
        <v>0.04165999038615607</v>
      </c>
      <c r="I859">
        <v>-0.07179724182678338</v>
      </c>
      <c r="J859">
        <v>0.03</v>
      </c>
      <c r="K859">
        <v>0.003936570957076668</v>
      </c>
      <c r="L859" t="s">
        <v>642</v>
      </c>
      <c r="M859" t="s">
        <v>825</v>
      </c>
      <c r="N859">
        <v>15.8</v>
      </c>
      <c r="O859">
        <v>3.95</v>
      </c>
      <c r="P859">
        <v>2.6</v>
      </c>
      <c r="Q859">
        <v>0.6582278481012658</v>
      </c>
      <c r="R859">
        <v>1</v>
      </c>
      <c r="S859">
        <v>0.01995664036731482</v>
      </c>
      <c r="T859" t="s">
        <v>912</v>
      </c>
      <c r="U859">
        <v>0.168777808213093</v>
      </c>
      <c r="V859" t="s">
        <v>1005</v>
      </c>
      <c r="W859" t="s">
        <v>1008</v>
      </c>
      <c r="X859" t="s">
        <v>1019</v>
      </c>
      <c r="Y859">
        <v>18430.479628</v>
      </c>
      <c r="Z859" s="2">
        <v>45159</v>
      </c>
      <c r="AA859" t="s">
        <v>1028</v>
      </c>
    </row>
    <row r="860" spans="1:27">
      <c r="A860" s="1" t="s">
        <v>885</v>
      </c>
      <c r="B860">
        <f>HYPERLINK("https://www.suredividend.com/sure-analysis-GIPR/","Generation Income Properties Inc")</f>
        <v>0</v>
      </c>
      <c r="C860" t="s">
        <v>900</v>
      </c>
      <c r="D860">
        <v>3.95</v>
      </c>
      <c r="E860">
        <v>4.0958</v>
      </c>
      <c r="F860">
        <v>2.4</v>
      </c>
      <c r="G860">
        <v>1.706583333333333</v>
      </c>
      <c r="H860">
        <v>0.1147516968601983</v>
      </c>
      <c r="I860">
        <v>-0.1013832695900837</v>
      </c>
      <c r="J860">
        <v>0</v>
      </c>
      <c r="K860">
        <v>0.002188660183792823</v>
      </c>
      <c r="L860" t="s">
        <v>642</v>
      </c>
      <c r="M860" t="s">
        <v>580</v>
      </c>
      <c r="N860">
        <v>13.65266666666667</v>
      </c>
      <c r="O860">
        <v>0.3</v>
      </c>
      <c r="P860">
        <v>0.47</v>
      </c>
      <c r="Q860">
        <v>1.566666666666667</v>
      </c>
      <c r="R860">
        <v>0</v>
      </c>
      <c r="S860">
        <v>-0.09840387872029777</v>
      </c>
      <c r="T860" t="s">
        <v>917</v>
      </c>
      <c r="U860">
        <v>-0.353125754284335</v>
      </c>
      <c r="V860" t="s">
        <v>1005</v>
      </c>
      <c r="W860" t="s">
        <v>1008</v>
      </c>
      <c r="X860" t="s">
        <v>1019</v>
      </c>
      <c r="Y860">
        <v>10.522704</v>
      </c>
      <c r="Z860" s="2">
        <v>45153</v>
      </c>
      <c r="AA860" t="s">
        <v>1032</v>
      </c>
    </row>
    <row r="861" spans="1:27">
      <c r="A861" s="1" t="s">
        <v>886</v>
      </c>
      <c r="B861">
        <f>HYPERLINK("https://www.suredividend.com/sure-analysis-EXC/","Exelon Corp.")</f>
        <v>0</v>
      </c>
      <c r="C861" t="s">
        <v>900</v>
      </c>
      <c r="D861">
        <v>40</v>
      </c>
      <c r="E861">
        <v>41.13</v>
      </c>
      <c r="F861">
        <v>28</v>
      </c>
      <c r="G861">
        <v>1.468928571428572</v>
      </c>
      <c r="H861">
        <v>0.0350109409190372</v>
      </c>
      <c r="I861">
        <v>-0.07402371462806745</v>
      </c>
      <c r="J861">
        <v>0.02</v>
      </c>
      <c r="K861">
        <v>-0.01283016904364243</v>
      </c>
      <c r="L861" t="s">
        <v>642</v>
      </c>
      <c r="M861" t="s">
        <v>825</v>
      </c>
      <c r="N861">
        <v>17.42796610169492</v>
      </c>
      <c r="O861">
        <v>2.36</v>
      </c>
      <c r="P861">
        <v>1.44</v>
      </c>
      <c r="Q861">
        <v>0.6101694915254238</v>
      </c>
      <c r="R861">
        <v>1</v>
      </c>
      <c r="S861">
        <v>0.02001586442069092</v>
      </c>
      <c r="T861" t="s">
        <v>917</v>
      </c>
      <c r="U861">
        <v>-0.08109516419533501</v>
      </c>
      <c r="V861" t="s">
        <v>1004</v>
      </c>
      <c r="W861" t="s">
        <v>1008</v>
      </c>
      <c r="X861" t="s">
        <v>1018</v>
      </c>
      <c r="Y861">
        <v>40366.090549</v>
      </c>
      <c r="Z861" s="2">
        <v>45155</v>
      </c>
      <c r="AA861" t="s">
        <v>1021</v>
      </c>
    </row>
    <row r="862" spans="1:27">
      <c r="A862" s="1" t="s">
        <v>887</v>
      </c>
      <c r="B862">
        <f>HYPERLINK("https://www.suredividend.com/sure-analysis-NYMT/","New York Mortgage Trust Inc")</f>
        <v>0</v>
      </c>
      <c r="C862" t="s">
        <v>900</v>
      </c>
      <c r="D862">
        <v>9.050000000000001</v>
      </c>
      <c r="E862">
        <v>9.390000000000001</v>
      </c>
      <c r="F862">
        <v>2.8</v>
      </c>
      <c r="G862">
        <v>3.353571428571429</v>
      </c>
      <c r="H862">
        <v>0.1277955271565495</v>
      </c>
      <c r="I862">
        <v>-0.2149478852665131</v>
      </c>
      <c r="J862">
        <v>0.12</v>
      </c>
      <c r="K862">
        <v>-0.01496652323814218</v>
      </c>
      <c r="L862" t="s">
        <v>642</v>
      </c>
      <c r="M862" t="s">
        <v>580</v>
      </c>
      <c r="N862">
        <v>26.82857142857143</v>
      </c>
      <c r="O862">
        <v>0.35</v>
      </c>
      <c r="P862">
        <v>1.2</v>
      </c>
      <c r="Q862">
        <v>3.428571428571429</v>
      </c>
      <c r="R862">
        <v>0</v>
      </c>
      <c r="S862">
        <v>-0.1507825204757596</v>
      </c>
      <c r="T862" t="s">
        <v>904</v>
      </c>
      <c r="U862">
        <v>-0.030852579367142</v>
      </c>
      <c r="V862" t="s">
        <v>1005</v>
      </c>
      <c r="W862" t="s">
        <v>1008</v>
      </c>
      <c r="X862" t="s">
        <v>1019</v>
      </c>
      <c r="Y862">
        <v>850.453719</v>
      </c>
      <c r="Z862" s="2">
        <v>45149</v>
      </c>
      <c r="AA862" t="s">
        <v>1030</v>
      </c>
    </row>
    <row r="863" spans="1:27">
      <c r="A863" s="1" t="s">
        <v>888</v>
      </c>
      <c r="B863">
        <f>HYPERLINK("https://www.suredividend.com/sure-analysis-SBR/","Sabine Royalty Trust")</f>
        <v>0</v>
      </c>
      <c r="C863" t="s">
        <v>900</v>
      </c>
      <c r="D863">
        <v>63</v>
      </c>
      <c r="E863">
        <v>63.7857</v>
      </c>
      <c r="F863">
        <v>58</v>
      </c>
      <c r="G863">
        <v>1.099753448275862</v>
      </c>
      <c r="H863">
        <v>0.09124302155498804</v>
      </c>
      <c r="I863">
        <v>-0.01883751718410731</v>
      </c>
      <c r="J863">
        <v>-0.09</v>
      </c>
      <c r="K863">
        <v>-0.01778444819658764</v>
      </c>
      <c r="L863" t="s">
        <v>642</v>
      </c>
      <c r="M863" t="s">
        <v>580</v>
      </c>
      <c r="N863">
        <v>10.95974226804124</v>
      </c>
      <c r="O863">
        <v>5.82</v>
      </c>
      <c r="P863">
        <v>5.82</v>
      </c>
      <c r="Q863">
        <v>1</v>
      </c>
      <c r="R863">
        <v>2</v>
      </c>
      <c r="S863">
        <v>-0.09009358251984279</v>
      </c>
      <c r="T863" t="s">
        <v>917</v>
      </c>
      <c r="U863">
        <v>-0.132560481157016</v>
      </c>
      <c r="V863" t="s">
        <v>1004</v>
      </c>
      <c r="W863" t="s">
        <v>1008</v>
      </c>
      <c r="X863" t="s">
        <v>1020</v>
      </c>
      <c r="Y863">
        <v>939.492992</v>
      </c>
      <c r="Z863" s="2">
        <v>45167</v>
      </c>
      <c r="AA863" t="s">
        <v>1022</v>
      </c>
    </row>
    <row r="864" spans="1:27">
      <c r="A864" s="1" t="s">
        <v>889</v>
      </c>
      <c r="B864">
        <f>HYPERLINK("https://www.suredividend.com/sure-analysis-THG/","Hanover Insurance Group Inc")</f>
        <v>0</v>
      </c>
      <c r="C864" t="s">
        <v>900</v>
      </c>
      <c r="D864">
        <v>112</v>
      </c>
      <c r="E864">
        <v>108.82</v>
      </c>
      <c r="F864">
        <v>50</v>
      </c>
      <c r="G864">
        <v>2.1764</v>
      </c>
      <c r="H864">
        <v>0.02977393861422533</v>
      </c>
      <c r="I864">
        <v>-0.1440423917386962</v>
      </c>
      <c r="J864">
        <v>0.08</v>
      </c>
      <c r="K864">
        <v>-0.0288697808686289</v>
      </c>
      <c r="L864" t="s">
        <v>642</v>
      </c>
      <c r="M864" t="s">
        <v>642</v>
      </c>
      <c r="N864">
        <v>32.97575757575758</v>
      </c>
      <c r="O864">
        <v>3.3</v>
      </c>
      <c r="P864">
        <v>3.24</v>
      </c>
      <c r="Q864">
        <v>0.9818181818181819</v>
      </c>
      <c r="R864">
        <v>18</v>
      </c>
      <c r="S864">
        <v>0.07997173304574834</v>
      </c>
      <c r="T864" t="s">
        <v>904</v>
      </c>
      <c r="U864">
        <v>-0.168660405791436</v>
      </c>
      <c r="V864" t="s">
        <v>1004</v>
      </c>
      <c r="W864" t="s">
        <v>1008</v>
      </c>
      <c r="X864" t="s">
        <v>1015</v>
      </c>
      <c r="Y864">
        <v>3893.597096</v>
      </c>
      <c r="Z864" s="2">
        <v>45146</v>
      </c>
      <c r="AA864" t="s">
        <v>1023</v>
      </c>
    </row>
    <row r="865" spans="1:27">
      <c r="A865" s="1" t="s">
        <v>890</v>
      </c>
      <c r="B865">
        <f>HYPERLINK("https://www.suredividend.com/sure-analysis-CRT/","Cross Timbers Royalty Trust")</f>
        <v>0</v>
      </c>
      <c r="C865" t="s">
        <v>900</v>
      </c>
      <c r="D865">
        <v>20</v>
      </c>
      <c r="E865">
        <v>22.5</v>
      </c>
      <c r="F865">
        <v>19</v>
      </c>
      <c r="G865">
        <v>1.184210526315789</v>
      </c>
      <c r="H865">
        <v>0.09555555555555555</v>
      </c>
      <c r="I865">
        <v>-0.03324992025671059</v>
      </c>
      <c r="J865">
        <v>-0.12</v>
      </c>
      <c r="K865">
        <v>-0.04949576481498541</v>
      </c>
      <c r="L865" t="s">
        <v>642</v>
      </c>
      <c r="M865" t="s">
        <v>580</v>
      </c>
      <c r="N865">
        <v>10.46511627906977</v>
      </c>
      <c r="O865">
        <v>2.15</v>
      </c>
      <c r="P865">
        <v>2.15</v>
      </c>
      <c r="Q865">
        <v>1</v>
      </c>
      <c r="R865">
        <v>2</v>
      </c>
      <c r="S865">
        <v>-0.1207183765500486</v>
      </c>
      <c r="T865" t="s">
        <v>925</v>
      </c>
      <c r="U865">
        <v>0.07187621558542601</v>
      </c>
      <c r="V865" t="s">
        <v>1004</v>
      </c>
      <c r="W865" t="s">
        <v>1008</v>
      </c>
      <c r="X865" t="s">
        <v>1020</v>
      </c>
      <c r="Y865">
        <v>133.92</v>
      </c>
      <c r="Z865" s="2">
        <v>45167</v>
      </c>
      <c r="AA865" t="s">
        <v>1022</v>
      </c>
    </row>
    <row r="866" spans="1:27">
      <c r="A866" s="1" t="s">
        <v>891</v>
      </c>
      <c r="B866">
        <f>HYPERLINK("https://www.suredividend.com/sure-analysis-RYN/","Rayonier Inc.")</f>
        <v>0</v>
      </c>
      <c r="C866" t="s">
        <v>900</v>
      </c>
      <c r="D866">
        <v>32</v>
      </c>
      <c r="E866">
        <v>29.715</v>
      </c>
      <c r="F866">
        <v>15</v>
      </c>
      <c r="G866">
        <v>1.981</v>
      </c>
      <c r="H866">
        <v>0.03836446239273094</v>
      </c>
      <c r="I866">
        <v>-0.1277858963856422</v>
      </c>
      <c r="J866">
        <v>0.025</v>
      </c>
      <c r="K866">
        <v>-0.05267399240459625</v>
      </c>
      <c r="L866" t="s">
        <v>642</v>
      </c>
      <c r="M866" t="s">
        <v>825</v>
      </c>
      <c r="N866">
        <v>33.3876404494382</v>
      </c>
      <c r="O866">
        <v>0.89</v>
      </c>
      <c r="P866">
        <v>1.14</v>
      </c>
      <c r="Q866">
        <v>1.280898876404494</v>
      </c>
      <c r="R866">
        <v>1</v>
      </c>
      <c r="S866">
        <v>0</v>
      </c>
      <c r="T866" t="s">
        <v>904</v>
      </c>
      <c r="U866">
        <v>-0.140956321944193</v>
      </c>
      <c r="V866" t="s">
        <v>1005</v>
      </c>
      <c r="W866" t="s">
        <v>1008</v>
      </c>
      <c r="X866" t="s">
        <v>1019</v>
      </c>
      <c r="Y866">
        <v>4456.952853</v>
      </c>
      <c r="Z866" s="2">
        <v>45155</v>
      </c>
      <c r="AA866" t="s">
        <v>1027</v>
      </c>
    </row>
    <row r="867" spans="1:27">
      <c r="A867" s="1" t="s">
        <v>892</v>
      </c>
      <c r="B867">
        <f>HYPERLINK("https://www.suredividend.com/sure-analysis-PETS/","Petmed Express, Inc.")</f>
        <v>0</v>
      </c>
      <c r="C867" t="s">
        <v>900</v>
      </c>
      <c r="D867">
        <v>13</v>
      </c>
      <c r="E867">
        <v>11.35</v>
      </c>
      <c r="F867">
        <v>3</v>
      </c>
      <c r="G867">
        <v>3.783333333333333</v>
      </c>
      <c r="H867">
        <v>0.1162995594713657</v>
      </c>
      <c r="I867">
        <v>-0.2336536758001788</v>
      </c>
      <c r="J867">
        <v>0.05</v>
      </c>
      <c r="K867">
        <v>-0.1087865459977375</v>
      </c>
      <c r="L867" t="s">
        <v>642</v>
      </c>
      <c r="M867" t="s">
        <v>580</v>
      </c>
      <c r="N867">
        <v>70.9375</v>
      </c>
      <c r="O867">
        <v>0.16</v>
      </c>
      <c r="P867">
        <v>1.32</v>
      </c>
      <c r="Q867">
        <v>8.25</v>
      </c>
      <c r="R867">
        <v>13</v>
      </c>
      <c r="S867">
        <v>-0.3011728812284208</v>
      </c>
      <c r="T867" t="s">
        <v>947</v>
      </c>
      <c r="U867">
        <v>-0.459812505831569</v>
      </c>
      <c r="V867" t="s">
        <v>1004</v>
      </c>
      <c r="W867" t="s">
        <v>1008</v>
      </c>
      <c r="X867" t="s">
        <v>1014</v>
      </c>
      <c r="Y867">
        <v>232.862597</v>
      </c>
      <c r="Z867" s="2">
        <v>45155</v>
      </c>
      <c r="AA867" t="s">
        <v>1027</v>
      </c>
    </row>
    <row r="868" spans="1:27">
      <c r="A868" s="1" t="s">
        <v>893</v>
      </c>
      <c r="B868">
        <f>HYPERLINK("https://www.suredividend.com/sure-analysis-PARA/","Paramount Global")</f>
        <v>0</v>
      </c>
      <c r="C868" t="s">
        <v>900</v>
      </c>
      <c r="D868">
        <v>15</v>
      </c>
      <c r="E868">
        <v>13.2701</v>
      </c>
      <c r="F868">
        <v>4.2</v>
      </c>
      <c r="G868">
        <v>3.159547619047619</v>
      </c>
      <c r="H868">
        <v>0.02938937913052652</v>
      </c>
      <c r="I868">
        <v>-0.2055345431230094</v>
      </c>
      <c r="J868">
        <v>0.02</v>
      </c>
      <c r="K868">
        <v>-0.1307103048516628</v>
      </c>
      <c r="L868" t="s">
        <v>642</v>
      </c>
      <c r="M868" t="s">
        <v>642</v>
      </c>
      <c r="N868">
        <v>31.59547619047619</v>
      </c>
      <c r="O868">
        <v>0.42</v>
      </c>
      <c r="P868">
        <v>0.39</v>
      </c>
      <c r="Q868">
        <v>0.9285714285714286</v>
      </c>
      <c r="R868">
        <v>0</v>
      </c>
      <c r="S868">
        <v>0</v>
      </c>
      <c r="T868" t="s">
        <v>912</v>
      </c>
      <c r="U868">
        <v>-0.419748314220676</v>
      </c>
      <c r="V868" t="s">
        <v>1004</v>
      </c>
      <c r="W868" t="s">
        <v>1008</v>
      </c>
      <c r="X868" t="s">
        <v>1017</v>
      </c>
      <c r="Y868">
        <v>8938.448414</v>
      </c>
      <c r="Z868" s="2">
        <v>45155</v>
      </c>
      <c r="AA868" t="s">
        <v>1027</v>
      </c>
    </row>
    <row r="869" spans="1:27">
      <c r="A869" s="1" t="s">
        <v>894</v>
      </c>
      <c r="B869">
        <f>HYPERLINK("https://www.suredividend.com/sure-analysis-PBT/","Permian Basin Royalty Trust")</f>
        <v>0</v>
      </c>
      <c r="C869" t="s">
        <v>900</v>
      </c>
      <c r="D869">
        <v>20</v>
      </c>
      <c r="E869">
        <v>21.06</v>
      </c>
      <c r="F869">
        <v>5.2</v>
      </c>
      <c r="G869">
        <v>4.05</v>
      </c>
      <c r="H869">
        <v>0.01899335232668566</v>
      </c>
      <c r="I869">
        <v>-0.2440222815779819</v>
      </c>
      <c r="J869">
        <v>0.03</v>
      </c>
      <c r="K869">
        <v>-0.1718239079538998</v>
      </c>
      <c r="L869" t="s">
        <v>642</v>
      </c>
      <c r="M869" t="s">
        <v>642</v>
      </c>
      <c r="N869">
        <v>52.64999999999999</v>
      </c>
      <c r="O869">
        <v>0.4</v>
      </c>
      <c r="P869">
        <v>0.4</v>
      </c>
      <c r="Q869">
        <v>1</v>
      </c>
      <c r="R869">
        <v>1</v>
      </c>
      <c r="S869">
        <v>0.02834672210021361</v>
      </c>
      <c r="T869" t="s">
        <v>925</v>
      </c>
      <c r="U869">
        <v>0.271211741243625</v>
      </c>
      <c r="V869" t="s">
        <v>1004</v>
      </c>
      <c r="W869" t="s">
        <v>1008</v>
      </c>
      <c r="X869" t="s">
        <v>1020</v>
      </c>
      <c r="Y869">
        <v>992.3012670000001</v>
      </c>
      <c r="Z869" s="2">
        <v>45167</v>
      </c>
      <c r="AA869" t="s">
        <v>1022</v>
      </c>
    </row>
    <row r="870" spans="1:27">
      <c r="A870" s="1" t="s">
        <v>895</v>
      </c>
      <c r="B870">
        <f>HYPERLINK("https://www.suredividend.com/sure-analysis-HBI/","Hanesbrands Inc")</f>
        <v>0</v>
      </c>
      <c r="C870" t="s">
        <v>898</v>
      </c>
      <c r="D870">
        <v>6</v>
      </c>
      <c r="E870">
        <v>4.55</v>
      </c>
      <c r="F870">
        <v>3.6</v>
      </c>
      <c r="G870">
        <v>1.263888888888889</v>
      </c>
      <c r="H870">
        <v>0</v>
      </c>
      <c r="I870">
        <v>-0.04575867422987723</v>
      </c>
      <c r="J870">
        <v>0.25</v>
      </c>
      <c r="K870">
        <v>0.1928016572126536</v>
      </c>
      <c r="L870" t="s">
        <v>903</v>
      </c>
      <c r="M870" t="s">
        <v>903</v>
      </c>
      <c r="N870">
        <v>12.63888888888889</v>
      </c>
      <c r="O870">
        <v>0.36</v>
      </c>
      <c r="P870">
        <v>0</v>
      </c>
      <c r="Q870">
        <v>0</v>
      </c>
      <c r="R870">
        <v>0</v>
      </c>
      <c r="S870">
        <v>0.04008374958398786</v>
      </c>
      <c r="T870" t="s">
        <v>1002</v>
      </c>
      <c r="U870">
        <v>-0.4925173299933051</v>
      </c>
      <c r="V870" t="s">
        <v>1004</v>
      </c>
      <c r="W870" t="s">
        <v>1008</v>
      </c>
      <c r="X870" t="s">
        <v>1013</v>
      </c>
      <c r="Y870">
        <v>1644.467142</v>
      </c>
      <c r="Z870" s="2">
        <v>44965</v>
      </c>
      <c r="AA870" t="s">
        <v>1022</v>
      </c>
    </row>
    <row r="871" spans="1:27">
      <c r="A871" s="1" t="s">
        <v>896</v>
      </c>
      <c r="B871">
        <f>HYPERLINK("https://www.suredividend.com/sure-analysis-HGTXU/","Hugoton Royalty Trust")</f>
        <v>0</v>
      </c>
      <c r="C871" t="s">
        <v>899</v>
      </c>
      <c r="D871">
        <v>0.76</v>
      </c>
      <c r="E871">
        <v>0.72</v>
      </c>
      <c r="F871">
        <v>1.96</v>
      </c>
      <c r="G871">
        <v>0.3673469387755102</v>
      </c>
      <c r="H871">
        <v>0</v>
      </c>
      <c r="I871">
        <v>0.2217566596243947</v>
      </c>
      <c r="J871">
        <v>-0.07000000000000001</v>
      </c>
      <c r="K871">
        <v>0.1362336934506871</v>
      </c>
      <c r="L871" t="s">
        <v>903</v>
      </c>
      <c r="M871" t="s">
        <v>903</v>
      </c>
      <c r="N871">
        <v>2.571428571428571</v>
      </c>
      <c r="O871">
        <v>0.28</v>
      </c>
      <c r="P871">
        <v>0</v>
      </c>
      <c r="Q871">
        <v>0</v>
      </c>
      <c r="R871">
        <v>0</v>
      </c>
      <c r="S871">
        <v>0.05061112176150684</v>
      </c>
      <c r="T871" t="s">
        <v>911</v>
      </c>
      <c r="U871">
        <v>-0.751700680272108</v>
      </c>
      <c r="V871" t="s">
        <v>1004</v>
      </c>
      <c r="W871" t="s">
        <v>1008</v>
      </c>
      <c r="X871" t="s">
        <v>1020</v>
      </c>
      <c r="Y871">
        <v>29.2</v>
      </c>
      <c r="Z871" s="2">
        <v>45167</v>
      </c>
      <c r="AA871" t="s">
        <v>1022</v>
      </c>
    </row>
    <row r="872" spans="1:27">
      <c r="A872" s="1" t="s">
        <v>897</v>
      </c>
      <c r="B872">
        <f>HYPERLINK("https://www.suredividend.com/sure-analysis-ZIM/","Zim Integrated Shipping Services Ltd")</f>
        <v>0</v>
      </c>
      <c r="C872" t="s">
        <v>898</v>
      </c>
      <c r="D872">
        <v>12.3</v>
      </c>
      <c r="E872">
        <v>11.28</v>
      </c>
      <c r="F872">
        <v>14</v>
      </c>
      <c r="G872">
        <v>0.8057142857142857</v>
      </c>
      <c r="H872">
        <v>0</v>
      </c>
      <c r="I872">
        <v>0.04415215033351716</v>
      </c>
      <c r="J872">
        <v>0</v>
      </c>
      <c r="K872">
        <v>0.1213577249020852</v>
      </c>
      <c r="L872" t="s">
        <v>903</v>
      </c>
      <c r="M872" t="s">
        <v>903</v>
      </c>
      <c r="N872">
        <v>2.82</v>
      </c>
      <c r="O872">
        <v>4</v>
      </c>
      <c r="P872">
        <v>0</v>
      </c>
      <c r="Q872">
        <v>0</v>
      </c>
      <c r="R872">
        <v>0</v>
      </c>
      <c r="S872">
        <v>0.01111384065820276</v>
      </c>
      <c r="T872" t="s">
        <v>1003</v>
      </c>
      <c r="U872">
        <v>-0.4455719777464721</v>
      </c>
      <c r="V872" t="s">
        <v>1004</v>
      </c>
      <c r="W872" t="s">
        <v>1009</v>
      </c>
      <c r="X872" t="s">
        <v>1012</v>
      </c>
      <c r="Y872">
        <v>1395.337378</v>
      </c>
      <c r="Z872" s="2">
        <v>45159</v>
      </c>
      <c r="AA872" t="s">
        <v>1032</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1017</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1015</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1014</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1018</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571</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846</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764</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765</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750</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743</v>
      </c>
      <c r="B244" t="s">
        <v>10255</v>
      </c>
    </row>
    <row r="245" spans="1:2">
      <c r="A245" s="1" t="s">
        <v>1306</v>
      </c>
      <c r="B245" t="s">
        <v>10296</v>
      </c>
    </row>
    <row r="246" spans="1:2">
      <c r="A246" s="1" t="s">
        <v>856</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811</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666</v>
      </c>
      <c r="B272" t="s">
        <v>10264</v>
      </c>
    </row>
    <row r="273" spans="1:2">
      <c r="A273" s="1" t="s">
        <v>692</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831</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726</v>
      </c>
      <c r="B293" t="s">
        <v>10265</v>
      </c>
    </row>
    <row r="294" spans="1:2">
      <c r="A294" s="1" t="s">
        <v>573</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599</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735</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863</v>
      </c>
      <c r="B329" t="s">
        <v>10262</v>
      </c>
    </row>
    <row r="330" spans="1:2">
      <c r="A330" s="1" t="s">
        <v>746</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771</v>
      </c>
      <c r="B341" t="s">
        <v>10319</v>
      </c>
    </row>
    <row r="342" spans="1:2">
      <c r="A342" s="1" t="s">
        <v>819</v>
      </c>
      <c r="B342" t="s">
        <v>10320</v>
      </c>
    </row>
    <row r="343" spans="1:2">
      <c r="A343" s="1" t="s">
        <v>747</v>
      </c>
      <c r="B343" t="s">
        <v>10286</v>
      </c>
    </row>
    <row r="344" spans="1:2">
      <c r="A344" s="1" t="s">
        <v>473</v>
      </c>
      <c r="B344" t="s">
        <v>10253</v>
      </c>
    </row>
    <row r="345" spans="1:2">
      <c r="A345" s="1" t="s">
        <v>1389</v>
      </c>
      <c r="B345" t="s">
        <v>10321</v>
      </c>
    </row>
    <row r="346" spans="1:2">
      <c r="A346" s="1" t="s">
        <v>434</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288</v>
      </c>
      <c r="B351" t="s">
        <v>10280</v>
      </c>
    </row>
    <row r="352" spans="1:2">
      <c r="A352" s="1" t="s">
        <v>1394</v>
      </c>
      <c r="B352" t="s">
        <v>10283</v>
      </c>
    </row>
    <row r="353" spans="1:2">
      <c r="A353" s="1" t="s">
        <v>1395</v>
      </c>
      <c r="B353" t="s">
        <v>10324</v>
      </c>
    </row>
    <row r="354" spans="1:2">
      <c r="A354" s="1" t="s">
        <v>412</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740</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788</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830</v>
      </c>
      <c r="B382" t="s">
        <v>10261</v>
      </c>
    </row>
    <row r="383" spans="1:2">
      <c r="A383" s="1" t="s">
        <v>1420</v>
      </c>
      <c r="B383" t="s">
        <v>10261</v>
      </c>
    </row>
    <row r="384" spans="1:2">
      <c r="A384" s="1" t="s">
        <v>1421</v>
      </c>
      <c r="B384" t="s">
        <v>10245</v>
      </c>
    </row>
    <row r="385" spans="1:2">
      <c r="A385" s="1" t="s">
        <v>752</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732</v>
      </c>
      <c r="B412" t="s">
        <v>10260</v>
      </c>
    </row>
    <row r="413" spans="1:2">
      <c r="A413" s="1" t="s">
        <v>1447</v>
      </c>
      <c r="B413" t="s">
        <v>10245</v>
      </c>
    </row>
    <row r="414" spans="1:2">
      <c r="A414" s="1" t="s">
        <v>783</v>
      </c>
      <c r="B414" t="s">
        <v>10298</v>
      </c>
    </row>
    <row r="415" spans="1:2">
      <c r="A415" s="1" t="s">
        <v>1448</v>
      </c>
      <c r="B415" t="s">
        <v>10290</v>
      </c>
    </row>
    <row r="416" spans="1:2">
      <c r="A416" s="1" t="s">
        <v>807</v>
      </c>
      <c r="B416" t="s">
        <v>10265</v>
      </c>
    </row>
    <row r="417" spans="1:2">
      <c r="A417" s="1" t="s">
        <v>1449</v>
      </c>
      <c r="B417" t="s">
        <v>10308</v>
      </c>
    </row>
    <row r="418" spans="1:2">
      <c r="A418" s="1" t="s">
        <v>1450</v>
      </c>
      <c r="B418" t="s">
        <v>10261</v>
      </c>
    </row>
    <row r="419" spans="1:2">
      <c r="A419" s="1" t="s">
        <v>767</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751</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760</v>
      </c>
      <c r="B437" t="s">
        <v>10271</v>
      </c>
    </row>
    <row r="438" spans="1:2">
      <c r="A438" s="1" t="s">
        <v>1467</v>
      </c>
      <c r="B438" t="s">
        <v>10261</v>
      </c>
    </row>
    <row r="439" spans="1:2">
      <c r="A439" s="1" t="s">
        <v>501</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690</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801</v>
      </c>
      <c r="B456" t="s">
        <v>10295</v>
      </c>
    </row>
    <row r="457" spans="1:2">
      <c r="A457" s="1" t="s">
        <v>1483</v>
      </c>
      <c r="B457" t="s">
        <v>10271</v>
      </c>
    </row>
    <row r="458" spans="1:2">
      <c r="A458" s="1" t="s">
        <v>1484</v>
      </c>
      <c r="B458" t="s">
        <v>10251</v>
      </c>
    </row>
    <row r="459" spans="1:2">
      <c r="A459" s="1" t="s">
        <v>1485</v>
      </c>
      <c r="B459" t="s">
        <v>10298</v>
      </c>
    </row>
    <row r="460" spans="1:2">
      <c r="A460" s="1" t="s">
        <v>647</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762</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409</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816</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793</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654</v>
      </c>
      <c r="B561" t="s">
        <v>10298</v>
      </c>
    </row>
    <row r="562" spans="1:2">
      <c r="A562" s="1" t="s">
        <v>822</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766</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769</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741</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806</v>
      </c>
      <c r="B612" t="s">
        <v>10324</v>
      </c>
    </row>
    <row r="613" spans="1:2">
      <c r="A613" s="1" t="s">
        <v>1628</v>
      </c>
      <c r="B613" t="s">
        <v>10252</v>
      </c>
    </row>
    <row r="614" spans="1:2">
      <c r="A614" s="1" t="s">
        <v>853</v>
      </c>
      <c r="B614" t="s">
        <v>10245</v>
      </c>
    </row>
    <row r="615" spans="1:2">
      <c r="A615" s="1" t="s">
        <v>1629</v>
      </c>
      <c r="B615" t="s">
        <v>10277</v>
      </c>
    </row>
    <row r="616" spans="1:2">
      <c r="A616" s="1" t="s">
        <v>1630</v>
      </c>
      <c r="B616" t="s">
        <v>10283</v>
      </c>
    </row>
    <row r="617" spans="1:2">
      <c r="A617" s="1" t="s">
        <v>848</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785</v>
      </c>
      <c r="B622" t="s">
        <v>10298</v>
      </c>
    </row>
    <row r="623" spans="1:2">
      <c r="A623" s="1" t="s">
        <v>1635</v>
      </c>
      <c r="B623" t="s">
        <v>10269</v>
      </c>
    </row>
    <row r="624" spans="1:2">
      <c r="A624" s="1" t="s">
        <v>1636</v>
      </c>
      <c r="B624" t="s">
        <v>10326</v>
      </c>
    </row>
    <row r="625" spans="1:2">
      <c r="A625" s="1" t="s">
        <v>1637</v>
      </c>
      <c r="B625" t="s">
        <v>10261</v>
      </c>
    </row>
    <row r="626" spans="1:2">
      <c r="A626" s="1" t="s">
        <v>546</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638</v>
      </c>
      <c r="B647" t="s">
        <v>10271</v>
      </c>
    </row>
    <row r="648" spans="1:2">
      <c r="A648" s="1" t="s">
        <v>1658</v>
      </c>
      <c r="B648" t="s">
        <v>903</v>
      </c>
    </row>
    <row r="649" spans="1:2">
      <c r="A649" s="1" t="s">
        <v>753</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590</v>
      </c>
      <c r="B681" t="s">
        <v>10253</v>
      </c>
    </row>
    <row r="682" spans="1:2">
      <c r="A682" s="1" t="s">
        <v>1690</v>
      </c>
      <c r="B682" t="s">
        <v>10308</v>
      </c>
    </row>
    <row r="683" spans="1:2">
      <c r="A683" s="1" t="s">
        <v>1691</v>
      </c>
      <c r="B683" t="s">
        <v>10355</v>
      </c>
    </row>
    <row r="684" spans="1:2">
      <c r="A684" s="1" t="s">
        <v>1692</v>
      </c>
      <c r="B684" t="s">
        <v>10298</v>
      </c>
    </row>
    <row r="685" spans="1:2">
      <c r="A685" s="1" t="s">
        <v>427</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884</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878</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843</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842</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486</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798</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595</v>
      </c>
      <c r="B851" t="s">
        <v>10286</v>
      </c>
    </row>
    <row r="852" spans="1:2">
      <c r="A852" s="1" t="s">
        <v>1851</v>
      </c>
      <c r="B852" t="s">
        <v>10265</v>
      </c>
    </row>
    <row r="853" spans="1:2">
      <c r="A853" s="1" t="s">
        <v>1852</v>
      </c>
      <c r="B853" t="s">
        <v>10265</v>
      </c>
    </row>
    <row r="854" spans="1:2">
      <c r="A854" s="1" t="s">
        <v>824</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841</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818</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865</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374</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629</v>
      </c>
      <c r="B1004" t="s">
        <v>10265</v>
      </c>
    </row>
    <row r="1005" spans="1:2">
      <c r="A1005" s="1" t="s">
        <v>1997</v>
      </c>
      <c r="B1005" t="s">
        <v>10284</v>
      </c>
    </row>
    <row r="1006" spans="1:2">
      <c r="A1006" s="1" t="s">
        <v>659</v>
      </c>
      <c r="B1006" t="s">
        <v>10308</v>
      </c>
    </row>
    <row r="1007" spans="1:2">
      <c r="A1007" s="1" t="s">
        <v>1998</v>
      </c>
      <c r="B1007" t="s">
        <v>10377</v>
      </c>
    </row>
    <row r="1008" spans="1:2">
      <c r="A1008" s="1" t="s">
        <v>1999</v>
      </c>
      <c r="B1008" t="s">
        <v>10255</v>
      </c>
    </row>
    <row r="1009" spans="1:2">
      <c r="A1009" s="1" t="s">
        <v>2000</v>
      </c>
      <c r="B1009" t="s">
        <v>10266</v>
      </c>
    </row>
    <row r="1010" spans="1:2">
      <c r="A1010" s="1" t="s">
        <v>832</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691</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772</v>
      </c>
      <c r="B1034" t="s">
        <v>10265</v>
      </c>
    </row>
    <row r="1035" spans="1:2">
      <c r="A1035" s="1" t="s">
        <v>2023</v>
      </c>
      <c r="B1035" t="s">
        <v>10364</v>
      </c>
    </row>
    <row r="1036" spans="1:2">
      <c r="A1036" s="1" t="s">
        <v>2024</v>
      </c>
      <c r="B1036" t="s">
        <v>10323</v>
      </c>
    </row>
    <row r="1037" spans="1:2">
      <c r="A1037" s="1" t="s">
        <v>860</v>
      </c>
      <c r="B1037" t="s">
        <v>10298</v>
      </c>
    </row>
    <row r="1038" spans="1:2">
      <c r="A1038" s="1" t="s">
        <v>2025</v>
      </c>
      <c r="B1038" t="s">
        <v>10298</v>
      </c>
    </row>
    <row r="1039" spans="1:2">
      <c r="A1039" s="1" t="s">
        <v>2026</v>
      </c>
      <c r="B1039" t="s">
        <v>10298</v>
      </c>
    </row>
    <row r="1040" spans="1:2">
      <c r="A1040" s="1" t="s">
        <v>661</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224</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813</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516</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758</v>
      </c>
      <c r="B1079" t="s">
        <v>10385</v>
      </c>
    </row>
    <row r="1080" spans="1:2">
      <c r="A1080" s="1" t="s">
        <v>301</v>
      </c>
      <c r="B1080" t="s">
        <v>10253</v>
      </c>
    </row>
    <row r="1081" spans="1:2">
      <c r="A1081" s="1" t="s">
        <v>2062</v>
      </c>
      <c r="B1081" t="s">
        <v>10364</v>
      </c>
    </row>
    <row r="1082" spans="1:2">
      <c r="A1082" s="1" t="s">
        <v>2063</v>
      </c>
      <c r="B1082" t="s">
        <v>10287</v>
      </c>
    </row>
    <row r="1083" spans="1:2">
      <c r="A1083" s="1" t="s">
        <v>757</v>
      </c>
      <c r="B1083" t="s">
        <v>10298</v>
      </c>
    </row>
    <row r="1084" spans="1:2">
      <c r="A1084" s="1" t="s">
        <v>2064</v>
      </c>
      <c r="B1084" t="s">
        <v>10308</v>
      </c>
    </row>
    <row r="1085" spans="1:2">
      <c r="A1085" s="1" t="s">
        <v>2065</v>
      </c>
      <c r="B1085" t="s">
        <v>903</v>
      </c>
    </row>
    <row r="1086" spans="1:2">
      <c r="A1086" s="1" t="s">
        <v>675</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637</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583</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268</v>
      </c>
      <c r="B1150" t="s">
        <v>10262</v>
      </c>
    </row>
    <row r="1151" spans="1:2">
      <c r="A1151" s="1" t="s">
        <v>2127</v>
      </c>
      <c r="B1151" t="s">
        <v>10251</v>
      </c>
    </row>
    <row r="1152" spans="1:2">
      <c r="A1152" s="1" t="s">
        <v>2128</v>
      </c>
      <c r="B1152" t="s">
        <v>10260</v>
      </c>
    </row>
    <row r="1153" spans="1:2">
      <c r="A1153" s="1" t="s">
        <v>642</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403</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483</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874</v>
      </c>
      <c r="B1224" t="s">
        <v>10395</v>
      </c>
    </row>
    <row r="1225" spans="1:2">
      <c r="A1225" s="1" t="s">
        <v>2197</v>
      </c>
      <c r="B1225" t="s">
        <v>10263</v>
      </c>
    </row>
    <row r="1226" spans="1:2">
      <c r="A1226" s="1" t="s">
        <v>2198</v>
      </c>
      <c r="B1226" t="s">
        <v>10255</v>
      </c>
    </row>
    <row r="1227" spans="1:2">
      <c r="A1227" s="1" t="s">
        <v>411</v>
      </c>
      <c r="B1227" t="s">
        <v>10280</v>
      </c>
    </row>
    <row r="1228" spans="1:2">
      <c r="A1228" s="1" t="s">
        <v>2199</v>
      </c>
      <c r="B1228" t="s">
        <v>10390</v>
      </c>
    </row>
    <row r="1229" spans="1:2">
      <c r="A1229" s="1" t="s">
        <v>2200</v>
      </c>
      <c r="B1229" t="s">
        <v>10298</v>
      </c>
    </row>
    <row r="1230" spans="1:2">
      <c r="A1230" s="1" t="s">
        <v>2201</v>
      </c>
      <c r="B1230" t="s">
        <v>10245</v>
      </c>
    </row>
    <row r="1231" spans="1:2">
      <c r="A1231" s="1" t="s">
        <v>809</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676</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858</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738</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802</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873</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211</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876</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787</v>
      </c>
      <c r="B1408" t="s">
        <v>10347</v>
      </c>
    </row>
    <row r="1409" spans="1:2">
      <c r="A1409" s="1" t="s">
        <v>2371</v>
      </c>
      <c r="B1409" t="s">
        <v>10284</v>
      </c>
    </row>
    <row r="1410" spans="1:2">
      <c r="A1410" s="1" t="s">
        <v>2372</v>
      </c>
      <c r="B1410" t="s">
        <v>10260</v>
      </c>
    </row>
    <row r="1411" spans="1:2">
      <c r="A1411" s="1" t="s">
        <v>613</v>
      </c>
      <c r="B1411" t="s">
        <v>10260</v>
      </c>
    </row>
    <row r="1412" spans="1:2">
      <c r="A1412" s="1" t="s">
        <v>2373</v>
      </c>
      <c r="B1412" t="s">
        <v>10255</v>
      </c>
    </row>
    <row r="1413" spans="1:2">
      <c r="A1413" s="1" t="s">
        <v>794</v>
      </c>
      <c r="B1413" t="s">
        <v>10295</v>
      </c>
    </row>
    <row r="1414" spans="1:2">
      <c r="A1414" s="1" t="s">
        <v>2374</v>
      </c>
      <c r="B1414" t="s">
        <v>10302</v>
      </c>
    </row>
    <row r="1415" spans="1:2">
      <c r="A1415" s="1" t="s">
        <v>2375</v>
      </c>
      <c r="B1415" t="s">
        <v>10262</v>
      </c>
    </row>
    <row r="1416" spans="1:2">
      <c r="A1416" s="1" t="s">
        <v>2376</v>
      </c>
      <c r="B1416" t="s">
        <v>10283</v>
      </c>
    </row>
    <row r="1417" spans="1:2">
      <c r="A1417" s="1" t="s">
        <v>582</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628</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812</v>
      </c>
      <c r="B1499" t="s">
        <v>10255</v>
      </c>
    </row>
    <row r="1500" spans="1:2">
      <c r="A1500" s="1" t="s">
        <v>2457</v>
      </c>
      <c r="B1500" t="s">
        <v>903</v>
      </c>
    </row>
    <row r="1501" spans="1:2">
      <c r="A1501" s="1" t="s">
        <v>232</v>
      </c>
      <c r="B1501" t="s">
        <v>10255</v>
      </c>
    </row>
    <row r="1502" spans="1:2">
      <c r="A1502" s="1" t="s">
        <v>879</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480</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438</v>
      </c>
      <c r="B1518" t="s">
        <v>10299</v>
      </c>
    </row>
    <row r="1519" spans="1:2">
      <c r="A1519" s="1" t="s">
        <v>2472</v>
      </c>
      <c r="B1519" t="s">
        <v>10255</v>
      </c>
    </row>
    <row r="1520" spans="1:2">
      <c r="A1520" s="1" t="s">
        <v>2473</v>
      </c>
      <c r="B1520" t="s">
        <v>10326</v>
      </c>
    </row>
    <row r="1521" spans="1:2">
      <c r="A1521" s="1" t="s">
        <v>2474</v>
      </c>
      <c r="B1521" t="s">
        <v>10287</v>
      </c>
    </row>
    <row r="1522" spans="1:2">
      <c r="A1522" s="1" t="s">
        <v>869</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263</v>
      </c>
      <c r="B1530" t="s">
        <v>10279</v>
      </c>
    </row>
    <row r="1531" spans="1:2">
      <c r="A1531" s="1" t="s">
        <v>2482</v>
      </c>
      <c r="B1531" t="s">
        <v>10425</v>
      </c>
    </row>
    <row r="1532" spans="1:2">
      <c r="A1532" s="1" t="s">
        <v>2483</v>
      </c>
      <c r="B1532" t="s">
        <v>10378</v>
      </c>
    </row>
    <row r="1533" spans="1:2">
      <c r="A1533" s="1" t="s">
        <v>2484</v>
      </c>
      <c r="B1533" t="s">
        <v>903</v>
      </c>
    </row>
    <row r="1534" spans="1:2">
      <c r="A1534" s="1" t="s">
        <v>489</v>
      </c>
      <c r="B1534" t="s">
        <v>10303</v>
      </c>
    </row>
    <row r="1535" spans="1:2">
      <c r="A1535" s="1" t="s">
        <v>2485</v>
      </c>
      <c r="B1535" t="s">
        <v>903</v>
      </c>
    </row>
    <row r="1536" spans="1:2">
      <c r="A1536" s="1" t="s">
        <v>2486</v>
      </c>
      <c r="B1536" t="s">
        <v>10245</v>
      </c>
    </row>
    <row r="1537" spans="1:2">
      <c r="A1537" s="1" t="s">
        <v>773</v>
      </c>
      <c r="B1537" t="s">
        <v>10298</v>
      </c>
    </row>
    <row r="1538" spans="1:2">
      <c r="A1538" s="1" t="s">
        <v>2487</v>
      </c>
      <c r="B1538" t="s">
        <v>10263</v>
      </c>
    </row>
    <row r="1539" spans="1:2">
      <c r="A1539" s="1" t="s">
        <v>2488</v>
      </c>
      <c r="B1539" t="s">
        <v>10425</v>
      </c>
    </row>
    <row r="1540" spans="1:2">
      <c r="A1540" s="1" t="s">
        <v>421</v>
      </c>
      <c r="B1540" t="s">
        <v>10298</v>
      </c>
    </row>
    <row r="1541" spans="1:2">
      <c r="A1541" s="1" t="s">
        <v>2489</v>
      </c>
      <c r="B1541" t="s">
        <v>10340</v>
      </c>
    </row>
    <row r="1542" spans="1:2">
      <c r="A1542" s="1" t="s">
        <v>2490</v>
      </c>
      <c r="B1542" t="s">
        <v>10260</v>
      </c>
    </row>
    <row r="1543" spans="1:2">
      <c r="A1543" s="1" t="s">
        <v>203</v>
      </c>
      <c r="B1543" t="s">
        <v>10279</v>
      </c>
    </row>
    <row r="1544" spans="1:2">
      <c r="A1544" s="1" t="s">
        <v>870</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610</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655</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551</v>
      </c>
      <c r="B1594" t="s">
        <v>10264</v>
      </c>
    </row>
    <row r="1595" spans="1:2">
      <c r="A1595" s="1" t="s">
        <v>2537</v>
      </c>
      <c r="B1595" t="s">
        <v>10244</v>
      </c>
    </row>
    <row r="1596" spans="1:2">
      <c r="A1596" s="1" t="s">
        <v>2538</v>
      </c>
      <c r="B1596" t="s">
        <v>10287</v>
      </c>
    </row>
    <row r="1597" spans="1:2">
      <c r="A1597" s="1" t="s">
        <v>2539</v>
      </c>
      <c r="B1597" t="s">
        <v>10395</v>
      </c>
    </row>
    <row r="1598" spans="1:2">
      <c r="A1598" s="1" t="s">
        <v>179</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799</v>
      </c>
      <c r="B1604" t="s">
        <v>10408</v>
      </c>
    </row>
    <row r="1605" spans="1:2">
      <c r="A1605" s="1" t="s">
        <v>479</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567</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216</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803</v>
      </c>
      <c r="B1644" t="s">
        <v>10298</v>
      </c>
    </row>
    <row r="1645" spans="1:2">
      <c r="A1645" s="1" t="s">
        <v>2581</v>
      </c>
      <c r="B1645" t="s">
        <v>10267</v>
      </c>
    </row>
    <row r="1646" spans="1:2">
      <c r="A1646" s="1" t="s">
        <v>786</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745</v>
      </c>
      <c r="B1651" t="s">
        <v>10295</v>
      </c>
    </row>
    <row r="1652" spans="1:2">
      <c r="A1652" s="1" t="s">
        <v>2586</v>
      </c>
      <c r="B1652" t="s">
        <v>10436</v>
      </c>
    </row>
    <row r="1653" spans="1:2">
      <c r="A1653" s="1" t="s">
        <v>882</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847</v>
      </c>
      <c r="B1662" t="s">
        <v>10420</v>
      </c>
    </row>
    <row r="1663" spans="1:2">
      <c r="A1663" s="1" t="s">
        <v>2595</v>
      </c>
      <c r="B1663" t="s">
        <v>10262</v>
      </c>
    </row>
    <row r="1664" spans="1:2">
      <c r="A1664" s="1" t="s">
        <v>2596</v>
      </c>
      <c r="B1664" t="s">
        <v>10245</v>
      </c>
    </row>
    <row r="1665" spans="1:2">
      <c r="A1665" s="1" t="s">
        <v>2597</v>
      </c>
      <c r="B1665" t="s">
        <v>10264</v>
      </c>
    </row>
    <row r="1666" spans="1:2">
      <c r="A1666" s="1" t="s">
        <v>600</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560</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704</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834</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196</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622</v>
      </c>
      <c r="B1748" t="s">
        <v>10432</v>
      </c>
    </row>
    <row r="1749" spans="1:2">
      <c r="A1749" s="1" t="s">
        <v>2673</v>
      </c>
      <c r="B1749" t="s">
        <v>10403</v>
      </c>
    </row>
    <row r="1750" spans="1:2">
      <c r="A1750" s="1" t="s">
        <v>2674</v>
      </c>
      <c r="B1750" t="s">
        <v>10340</v>
      </c>
    </row>
    <row r="1751" spans="1:2">
      <c r="A1751" s="1" t="s">
        <v>463</v>
      </c>
      <c r="B1751" t="s">
        <v>10253</v>
      </c>
    </row>
    <row r="1752" spans="1:2">
      <c r="A1752" s="1" t="s">
        <v>698</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867</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221</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686</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394</v>
      </c>
      <c r="B1819" t="s">
        <v>10334</v>
      </c>
    </row>
    <row r="1820" spans="1:2">
      <c r="A1820" s="1" t="s">
        <v>2738</v>
      </c>
      <c r="B1820" t="s">
        <v>10313</v>
      </c>
    </row>
    <row r="1821" spans="1:2">
      <c r="A1821" s="1" t="s">
        <v>2739</v>
      </c>
      <c r="B1821" t="s">
        <v>10298</v>
      </c>
    </row>
    <row r="1822" spans="1:2">
      <c r="A1822" s="1" t="s">
        <v>657</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632</v>
      </c>
      <c r="B1827" t="s">
        <v>10250</v>
      </c>
    </row>
    <row r="1828" spans="1:2">
      <c r="A1828" s="1" t="s">
        <v>2744</v>
      </c>
      <c r="B1828" t="s">
        <v>10264</v>
      </c>
    </row>
    <row r="1829" spans="1:2">
      <c r="A1829" s="1" t="s">
        <v>353</v>
      </c>
      <c r="B1829" t="s">
        <v>10343</v>
      </c>
    </row>
    <row r="1830" spans="1:2">
      <c r="A1830" s="1" t="s">
        <v>2745</v>
      </c>
      <c r="B1830" t="s">
        <v>10375</v>
      </c>
    </row>
    <row r="1831" spans="1:2">
      <c r="A1831" s="1" t="s">
        <v>2746</v>
      </c>
      <c r="B1831" t="s">
        <v>10244</v>
      </c>
    </row>
    <row r="1832" spans="1:2">
      <c r="A1832" s="1" t="s">
        <v>2747</v>
      </c>
      <c r="B1832" t="s">
        <v>10283</v>
      </c>
    </row>
    <row r="1833" spans="1:2">
      <c r="A1833" s="1" t="s">
        <v>724</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780</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624</v>
      </c>
      <c r="B1887" t="s">
        <v>10255</v>
      </c>
    </row>
    <row r="1888" spans="1:2">
      <c r="A1888" s="1" t="s">
        <v>2800</v>
      </c>
      <c r="B1888" t="s">
        <v>10261</v>
      </c>
    </row>
    <row r="1889" spans="1:2">
      <c r="A1889" s="1" t="s">
        <v>2801</v>
      </c>
      <c r="B1889" t="s">
        <v>10447</v>
      </c>
    </row>
    <row r="1890" spans="1:2">
      <c r="A1890" s="1" t="s">
        <v>2802</v>
      </c>
      <c r="B1890" t="s">
        <v>10385</v>
      </c>
    </row>
    <row r="1891" spans="1:2">
      <c r="A1891" s="1" t="s">
        <v>643</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481</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849</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796</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727</v>
      </c>
      <c r="B1969" t="s">
        <v>10260</v>
      </c>
    </row>
    <row r="1970" spans="1:2">
      <c r="A1970" s="1" t="s">
        <v>2876</v>
      </c>
      <c r="B1970" t="s">
        <v>10304</v>
      </c>
    </row>
    <row r="1971" spans="1:2">
      <c r="A1971" s="1" t="s">
        <v>2877</v>
      </c>
      <c r="B1971" t="s">
        <v>10255</v>
      </c>
    </row>
    <row r="1972" spans="1:2">
      <c r="A1972" s="1" t="s">
        <v>537</v>
      </c>
      <c r="B1972" t="s">
        <v>10283</v>
      </c>
    </row>
    <row r="1973" spans="1:2">
      <c r="A1973" s="1" t="s">
        <v>2878</v>
      </c>
      <c r="B1973" t="s">
        <v>10298</v>
      </c>
    </row>
    <row r="1974" spans="1:2">
      <c r="A1974" s="1" t="s">
        <v>2879</v>
      </c>
      <c r="B1974" t="s">
        <v>10252</v>
      </c>
    </row>
    <row r="1975" spans="1:2">
      <c r="A1975" s="1" t="s">
        <v>673</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825</v>
      </c>
      <c r="B2016" t="s">
        <v>10261</v>
      </c>
    </row>
    <row r="2017" spans="1:2">
      <c r="A2017" s="1" t="s">
        <v>2920</v>
      </c>
      <c r="B2017" t="s">
        <v>10255</v>
      </c>
    </row>
    <row r="2018" spans="1:2">
      <c r="A2018" s="1" t="s">
        <v>2921</v>
      </c>
      <c r="B2018" t="s">
        <v>10326</v>
      </c>
    </row>
    <row r="2019" spans="1:2">
      <c r="A2019" s="1" t="s">
        <v>562</v>
      </c>
      <c r="B2019" t="s">
        <v>10265</v>
      </c>
    </row>
    <row r="2020" spans="1:2">
      <c r="A2020" s="1" t="s">
        <v>2922</v>
      </c>
      <c r="B2020" t="s">
        <v>10357</v>
      </c>
    </row>
    <row r="2021" spans="1:2">
      <c r="A2021" s="1" t="s">
        <v>477</v>
      </c>
      <c r="B2021" t="s">
        <v>10261</v>
      </c>
    </row>
    <row r="2022" spans="1:2">
      <c r="A2022" s="1" t="s">
        <v>880</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795</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810</v>
      </c>
      <c r="B2043" t="s">
        <v>10304</v>
      </c>
    </row>
    <row r="2044" spans="1:2">
      <c r="A2044" s="1" t="s">
        <v>2942</v>
      </c>
      <c r="B2044" t="s">
        <v>10261</v>
      </c>
    </row>
    <row r="2045" spans="1:2">
      <c r="A2045" s="1" t="s">
        <v>2943</v>
      </c>
      <c r="B2045" t="s">
        <v>10282</v>
      </c>
    </row>
    <row r="2046" spans="1:2">
      <c r="A2046" s="1" t="s">
        <v>2944</v>
      </c>
      <c r="B2046" t="s">
        <v>10387</v>
      </c>
    </row>
    <row r="2047" spans="1:2">
      <c r="A2047" s="1" t="s">
        <v>623</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739</v>
      </c>
      <c r="B2064" t="s">
        <v>10255</v>
      </c>
    </row>
    <row r="2065" spans="1:2">
      <c r="A2065" s="1" t="s">
        <v>2961</v>
      </c>
      <c r="B2065" t="s">
        <v>10304</v>
      </c>
    </row>
    <row r="2066" spans="1:2">
      <c r="A2066" s="1" t="s">
        <v>2962</v>
      </c>
      <c r="B2066" t="s">
        <v>10292</v>
      </c>
    </row>
    <row r="2067" spans="1:2">
      <c r="A2067" s="1" t="s">
        <v>2963</v>
      </c>
      <c r="B2067" t="s">
        <v>10381</v>
      </c>
    </row>
    <row r="2068" spans="1:2">
      <c r="A2068" s="1" t="s">
        <v>315</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826</v>
      </c>
      <c r="B2073" t="s">
        <v>10260</v>
      </c>
    </row>
    <row r="2074" spans="1:2">
      <c r="A2074" s="1" t="s">
        <v>2968</v>
      </c>
      <c r="B2074" t="s">
        <v>10251</v>
      </c>
    </row>
    <row r="2075" spans="1:2">
      <c r="A2075" s="1" t="s">
        <v>646</v>
      </c>
      <c r="B2075" t="s">
        <v>10311</v>
      </c>
    </row>
    <row r="2076" spans="1:2">
      <c r="A2076" s="1" t="s">
        <v>827</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658</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670</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875</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672</v>
      </c>
      <c r="B2118" t="s">
        <v>10307</v>
      </c>
    </row>
    <row r="2119" spans="1:2">
      <c r="A2119" s="1" t="s">
        <v>3007</v>
      </c>
      <c r="B2119" t="s">
        <v>10424</v>
      </c>
    </row>
    <row r="2120" spans="1:2">
      <c r="A2120" s="1" t="s">
        <v>737</v>
      </c>
      <c r="B2120" t="s">
        <v>10271</v>
      </c>
    </row>
    <row r="2121" spans="1:2">
      <c r="A2121" s="1" t="s">
        <v>789</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148</v>
      </c>
      <c r="B2129" t="s">
        <v>10298</v>
      </c>
    </row>
    <row r="2130" spans="1:2">
      <c r="A2130" s="1" t="s">
        <v>3015</v>
      </c>
      <c r="B2130" t="s">
        <v>10279</v>
      </c>
    </row>
    <row r="2131" spans="1:2">
      <c r="A2131" s="1" t="s">
        <v>3016</v>
      </c>
      <c r="B2131" t="s">
        <v>10298</v>
      </c>
    </row>
    <row r="2132" spans="1:2">
      <c r="A2132" s="1" t="s">
        <v>3017</v>
      </c>
      <c r="B2132" t="s">
        <v>10245</v>
      </c>
    </row>
    <row r="2133" spans="1:2">
      <c r="A2133" s="1" t="s">
        <v>3018</v>
      </c>
      <c r="B2133" t="s">
        <v>10309</v>
      </c>
    </row>
    <row r="2134" spans="1:2">
      <c r="A2134" s="1" t="s">
        <v>3019</v>
      </c>
      <c r="B2134" t="s">
        <v>10452</v>
      </c>
    </row>
    <row r="2135" spans="1:2">
      <c r="A2135" s="1" t="s">
        <v>3020</v>
      </c>
      <c r="B2135" t="s">
        <v>10255</v>
      </c>
    </row>
    <row r="2136" spans="1:2">
      <c r="A2136" s="1" t="s">
        <v>3021</v>
      </c>
      <c r="B2136" t="s">
        <v>10453</v>
      </c>
    </row>
    <row r="2137" spans="1:2">
      <c r="A2137" s="1" t="s">
        <v>3022</v>
      </c>
      <c r="B2137" t="s">
        <v>10432</v>
      </c>
    </row>
    <row r="2138" spans="1:2">
      <c r="A2138" s="1" t="s">
        <v>3023</v>
      </c>
      <c r="B2138" t="s">
        <v>10284</v>
      </c>
    </row>
    <row r="2139" spans="1:2">
      <c r="A2139" s="1" t="s">
        <v>3024</v>
      </c>
      <c r="B2139" t="s">
        <v>10261</v>
      </c>
    </row>
    <row r="2140" spans="1:2">
      <c r="A2140" s="1" t="s">
        <v>3025</v>
      </c>
      <c r="B2140" t="s">
        <v>10291</v>
      </c>
    </row>
    <row r="2141" spans="1:2">
      <c r="A2141" s="1" t="s">
        <v>3026</v>
      </c>
      <c r="B2141" t="s">
        <v>10319</v>
      </c>
    </row>
    <row r="2142" spans="1:2">
      <c r="A2142" s="1" t="s">
        <v>3027</v>
      </c>
      <c r="B2142" t="s">
        <v>10375</v>
      </c>
    </row>
    <row r="2143" spans="1:2">
      <c r="A2143" s="1" t="s">
        <v>3028</v>
      </c>
      <c r="B2143" t="s">
        <v>10245</v>
      </c>
    </row>
    <row r="2144" spans="1:2">
      <c r="A2144" s="1" t="s">
        <v>3029</v>
      </c>
      <c r="B2144" t="s">
        <v>10284</v>
      </c>
    </row>
    <row r="2145" spans="1:2">
      <c r="A2145" s="1" t="s">
        <v>3030</v>
      </c>
      <c r="B2145" t="s">
        <v>10375</v>
      </c>
    </row>
    <row r="2146" spans="1:2">
      <c r="A2146" s="1" t="s">
        <v>3031</v>
      </c>
      <c r="B2146" t="s">
        <v>10252</v>
      </c>
    </row>
    <row r="2147" spans="1:2">
      <c r="A2147" s="1" t="s">
        <v>3032</v>
      </c>
      <c r="B2147" t="s">
        <v>10307</v>
      </c>
    </row>
    <row r="2148" spans="1:2">
      <c r="A2148" s="1" t="s">
        <v>3033</v>
      </c>
      <c r="B2148" t="s">
        <v>10454</v>
      </c>
    </row>
    <row r="2149" spans="1:2">
      <c r="A2149" s="1" t="s">
        <v>3034</v>
      </c>
      <c r="B2149" t="s">
        <v>10265</v>
      </c>
    </row>
    <row r="2150" spans="1:2">
      <c r="A2150" s="1" t="s">
        <v>3035</v>
      </c>
      <c r="B2150" t="s">
        <v>10326</v>
      </c>
    </row>
    <row r="2151" spans="1:2">
      <c r="A2151" s="1" t="s">
        <v>3036</v>
      </c>
      <c r="B2151" t="s">
        <v>903</v>
      </c>
    </row>
    <row r="2152" spans="1:2">
      <c r="A2152" s="1" t="s">
        <v>3037</v>
      </c>
      <c r="B2152" t="s">
        <v>10284</v>
      </c>
    </row>
    <row r="2153" spans="1:2">
      <c r="A2153" s="1" t="s">
        <v>3038</v>
      </c>
      <c r="B2153" t="s">
        <v>10282</v>
      </c>
    </row>
    <row r="2154" spans="1:2">
      <c r="A2154" s="1" t="s">
        <v>685</v>
      </c>
      <c r="B2154" t="s">
        <v>10273</v>
      </c>
    </row>
    <row r="2155" spans="1:2">
      <c r="A2155" s="1" t="s">
        <v>797</v>
      </c>
      <c r="B2155" t="s">
        <v>10290</v>
      </c>
    </row>
    <row r="2156" spans="1:2">
      <c r="A2156" s="1" t="s">
        <v>768</v>
      </c>
      <c r="B2156" t="s">
        <v>10250</v>
      </c>
    </row>
    <row r="2157" spans="1:2">
      <c r="A2157" s="1" t="s">
        <v>3039</v>
      </c>
      <c r="B2157" t="s">
        <v>10246</v>
      </c>
    </row>
    <row r="2158" spans="1:2">
      <c r="A2158" s="1" t="s">
        <v>3040</v>
      </c>
      <c r="B2158" t="s">
        <v>10455</v>
      </c>
    </row>
    <row r="2159" spans="1:2">
      <c r="A2159" s="1" t="s">
        <v>3041</v>
      </c>
      <c r="B2159" t="s">
        <v>10255</v>
      </c>
    </row>
    <row r="2160" spans="1:2">
      <c r="A2160" s="1" t="s">
        <v>3042</v>
      </c>
      <c r="B2160" t="s">
        <v>10299</v>
      </c>
    </row>
    <row r="2161" spans="1:2">
      <c r="A2161" s="1" t="s">
        <v>660</v>
      </c>
      <c r="B2161" t="s">
        <v>10245</v>
      </c>
    </row>
    <row r="2162" spans="1:2">
      <c r="A2162" s="1" t="s">
        <v>3043</v>
      </c>
      <c r="B2162" t="s">
        <v>10261</v>
      </c>
    </row>
    <row r="2163" spans="1:2">
      <c r="A2163" s="1" t="s">
        <v>775</v>
      </c>
      <c r="B2163" t="s">
        <v>10378</v>
      </c>
    </row>
    <row r="2164" spans="1:2">
      <c r="A2164" s="1" t="s">
        <v>3044</v>
      </c>
      <c r="B2164" t="s">
        <v>10255</v>
      </c>
    </row>
    <row r="2165" spans="1:2">
      <c r="A2165" s="1" t="s">
        <v>3045</v>
      </c>
      <c r="B2165" t="s">
        <v>10284</v>
      </c>
    </row>
    <row r="2166" spans="1:2">
      <c r="A2166" s="1" t="s">
        <v>3046</v>
      </c>
      <c r="B2166" t="s">
        <v>10261</v>
      </c>
    </row>
    <row r="2167" spans="1:2">
      <c r="A2167" s="1" t="s">
        <v>3047</v>
      </c>
      <c r="B2167" t="s">
        <v>10255</v>
      </c>
    </row>
    <row r="2168" spans="1:2">
      <c r="A2168" s="1" t="s">
        <v>3048</v>
      </c>
      <c r="B2168" t="s">
        <v>10251</v>
      </c>
    </row>
    <row r="2169" spans="1:2">
      <c r="A2169" s="1" t="s">
        <v>3049</v>
      </c>
      <c r="B2169" t="s">
        <v>10357</v>
      </c>
    </row>
    <row r="2170" spans="1:2">
      <c r="A2170" s="1" t="s">
        <v>3050</v>
      </c>
      <c r="B2170" t="s">
        <v>10245</v>
      </c>
    </row>
    <row r="2171" spans="1:2">
      <c r="A2171" s="1" t="s">
        <v>3051</v>
      </c>
      <c r="B2171" t="s">
        <v>10361</v>
      </c>
    </row>
    <row r="2172" spans="1:2">
      <c r="A2172" s="1" t="s">
        <v>3052</v>
      </c>
      <c r="B2172" t="s">
        <v>10255</v>
      </c>
    </row>
    <row r="2173" spans="1:2">
      <c r="A2173" s="1" t="s">
        <v>3053</v>
      </c>
      <c r="B2173" t="s">
        <v>10453</v>
      </c>
    </row>
    <row r="2174" spans="1:2">
      <c r="A2174" s="1" t="s">
        <v>3054</v>
      </c>
      <c r="B2174" t="s">
        <v>10250</v>
      </c>
    </row>
    <row r="2175" spans="1:2">
      <c r="A2175" s="1" t="s">
        <v>3055</v>
      </c>
      <c r="B2175" t="s">
        <v>10279</v>
      </c>
    </row>
    <row r="2176" spans="1:2">
      <c r="A2176" s="1" t="s">
        <v>423</v>
      </c>
      <c r="B2176" t="s">
        <v>10298</v>
      </c>
    </row>
    <row r="2177" spans="1:2">
      <c r="A2177" s="1" t="s">
        <v>3056</v>
      </c>
      <c r="B2177" t="s">
        <v>10283</v>
      </c>
    </row>
    <row r="2178" spans="1:2">
      <c r="A2178" s="1" t="s">
        <v>3057</v>
      </c>
      <c r="B2178" t="s">
        <v>10434</v>
      </c>
    </row>
    <row r="2179" spans="1:2">
      <c r="A2179" s="1" t="s">
        <v>3058</v>
      </c>
      <c r="B2179" t="s">
        <v>10284</v>
      </c>
    </row>
    <row r="2180" spans="1:2">
      <c r="A2180" s="1" t="s">
        <v>3059</v>
      </c>
      <c r="B2180" t="s">
        <v>10327</v>
      </c>
    </row>
    <row r="2181" spans="1:2">
      <c r="A2181" s="1" t="s">
        <v>3060</v>
      </c>
      <c r="B2181" t="s">
        <v>10279</v>
      </c>
    </row>
    <row r="2182" spans="1:2">
      <c r="A2182" s="1" t="s">
        <v>3061</v>
      </c>
      <c r="B2182" t="s">
        <v>10349</v>
      </c>
    </row>
    <row r="2183" spans="1:2">
      <c r="A2183" s="1" t="s">
        <v>3062</v>
      </c>
      <c r="B2183" t="s">
        <v>10252</v>
      </c>
    </row>
    <row r="2184" spans="1:2">
      <c r="A2184" s="1" t="s">
        <v>3063</v>
      </c>
      <c r="B2184" t="s">
        <v>10276</v>
      </c>
    </row>
    <row r="2185" spans="1:2">
      <c r="A2185" s="1" t="s">
        <v>3064</v>
      </c>
      <c r="B2185" t="s">
        <v>10456</v>
      </c>
    </row>
    <row r="2186" spans="1:2">
      <c r="A2186" s="1" t="s">
        <v>3065</v>
      </c>
      <c r="B2186" t="s">
        <v>10326</v>
      </c>
    </row>
    <row r="2187" spans="1:2">
      <c r="A2187" s="1" t="s">
        <v>3066</v>
      </c>
      <c r="B2187" t="s">
        <v>10255</v>
      </c>
    </row>
    <row r="2188" spans="1:2">
      <c r="A2188" s="1" t="s">
        <v>3067</v>
      </c>
      <c r="B2188" t="s">
        <v>10255</v>
      </c>
    </row>
    <row r="2189" spans="1:2">
      <c r="A2189" s="1" t="s">
        <v>3068</v>
      </c>
      <c r="B2189" t="s">
        <v>10275</v>
      </c>
    </row>
    <row r="2190" spans="1:2">
      <c r="A2190" s="1" t="s">
        <v>476</v>
      </c>
      <c r="B2190" t="s">
        <v>10261</v>
      </c>
    </row>
    <row r="2191" spans="1:2">
      <c r="A2191" s="1" t="s">
        <v>3069</v>
      </c>
      <c r="B2191" t="s">
        <v>10279</v>
      </c>
    </row>
    <row r="2192" spans="1:2">
      <c r="A2192" s="1" t="s">
        <v>3070</v>
      </c>
      <c r="B2192" t="s">
        <v>10255</v>
      </c>
    </row>
    <row r="2193" spans="1:2">
      <c r="A2193" s="1" t="s">
        <v>3071</v>
      </c>
      <c r="B2193" t="s">
        <v>10259</v>
      </c>
    </row>
    <row r="2194" spans="1:2">
      <c r="A2194" s="1" t="s">
        <v>3072</v>
      </c>
      <c r="B2194" t="s">
        <v>10281</v>
      </c>
    </row>
    <row r="2195" spans="1:2">
      <c r="A2195" s="1" t="s">
        <v>3073</v>
      </c>
      <c r="B2195" t="s">
        <v>10279</v>
      </c>
    </row>
    <row r="2196" spans="1:2">
      <c r="A2196" s="1" t="s">
        <v>3074</v>
      </c>
      <c r="B2196" t="s">
        <v>10286</v>
      </c>
    </row>
    <row r="2197" spans="1:2">
      <c r="A2197" s="1" t="s">
        <v>3075</v>
      </c>
      <c r="B2197" t="s">
        <v>10364</v>
      </c>
    </row>
    <row r="2198" spans="1:2">
      <c r="A2198" s="1" t="s">
        <v>3076</v>
      </c>
      <c r="B2198" t="s">
        <v>10408</v>
      </c>
    </row>
    <row r="2199" spans="1:2">
      <c r="A2199" s="1" t="s">
        <v>3077</v>
      </c>
      <c r="B2199" t="s">
        <v>10245</v>
      </c>
    </row>
    <row r="2200" spans="1:2">
      <c r="A2200" s="1" t="s">
        <v>3078</v>
      </c>
      <c r="B2200" t="s">
        <v>10272</v>
      </c>
    </row>
    <row r="2201" spans="1:2">
      <c r="A2201" s="1" t="s">
        <v>3079</v>
      </c>
      <c r="B2201" t="s">
        <v>10305</v>
      </c>
    </row>
    <row r="2202" spans="1:2">
      <c r="A2202" s="1" t="s">
        <v>3080</v>
      </c>
      <c r="B2202" t="s">
        <v>10261</v>
      </c>
    </row>
    <row r="2203" spans="1:2">
      <c r="A2203" s="1" t="s">
        <v>3081</v>
      </c>
      <c r="B2203" t="s">
        <v>10345</v>
      </c>
    </row>
    <row r="2204" spans="1:2">
      <c r="A2204" s="1" t="s">
        <v>3082</v>
      </c>
      <c r="B2204" t="s">
        <v>10375</v>
      </c>
    </row>
    <row r="2205" spans="1:2">
      <c r="A2205" s="1" t="s">
        <v>3083</v>
      </c>
      <c r="B2205" t="s">
        <v>10457</v>
      </c>
    </row>
    <row r="2206" spans="1:2">
      <c r="A2206" s="1" t="s">
        <v>662</v>
      </c>
      <c r="B2206" t="s">
        <v>10273</v>
      </c>
    </row>
    <row r="2207" spans="1:2">
      <c r="A2207" s="1" t="s">
        <v>3084</v>
      </c>
      <c r="B2207" t="s">
        <v>10284</v>
      </c>
    </row>
    <row r="2208" spans="1:2">
      <c r="A2208" s="1" t="s">
        <v>3085</v>
      </c>
      <c r="B2208" t="s">
        <v>10279</v>
      </c>
    </row>
    <row r="2209" spans="1:2">
      <c r="A2209" s="1" t="s">
        <v>3086</v>
      </c>
      <c r="B2209" t="s">
        <v>10245</v>
      </c>
    </row>
    <row r="2210" spans="1:2">
      <c r="A2210" s="1" t="s">
        <v>384</v>
      </c>
      <c r="B2210" t="s">
        <v>10299</v>
      </c>
    </row>
    <row r="2211" spans="1:2">
      <c r="A2211" s="1" t="s">
        <v>3087</v>
      </c>
      <c r="B2211" t="s">
        <v>903</v>
      </c>
    </row>
    <row r="2212" spans="1:2">
      <c r="A2212" s="1" t="s">
        <v>3088</v>
      </c>
      <c r="B2212" t="s">
        <v>10255</v>
      </c>
    </row>
    <row r="2213" spans="1:2">
      <c r="A2213" s="1" t="s">
        <v>3089</v>
      </c>
      <c r="B2213" t="s">
        <v>10326</v>
      </c>
    </row>
    <row r="2214" spans="1:2">
      <c r="A2214" s="1" t="s">
        <v>3090</v>
      </c>
      <c r="B2214" t="s">
        <v>10458</v>
      </c>
    </row>
    <row r="2215" spans="1:2">
      <c r="A2215" s="1" t="s">
        <v>3091</v>
      </c>
      <c r="B2215" t="s">
        <v>10298</v>
      </c>
    </row>
    <row r="2216" spans="1:2">
      <c r="A2216" s="1" t="s">
        <v>3092</v>
      </c>
      <c r="B2216" t="s">
        <v>10255</v>
      </c>
    </row>
    <row r="2217" spans="1:2">
      <c r="A2217" s="1" t="s">
        <v>3093</v>
      </c>
      <c r="B2217" t="s">
        <v>10387</v>
      </c>
    </row>
    <row r="2218" spans="1:2">
      <c r="A2218" s="1" t="s">
        <v>3094</v>
      </c>
      <c r="B2218" t="s">
        <v>10255</v>
      </c>
    </row>
    <row r="2219" spans="1:2">
      <c r="A2219" s="1" t="s">
        <v>3095</v>
      </c>
      <c r="B2219" t="s">
        <v>10255</v>
      </c>
    </row>
    <row r="2220" spans="1:2">
      <c r="A2220" s="1" t="s">
        <v>3096</v>
      </c>
      <c r="B2220" t="s">
        <v>10359</v>
      </c>
    </row>
    <row r="2221" spans="1:2">
      <c r="A2221" s="1" t="s">
        <v>3097</v>
      </c>
      <c r="B2221" t="s">
        <v>10343</v>
      </c>
    </row>
    <row r="2222" spans="1:2">
      <c r="A2222" s="1" t="s">
        <v>3098</v>
      </c>
      <c r="B2222" t="s">
        <v>10277</v>
      </c>
    </row>
    <row r="2223" spans="1:2">
      <c r="A2223" s="1" t="s">
        <v>3099</v>
      </c>
      <c r="B2223" t="s">
        <v>903</v>
      </c>
    </row>
    <row r="2224" spans="1:2">
      <c r="A2224" s="1" t="s">
        <v>3100</v>
      </c>
      <c r="B2224" t="s">
        <v>10269</v>
      </c>
    </row>
    <row r="2225" spans="1:2">
      <c r="A2225" s="1" t="s">
        <v>3101</v>
      </c>
      <c r="B2225" t="s">
        <v>10420</v>
      </c>
    </row>
    <row r="2226" spans="1:2">
      <c r="A2226" s="1" t="s">
        <v>3102</v>
      </c>
      <c r="B2226" t="s">
        <v>10255</v>
      </c>
    </row>
    <row r="2227" spans="1:2">
      <c r="A2227" s="1" t="s">
        <v>3103</v>
      </c>
      <c r="B2227" t="s">
        <v>10255</v>
      </c>
    </row>
    <row r="2228" spans="1:2">
      <c r="A2228" s="1" t="s">
        <v>3104</v>
      </c>
      <c r="B2228" t="s">
        <v>10284</v>
      </c>
    </row>
    <row r="2229" spans="1:2">
      <c r="A2229" s="1" t="s">
        <v>3105</v>
      </c>
      <c r="B2229" t="s">
        <v>10459</v>
      </c>
    </row>
    <row r="2230" spans="1:2">
      <c r="A2230" s="1" t="s">
        <v>854</v>
      </c>
      <c r="B2230" t="s">
        <v>10255</v>
      </c>
    </row>
    <row r="2231" spans="1:2">
      <c r="A2231" s="1" t="s">
        <v>262</v>
      </c>
      <c r="B2231" t="s">
        <v>10260</v>
      </c>
    </row>
    <row r="2232" spans="1:2">
      <c r="A2232" s="1" t="s">
        <v>3106</v>
      </c>
      <c r="B2232" t="s">
        <v>903</v>
      </c>
    </row>
    <row r="2233" spans="1:2">
      <c r="A2233" s="1" t="s">
        <v>3107</v>
      </c>
      <c r="B2233" t="s">
        <v>10250</v>
      </c>
    </row>
    <row r="2234" spans="1:2">
      <c r="A2234" s="1" t="s">
        <v>3108</v>
      </c>
      <c r="B2234" t="s">
        <v>10261</v>
      </c>
    </row>
    <row r="2235" spans="1:2">
      <c r="A2235" s="1" t="s">
        <v>484</v>
      </c>
      <c r="B2235" t="s">
        <v>10260</v>
      </c>
    </row>
    <row r="2236" spans="1:2">
      <c r="A2236" s="1" t="s">
        <v>3109</v>
      </c>
      <c r="B2236" t="s">
        <v>10255</v>
      </c>
    </row>
    <row r="2237" spans="1:2">
      <c r="A2237" s="1" t="s">
        <v>3110</v>
      </c>
      <c r="B2237" t="s">
        <v>10253</v>
      </c>
    </row>
    <row r="2238" spans="1:2">
      <c r="A2238" s="1" t="s">
        <v>3111</v>
      </c>
      <c r="B2238" t="s">
        <v>10460</v>
      </c>
    </row>
    <row r="2239" spans="1:2">
      <c r="A2239" s="1" t="s">
        <v>3112</v>
      </c>
      <c r="B2239" t="s">
        <v>10260</v>
      </c>
    </row>
    <row r="2240" spans="1:2">
      <c r="A2240" s="1" t="s">
        <v>3113</v>
      </c>
      <c r="B2240" t="s">
        <v>10461</v>
      </c>
    </row>
    <row r="2241" spans="1:2">
      <c r="A2241" s="1" t="s">
        <v>3114</v>
      </c>
      <c r="B2241" t="s">
        <v>10387</v>
      </c>
    </row>
    <row r="2242" spans="1:2">
      <c r="A2242" s="1" t="s">
        <v>3115</v>
      </c>
      <c r="B2242" t="s">
        <v>10250</v>
      </c>
    </row>
    <row r="2243" spans="1:2">
      <c r="A2243" s="1" t="s">
        <v>3116</v>
      </c>
      <c r="B2243" t="s">
        <v>10284</v>
      </c>
    </row>
    <row r="2244" spans="1:2">
      <c r="A2244" s="1" t="s">
        <v>3117</v>
      </c>
      <c r="B2244" t="s">
        <v>10462</v>
      </c>
    </row>
    <row r="2245" spans="1:2">
      <c r="A2245" s="1" t="s">
        <v>3118</v>
      </c>
      <c r="B2245" t="s">
        <v>10260</v>
      </c>
    </row>
    <row r="2246" spans="1:2">
      <c r="A2246" s="1" t="s">
        <v>3119</v>
      </c>
      <c r="B2246" t="s">
        <v>10378</v>
      </c>
    </row>
    <row r="2247" spans="1:2">
      <c r="A2247" s="1" t="s">
        <v>3120</v>
      </c>
      <c r="B2247" t="s">
        <v>10463</v>
      </c>
    </row>
    <row r="2248" spans="1:2">
      <c r="A2248" s="1" t="s">
        <v>3121</v>
      </c>
      <c r="B2248" t="s">
        <v>10298</v>
      </c>
    </row>
    <row r="2249" spans="1:2">
      <c r="A2249" s="1" t="s">
        <v>3122</v>
      </c>
      <c r="B2249" t="s">
        <v>10464</v>
      </c>
    </row>
    <row r="2250" spans="1:2">
      <c r="A2250" s="1" t="s">
        <v>3123</v>
      </c>
      <c r="B2250" t="s">
        <v>10255</v>
      </c>
    </row>
    <row r="2251" spans="1:2">
      <c r="A2251" s="1" t="s">
        <v>3124</v>
      </c>
      <c r="B2251" t="s">
        <v>10319</v>
      </c>
    </row>
    <row r="2252" spans="1:2">
      <c r="A2252" s="1" t="s">
        <v>3125</v>
      </c>
      <c r="B2252" t="s">
        <v>10261</v>
      </c>
    </row>
    <row r="2253" spans="1:2">
      <c r="A2253" s="1" t="s">
        <v>3126</v>
      </c>
      <c r="B2253" t="s">
        <v>10374</v>
      </c>
    </row>
    <row r="2254" spans="1:2">
      <c r="A2254" s="1" t="s">
        <v>3127</v>
      </c>
      <c r="B2254" t="s">
        <v>10261</v>
      </c>
    </row>
    <row r="2255" spans="1:2">
      <c r="A2255" s="1" t="s">
        <v>844</v>
      </c>
      <c r="B2255" t="s">
        <v>10271</v>
      </c>
    </row>
    <row r="2256" spans="1:2">
      <c r="A2256" s="1" t="s">
        <v>3128</v>
      </c>
      <c r="B2256" t="s">
        <v>10313</v>
      </c>
    </row>
    <row r="2257" spans="1:2">
      <c r="A2257" s="1" t="s">
        <v>3129</v>
      </c>
      <c r="B2257" t="s">
        <v>10378</v>
      </c>
    </row>
    <row r="2258" spans="1:2">
      <c r="A2258" s="1" t="s">
        <v>3130</v>
      </c>
      <c r="B2258" t="s">
        <v>10244</v>
      </c>
    </row>
    <row r="2259" spans="1:2">
      <c r="A2259" s="1" t="s">
        <v>3131</v>
      </c>
      <c r="B2259" t="s">
        <v>10245</v>
      </c>
    </row>
    <row r="2260" spans="1:2">
      <c r="A2260" s="1" t="s">
        <v>162</v>
      </c>
      <c r="B2260" t="s">
        <v>10299</v>
      </c>
    </row>
    <row r="2261" spans="1:2">
      <c r="A2261" s="1" t="s">
        <v>3132</v>
      </c>
      <c r="B2261" t="s">
        <v>10282</v>
      </c>
    </row>
    <row r="2262" spans="1:2">
      <c r="A2262" s="1" t="s">
        <v>3133</v>
      </c>
      <c r="B2262" t="s">
        <v>10465</v>
      </c>
    </row>
    <row r="2263" spans="1:2">
      <c r="A2263" s="1" t="s">
        <v>3134</v>
      </c>
      <c r="B2263" t="s">
        <v>10255</v>
      </c>
    </row>
    <row r="2264" spans="1:2">
      <c r="A2264" s="1" t="s">
        <v>3135</v>
      </c>
      <c r="B2264" t="s">
        <v>10385</v>
      </c>
    </row>
    <row r="2265" spans="1:2">
      <c r="A2265" s="1" t="s">
        <v>3136</v>
      </c>
      <c r="B2265" t="s">
        <v>10298</v>
      </c>
    </row>
    <row r="2266" spans="1:2">
      <c r="A2266" s="1" t="s">
        <v>3137</v>
      </c>
      <c r="B2266" t="s">
        <v>10466</v>
      </c>
    </row>
    <row r="2267" spans="1:2">
      <c r="A2267" s="1" t="s">
        <v>3138</v>
      </c>
      <c r="B2267" t="s">
        <v>10383</v>
      </c>
    </row>
    <row r="2268" spans="1:2">
      <c r="A2268" s="1" t="s">
        <v>3139</v>
      </c>
      <c r="B2268" t="s">
        <v>10260</v>
      </c>
    </row>
    <row r="2269" spans="1:2">
      <c r="A2269" s="1" t="s">
        <v>3140</v>
      </c>
      <c r="B2269" t="s">
        <v>10255</v>
      </c>
    </row>
    <row r="2270" spans="1:2">
      <c r="A2270" s="1" t="s">
        <v>3141</v>
      </c>
      <c r="B2270" t="s">
        <v>10279</v>
      </c>
    </row>
    <row r="2271" spans="1:2">
      <c r="A2271" s="1" t="s">
        <v>3142</v>
      </c>
      <c r="B2271" t="s">
        <v>903</v>
      </c>
    </row>
    <row r="2272" spans="1:2">
      <c r="A2272" s="1" t="s">
        <v>3143</v>
      </c>
      <c r="B2272" t="s">
        <v>10260</v>
      </c>
    </row>
    <row r="2273" spans="1:2">
      <c r="A2273" s="1" t="s">
        <v>3144</v>
      </c>
      <c r="B2273" t="s">
        <v>10467</v>
      </c>
    </row>
    <row r="2274" spans="1:2">
      <c r="A2274" s="1" t="s">
        <v>3145</v>
      </c>
      <c r="B2274" t="s">
        <v>10255</v>
      </c>
    </row>
    <row r="2275" spans="1:2">
      <c r="A2275" s="1" t="s">
        <v>3146</v>
      </c>
      <c r="B2275" t="s">
        <v>10286</v>
      </c>
    </row>
    <row r="2276" spans="1:2">
      <c r="A2276" s="1" t="s">
        <v>652</v>
      </c>
      <c r="B2276" t="s">
        <v>10260</v>
      </c>
    </row>
    <row r="2277" spans="1:2">
      <c r="A2277" s="1" t="s">
        <v>3147</v>
      </c>
      <c r="B2277" t="s">
        <v>10246</v>
      </c>
    </row>
    <row r="2278" spans="1:2">
      <c r="A2278" s="1" t="s">
        <v>3148</v>
      </c>
      <c r="B2278" t="s">
        <v>10255</v>
      </c>
    </row>
    <row r="2279" spans="1:2">
      <c r="A2279" s="1" t="s">
        <v>3149</v>
      </c>
      <c r="B2279" t="s">
        <v>10277</v>
      </c>
    </row>
    <row r="2280" spans="1:2">
      <c r="A2280" s="1" t="s">
        <v>3150</v>
      </c>
      <c r="B2280" t="s">
        <v>10429</v>
      </c>
    </row>
    <row r="2281" spans="1:2">
      <c r="A2281" s="1" t="s">
        <v>3151</v>
      </c>
      <c r="B2281" t="s">
        <v>10255</v>
      </c>
    </row>
    <row r="2282" spans="1:2">
      <c r="A2282" s="1" t="s">
        <v>3152</v>
      </c>
      <c r="B2282" t="s">
        <v>10298</v>
      </c>
    </row>
    <row r="2283" spans="1:2">
      <c r="A2283" s="1" t="s">
        <v>3153</v>
      </c>
      <c r="B2283" t="s">
        <v>10255</v>
      </c>
    </row>
    <row r="2284" spans="1:2">
      <c r="A2284" s="1" t="s">
        <v>3154</v>
      </c>
      <c r="B2284" t="s">
        <v>10364</v>
      </c>
    </row>
    <row r="2285" spans="1:2">
      <c r="A2285" s="1" t="s">
        <v>3155</v>
      </c>
      <c r="B2285" t="s">
        <v>10326</v>
      </c>
    </row>
    <row r="2286" spans="1:2">
      <c r="A2286" s="1" t="s">
        <v>3156</v>
      </c>
      <c r="B2286" t="s">
        <v>10243</v>
      </c>
    </row>
    <row r="2287" spans="1:2">
      <c r="A2287" s="1" t="s">
        <v>839</v>
      </c>
      <c r="B2287" t="s">
        <v>10259</v>
      </c>
    </row>
    <row r="2288" spans="1:2">
      <c r="A2288" s="1" t="s">
        <v>3157</v>
      </c>
      <c r="B2288" t="s">
        <v>10334</v>
      </c>
    </row>
    <row r="2289" spans="1:2">
      <c r="A2289" s="1" t="s">
        <v>3158</v>
      </c>
      <c r="B2289" t="s">
        <v>10333</v>
      </c>
    </row>
    <row r="2290" spans="1:2">
      <c r="A2290" s="1" t="s">
        <v>3159</v>
      </c>
      <c r="B2290" t="s">
        <v>10399</v>
      </c>
    </row>
    <row r="2291" spans="1:2">
      <c r="A2291" s="1" t="s">
        <v>3160</v>
      </c>
      <c r="B2291" t="s">
        <v>10287</v>
      </c>
    </row>
    <row r="2292" spans="1:2">
      <c r="A2292" s="1" t="s">
        <v>584</v>
      </c>
      <c r="B2292" t="s">
        <v>10357</v>
      </c>
    </row>
    <row r="2293" spans="1:2">
      <c r="A2293" s="1" t="s">
        <v>3161</v>
      </c>
      <c r="B2293" t="s">
        <v>10371</v>
      </c>
    </row>
    <row r="2294" spans="1:2">
      <c r="A2294" s="1" t="s">
        <v>3162</v>
      </c>
      <c r="B2294" t="s">
        <v>10261</v>
      </c>
    </row>
    <row r="2295" spans="1:2">
      <c r="A2295" s="1" t="s">
        <v>3163</v>
      </c>
      <c r="B2295" t="s">
        <v>10255</v>
      </c>
    </row>
    <row r="2296" spans="1:2">
      <c r="A2296" s="1" t="s">
        <v>3164</v>
      </c>
      <c r="B2296" t="s">
        <v>10261</v>
      </c>
    </row>
    <row r="2297" spans="1:2">
      <c r="A2297" s="1" t="s">
        <v>3165</v>
      </c>
      <c r="B2297" t="s">
        <v>10255</v>
      </c>
    </row>
    <row r="2298" spans="1:2">
      <c r="A2298" s="1" t="s">
        <v>3166</v>
      </c>
      <c r="B2298" t="s">
        <v>10255</v>
      </c>
    </row>
    <row r="2299" spans="1:2">
      <c r="A2299" s="1" t="s">
        <v>3167</v>
      </c>
      <c r="B2299" t="s">
        <v>10308</v>
      </c>
    </row>
    <row r="2300" spans="1:2">
      <c r="A2300" s="1" t="s">
        <v>3168</v>
      </c>
      <c r="B2300" t="s">
        <v>10375</v>
      </c>
    </row>
    <row r="2301" spans="1:2">
      <c r="A2301" s="1" t="s">
        <v>3169</v>
      </c>
      <c r="B2301" t="s">
        <v>10309</v>
      </c>
    </row>
    <row r="2302" spans="1:2">
      <c r="A2302" s="1" t="s">
        <v>3170</v>
      </c>
      <c r="B2302" t="s">
        <v>10282</v>
      </c>
    </row>
    <row r="2303" spans="1:2">
      <c r="A2303" s="1" t="s">
        <v>3171</v>
      </c>
      <c r="B2303" t="s">
        <v>10304</v>
      </c>
    </row>
    <row r="2304" spans="1:2">
      <c r="A2304" s="1" t="s">
        <v>3172</v>
      </c>
      <c r="B2304" t="s">
        <v>10261</v>
      </c>
    </row>
    <row r="2305" spans="1:2">
      <c r="A2305" s="1" t="s">
        <v>3173</v>
      </c>
      <c r="B2305" t="s">
        <v>10293</v>
      </c>
    </row>
    <row r="2306" spans="1:2">
      <c r="A2306" s="1" t="s">
        <v>3174</v>
      </c>
      <c r="B2306" t="s">
        <v>10261</v>
      </c>
    </row>
    <row r="2307" spans="1:2">
      <c r="A2307" s="1" t="s">
        <v>3175</v>
      </c>
      <c r="B2307" t="s">
        <v>903</v>
      </c>
    </row>
    <row r="2308" spans="1:2">
      <c r="A2308" s="1" t="s">
        <v>3176</v>
      </c>
      <c r="B2308" t="s">
        <v>10373</v>
      </c>
    </row>
    <row r="2309" spans="1:2">
      <c r="A2309" s="1" t="s">
        <v>3177</v>
      </c>
      <c r="B2309" t="s">
        <v>10301</v>
      </c>
    </row>
    <row r="2310" spans="1:2">
      <c r="A2310" s="1" t="s">
        <v>3178</v>
      </c>
      <c r="B2310" t="s">
        <v>10255</v>
      </c>
    </row>
    <row r="2311" spans="1:2">
      <c r="A2311" s="1" t="s">
        <v>3179</v>
      </c>
      <c r="B2311" t="s">
        <v>10264</v>
      </c>
    </row>
    <row r="2312" spans="1:2">
      <c r="A2312" s="1" t="s">
        <v>525</v>
      </c>
      <c r="B2312" t="s">
        <v>10298</v>
      </c>
    </row>
    <row r="2313" spans="1:2">
      <c r="A2313" s="1" t="s">
        <v>3180</v>
      </c>
      <c r="B2313" t="s">
        <v>10298</v>
      </c>
    </row>
    <row r="2314" spans="1:2">
      <c r="A2314" s="1" t="s">
        <v>240</v>
      </c>
      <c r="B2314" t="s">
        <v>10468</v>
      </c>
    </row>
    <row r="2315" spans="1:2">
      <c r="A2315" s="1" t="s">
        <v>3181</v>
      </c>
      <c r="B2315" t="s">
        <v>10255</v>
      </c>
    </row>
    <row r="2316" spans="1:2">
      <c r="A2316" s="1" t="s">
        <v>3182</v>
      </c>
      <c r="B2316" t="s">
        <v>10245</v>
      </c>
    </row>
    <row r="2317" spans="1:2">
      <c r="A2317" s="1" t="s">
        <v>748</v>
      </c>
      <c r="B2317" t="s">
        <v>10255</v>
      </c>
    </row>
    <row r="2318" spans="1:2">
      <c r="A2318" s="1" t="s">
        <v>3183</v>
      </c>
      <c r="B2318" t="s">
        <v>10394</v>
      </c>
    </row>
    <row r="2319" spans="1:2">
      <c r="A2319" s="1" t="s">
        <v>3184</v>
      </c>
      <c r="B2319" t="s">
        <v>10251</v>
      </c>
    </row>
    <row r="2320" spans="1:2">
      <c r="A2320" s="1" t="s">
        <v>3185</v>
      </c>
      <c r="B2320" t="s">
        <v>10283</v>
      </c>
    </row>
    <row r="2321" spans="1:2">
      <c r="A2321" s="1" t="s">
        <v>3186</v>
      </c>
      <c r="B2321" t="s">
        <v>10439</v>
      </c>
    </row>
    <row r="2322" spans="1:2">
      <c r="A2322" s="1" t="s">
        <v>3187</v>
      </c>
      <c r="B2322" t="s">
        <v>10287</v>
      </c>
    </row>
    <row r="2323" spans="1:2">
      <c r="A2323" s="1" t="s">
        <v>3188</v>
      </c>
      <c r="B2323" t="s">
        <v>10406</v>
      </c>
    </row>
    <row r="2324" spans="1:2">
      <c r="A2324" s="1" t="s">
        <v>3189</v>
      </c>
      <c r="B2324" t="s">
        <v>10340</v>
      </c>
    </row>
    <row r="2325" spans="1:2">
      <c r="A2325" s="1" t="s">
        <v>895</v>
      </c>
      <c r="B2325" t="s">
        <v>10311</v>
      </c>
    </row>
    <row r="2326" spans="1:2">
      <c r="A2326" s="1" t="s">
        <v>3190</v>
      </c>
      <c r="B2326" t="s">
        <v>10284</v>
      </c>
    </row>
    <row r="2327" spans="1:2">
      <c r="A2327" s="1" t="s">
        <v>3191</v>
      </c>
      <c r="B2327" t="s">
        <v>10266</v>
      </c>
    </row>
    <row r="2328" spans="1:2">
      <c r="A2328" s="1" t="s">
        <v>561</v>
      </c>
      <c r="B2328" t="s">
        <v>10311</v>
      </c>
    </row>
    <row r="2329" spans="1:2">
      <c r="A2329" s="1" t="s">
        <v>3192</v>
      </c>
      <c r="B2329" t="s">
        <v>10288</v>
      </c>
    </row>
    <row r="2330" spans="1:2">
      <c r="A2330" s="1" t="s">
        <v>3193</v>
      </c>
      <c r="B2330" t="s">
        <v>10261</v>
      </c>
    </row>
    <row r="2331" spans="1:2">
      <c r="A2331" s="1" t="s">
        <v>3194</v>
      </c>
      <c r="B2331" t="s">
        <v>10343</v>
      </c>
    </row>
    <row r="2332" spans="1:2">
      <c r="A2332" s="1" t="s">
        <v>682</v>
      </c>
      <c r="B2332" t="s">
        <v>10343</v>
      </c>
    </row>
    <row r="2333" spans="1:2">
      <c r="A2333" s="1" t="s">
        <v>242</v>
      </c>
      <c r="B2333" t="s">
        <v>10469</v>
      </c>
    </row>
    <row r="2334" spans="1:2">
      <c r="A2334" s="1" t="s">
        <v>3195</v>
      </c>
      <c r="B2334" t="s">
        <v>10346</v>
      </c>
    </row>
    <row r="2335" spans="1:2">
      <c r="A2335" s="1" t="s">
        <v>3196</v>
      </c>
      <c r="B2335" t="s">
        <v>10255</v>
      </c>
    </row>
    <row r="2336" spans="1:2">
      <c r="A2336" s="1" t="s">
        <v>3197</v>
      </c>
      <c r="B2336" t="s">
        <v>10470</v>
      </c>
    </row>
    <row r="2337" spans="1:2">
      <c r="A2337" s="1" t="s">
        <v>3198</v>
      </c>
      <c r="B2337" t="s">
        <v>10261</v>
      </c>
    </row>
    <row r="2338" spans="1:2">
      <c r="A2338" s="1" t="s">
        <v>3199</v>
      </c>
      <c r="B2338" t="s">
        <v>10290</v>
      </c>
    </row>
    <row r="2339" spans="1:2">
      <c r="A2339" s="1" t="s">
        <v>458</v>
      </c>
      <c r="B2339" t="s">
        <v>10265</v>
      </c>
    </row>
    <row r="2340" spans="1:2">
      <c r="A2340" s="1" t="s">
        <v>3200</v>
      </c>
      <c r="B2340" t="s">
        <v>10340</v>
      </c>
    </row>
    <row r="2341" spans="1:2">
      <c r="A2341" s="1" t="s">
        <v>3201</v>
      </c>
      <c r="B2341" t="s">
        <v>10255</v>
      </c>
    </row>
    <row r="2342" spans="1:2">
      <c r="A2342" s="1" t="s">
        <v>3202</v>
      </c>
      <c r="B2342" t="s">
        <v>10453</v>
      </c>
    </row>
    <row r="2343" spans="1:2">
      <c r="A2343" s="1" t="s">
        <v>3203</v>
      </c>
      <c r="B2343" t="s">
        <v>10382</v>
      </c>
    </row>
    <row r="2344" spans="1:2">
      <c r="A2344" s="1" t="s">
        <v>3204</v>
      </c>
      <c r="B2344" t="s">
        <v>10280</v>
      </c>
    </row>
    <row r="2345" spans="1:2">
      <c r="A2345" s="1" t="s">
        <v>208</v>
      </c>
      <c r="B2345" t="s">
        <v>10255</v>
      </c>
    </row>
    <row r="2346" spans="1:2">
      <c r="A2346" s="1" t="s">
        <v>3205</v>
      </c>
      <c r="B2346" t="s">
        <v>10340</v>
      </c>
    </row>
    <row r="2347" spans="1:2">
      <c r="A2347" s="1" t="s">
        <v>228</v>
      </c>
      <c r="B2347" t="s">
        <v>10250</v>
      </c>
    </row>
    <row r="2348" spans="1:2">
      <c r="A2348" s="1" t="s">
        <v>3206</v>
      </c>
      <c r="B2348" t="s">
        <v>10277</v>
      </c>
    </row>
    <row r="2349" spans="1:2">
      <c r="A2349" s="1" t="s">
        <v>195</v>
      </c>
      <c r="B2349" t="s">
        <v>10343</v>
      </c>
    </row>
    <row r="2350" spans="1:2">
      <c r="A2350" s="1" t="s">
        <v>3207</v>
      </c>
      <c r="B2350" t="s">
        <v>10264</v>
      </c>
    </row>
    <row r="2351" spans="1:2">
      <c r="A2351" s="1" t="s">
        <v>3208</v>
      </c>
      <c r="B2351" t="s">
        <v>10436</v>
      </c>
    </row>
    <row r="2352" spans="1:2">
      <c r="A2352" s="1" t="s">
        <v>781</v>
      </c>
      <c r="B2352" t="s">
        <v>10298</v>
      </c>
    </row>
    <row r="2353" spans="1:2">
      <c r="A2353" s="1" t="s">
        <v>3209</v>
      </c>
      <c r="B2353" t="s">
        <v>10387</v>
      </c>
    </row>
    <row r="2354" spans="1:2">
      <c r="A2354" s="1" t="s">
        <v>3210</v>
      </c>
      <c r="B2354" t="s">
        <v>10245</v>
      </c>
    </row>
    <row r="2355" spans="1:2">
      <c r="A2355" s="1" t="s">
        <v>3211</v>
      </c>
      <c r="B2355" t="s">
        <v>10255</v>
      </c>
    </row>
    <row r="2356" spans="1:2">
      <c r="A2356" s="1" t="s">
        <v>3212</v>
      </c>
      <c r="B2356" t="s">
        <v>10307</v>
      </c>
    </row>
    <row r="2357" spans="1:2">
      <c r="A2357" s="1" t="s">
        <v>3213</v>
      </c>
      <c r="B2357" t="s">
        <v>10245</v>
      </c>
    </row>
    <row r="2358" spans="1:2">
      <c r="A2358" s="1" t="s">
        <v>3214</v>
      </c>
      <c r="B2358" t="s">
        <v>10260</v>
      </c>
    </row>
    <row r="2359" spans="1:2">
      <c r="A2359" s="1" t="s">
        <v>3215</v>
      </c>
      <c r="B2359" t="s">
        <v>10320</v>
      </c>
    </row>
    <row r="2360" spans="1:2">
      <c r="A2360" s="1" t="s">
        <v>205</v>
      </c>
      <c r="B2360" t="s">
        <v>10279</v>
      </c>
    </row>
    <row r="2361" spans="1:2">
      <c r="A2361" s="1" t="s">
        <v>3216</v>
      </c>
      <c r="B2361" t="s">
        <v>10250</v>
      </c>
    </row>
    <row r="2362" spans="1:2">
      <c r="A2362" s="1" t="s">
        <v>3217</v>
      </c>
      <c r="B2362" t="s">
        <v>10279</v>
      </c>
    </row>
    <row r="2363" spans="1:2">
      <c r="A2363" s="1" t="s">
        <v>3218</v>
      </c>
      <c r="B2363" t="s">
        <v>10246</v>
      </c>
    </row>
    <row r="2364" spans="1:2">
      <c r="A2364" s="1" t="s">
        <v>3219</v>
      </c>
      <c r="B2364" t="s">
        <v>10344</v>
      </c>
    </row>
    <row r="2365" spans="1:2">
      <c r="A2365" s="1" t="s">
        <v>3220</v>
      </c>
      <c r="B2365" t="s">
        <v>10471</v>
      </c>
    </row>
    <row r="2366" spans="1:2">
      <c r="A2366" s="1" t="s">
        <v>3221</v>
      </c>
      <c r="B2366" t="s">
        <v>10350</v>
      </c>
    </row>
    <row r="2367" spans="1:2">
      <c r="A2367" s="1" t="s">
        <v>3222</v>
      </c>
      <c r="B2367" t="s">
        <v>10261</v>
      </c>
    </row>
    <row r="2368" spans="1:2">
      <c r="A2368" s="1" t="s">
        <v>3223</v>
      </c>
      <c r="B2368" t="s">
        <v>10245</v>
      </c>
    </row>
    <row r="2369" spans="1:2">
      <c r="A2369" s="1" t="s">
        <v>3224</v>
      </c>
      <c r="B2369" t="s">
        <v>10424</v>
      </c>
    </row>
    <row r="2370" spans="1:2">
      <c r="A2370" s="1" t="s">
        <v>3225</v>
      </c>
      <c r="B2370" t="s">
        <v>10307</v>
      </c>
    </row>
    <row r="2371" spans="1:2">
      <c r="A2371" s="1" t="s">
        <v>448</v>
      </c>
      <c r="B2371" t="s">
        <v>10472</v>
      </c>
    </row>
    <row r="2372" spans="1:2">
      <c r="A2372" s="1" t="s">
        <v>3226</v>
      </c>
      <c r="B2372" t="s">
        <v>10261</v>
      </c>
    </row>
    <row r="2373" spans="1:2">
      <c r="A2373" s="1" t="s">
        <v>731</v>
      </c>
      <c r="B2373" t="s">
        <v>10298</v>
      </c>
    </row>
    <row r="2374" spans="1:2">
      <c r="A2374" s="1" t="s">
        <v>3227</v>
      </c>
      <c r="B2374" t="s">
        <v>10265</v>
      </c>
    </row>
    <row r="2375" spans="1:2">
      <c r="A2375" s="1" t="s">
        <v>3228</v>
      </c>
      <c r="B2375" t="s">
        <v>10255</v>
      </c>
    </row>
    <row r="2376" spans="1:2">
      <c r="A2376" s="1" t="s">
        <v>3229</v>
      </c>
      <c r="B2376" t="s">
        <v>10273</v>
      </c>
    </row>
    <row r="2377" spans="1:2">
      <c r="A2377" s="1" t="s">
        <v>705</v>
      </c>
      <c r="B2377" t="s">
        <v>10255</v>
      </c>
    </row>
    <row r="2378" spans="1:2">
      <c r="A2378" s="1" t="s">
        <v>3230</v>
      </c>
      <c r="B2378" t="s">
        <v>10265</v>
      </c>
    </row>
    <row r="2379" spans="1:2">
      <c r="A2379" s="1" t="s">
        <v>3231</v>
      </c>
      <c r="B2379" t="s">
        <v>10308</v>
      </c>
    </row>
    <row r="2380" spans="1:2">
      <c r="A2380" s="1" t="s">
        <v>3232</v>
      </c>
      <c r="B2380" t="s">
        <v>10255</v>
      </c>
    </row>
    <row r="2381" spans="1:2">
      <c r="A2381" s="1" t="s">
        <v>402</v>
      </c>
      <c r="B2381" t="s">
        <v>10265</v>
      </c>
    </row>
    <row r="2382" spans="1:2">
      <c r="A2382" s="1" t="s">
        <v>3233</v>
      </c>
      <c r="B2382" t="s">
        <v>10282</v>
      </c>
    </row>
    <row r="2383" spans="1:2">
      <c r="A2383" s="1" t="s">
        <v>3234</v>
      </c>
      <c r="B2383" t="s">
        <v>10394</v>
      </c>
    </row>
    <row r="2384" spans="1:2">
      <c r="A2384" s="1" t="s">
        <v>3235</v>
      </c>
      <c r="B2384" t="s">
        <v>10276</v>
      </c>
    </row>
    <row r="2385" spans="1:2">
      <c r="A2385" s="1" t="s">
        <v>3236</v>
      </c>
      <c r="B2385" t="s">
        <v>10432</v>
      </c>
    </row>
    <row r="2386" spans="1:2">
      <c r="A2386" s="1" t="s">
        <v>3237</v>
      </c>
      <c r="B2386" t="s">
        <v>903</v>
      </c>
    </row>
    <row r="2387" spans="1:2">
      <c r="A2387" s="1" t="s">
        <v>3238</v>
      </c>
      <c r="B2387" t="s">
        <v>10304</v>
      </c>
    </row>
    <row r="2388" spans="1:2">
      <c r="A2388" s="1" t="s">
        <v>821</v>
      </c>
      <c r="B2388" t="s">
        <v>10298</v>
      </c>
    </row>
    <row r="2389" spans="1:2">
      <c r="A2389" s="1" t="s">
        <v>3239</v>
      </c>
      <c r="B2389" t="s">
        <v>10473</v>
      </c>
    </row>
    <row r="2390" spans="1:2">
      <c r="A2390" s="1" t="s">
        <v>3240</v>
      </c>
      <c r="B2390" t="s">
        <v>10249</v>
      </c>
    </row>
    <row r="2391" spans="1:2">
      <c r="A2391" s="1" t="s">
        <v>3241</v>
      </c>
      <c r="B2391" t="s">
        <v>903</v>
      </c>
    </row>
    <row r="2392" spans="1:2">
      <c r="A2392" s="1" t="s">
        <v>3242</v>
      </c>
      <c r="B2392" t="s">
        <v>10255</v>
      </c>
    </row>
    <row r="2393" spans="1:2">
      <c r="A2393" s="1" t="s">
        <v>3243</v>
      </c>
      <c r="B2393" t="s">
        <v>903</v>
      </c>
    </row>
    <row r="2394" spans="1:2">
      <c r="A2394" s="1" t="s">
        <v>3244</v>
      </c>
      <c r="B2394" t="s">
        <v>10304</v>
      </c>
    </row>
    <row r="2395" spans="1:2">
      <c r="A2395" s="1" t="s">
        <v>380</v>
      </c>
      <c r="B2395" t="s">
        <v>10253</v>
      </c>
    </row>
    <row r="2396" spans="1:2">
      <c r="A2396" s="1" t="s">
        <v>3245</v>
      </c>
      <c r="B2396" t="s">
        <v>10287</v>
      </c>
    </row>
    <row r="2397" spans="1:2">
      <c r="A2397" s="1" t="s">
        <v>3246</v>
      </c>
      <c r="B2397" t="s">
        <v>10269</v>
      </c>
    </row>
    <row r="2398" spans="1:2">
      <c r="A2398" s="1" t="s">
        <v>3247</v>
      </c>
      <c r="B2398" t="s">
        <v>10283</v>
      </c>
    </row>
    <row r="2399" spans="1:2">
      <c r="A2399" s="1" t="s">
        <v>3248</v>
      </c>
      <c r="B2399" t="s">
        <v>10297</v>
      </c>
    </row>
    <row r="2400" spans="1:2">
      <c r="A2400" s="1" t="s">
        <v>3249</v>
      </c>
      <c r="B2400" t="s">
        <v>10328</v>
      </c>
    </row>
    <row r="2401" spans="1:2">
      <c r="A2401" s="1" t="s">
        <v>3250</v>
      </c>
      <c r="B2401" t="s">
        <v>10466</v>
      </c>
    </row>
    <row r="2402" spans="1:2">
      <c r="A2402" s="1" t="s">
        <v>3251</v>
      </c>
      <c r="B2402" t="s">
        <v>10246</v>
      </c>
    </row>
    <row r="2403" spans="1:2">
      <c r="A2403" s="1" t="s">
        <v>3252</v>
      </c>
      <c r="B2403" t="s">
        <v>10420</v>
      </c>
    </row>
    <row r="2404" spans="1:2">
      <c r="A2404" s="1" t="s">
        <v>3253</v>
      </c>
      <c r="B2404" t="s">
        <v>10261</v>
      </c>
    </row>
    <row r="2405" spans="1:2">
      <c r="A2405" s="1" t="s">
        <v>3254</v>
      </c>
      <c r="B2405" t="s">
        <v>10255</v>
      </c>
    </row>
    <row r="2406" spans="1:2">
      <c r="A2406" s="1" t="s">
        <v>3255</v>
      </c>
      <c r="B2406" t="s">
        <v>10308</v>
      </c>
    </row>
    <row r="2407" spans="1:2">
      <c r="A2407" s="1" t="s">
        <v>3256</v>
      </c>
      <c r="B2407" t="s">
        <v>10255</v>
      </c>
    </row>
    <row r="2408" spans="1:2">
      <c r="A2408" s="1" t="s">
        <v>3257</v>
      </c>
      <c r="B2408" t="s">
        <v>10299</v>
      </c>
    </row>
    <row r="2409" spans="1:2">
      <c r="A2409" s="1" t="s">
        <v>569</v>
      </c>
      <c r="B2409" t="s">
        <v>10283</v>
      </c>
    </row>
    <row r="2410" spans="1:2">
      <c r="A2410" s="1" t="s">
        <v>553</v>
      </c>
      <c r="B2410" t="s">
        <v>10301</v>
      </c>
    </row>
    <row r="2411" spans="1:2">
      <c r="A2411" s="1" t="s">
        <v>3258</v>
      </c>
      <c r="B2411" t="s">
        <v>903</v>
      </c>
    </row>
    <row r="2412" spans="1:2">
      <c r="A2412" s="1" t="s">
        <v>3259</v>
      </c>
      <c r="B2412" t="s">
        <v>10245</v>
      </c>
    </row>
    <row r="2413" spans="1:2">
      <c r="A2413" s="1" t="s">
        <v>220</v>
      </c>
      <c r="B2413" t="s">
        <v>10271</v>
      </c>
    </row>
    <row r="2414" spans="1:2">
      <c r="A2414" s="1" t="s">
        <v>542</v>
      </c>
      <c r="B2414" t="s">
        <v>10344</v>
      </c>
    </row>
    <row r="2415" spans="1:2">
      <c r="A2415" s="1" t="s">
        <v>3260</v>
      </c>
      <c r="B2415" t="s">
        <v>10255</v>
      </c>
    </row>
    <row r="2416" spans="1:2">
      <c r="A2416" s="1" t="s">
        <v>3261</v>
      </c>
      <c r="B2416" t="s">
        <v>10255</v>
      </c>
    </row>
    <row r="2417" spans="1:2">
      <c r="A2417" s="1" t="s">
        <v>679</v>
      </c>
      <c r="B2417" t="s">
        <v>10408</v>
      </c>
    </row>
    <row r="2418" spans="1:2">
      <c r="A2418" s="1" t="s">
        <v>574</v>
      </c>
      <c r="B2418" t="s">
        <v>10349</v>
      </c>
    </row>
    <row r="2419" spans="1:2">
      <c r="A2419" s="1" t="s">
        <v>3262</v>
      </c>
      <c r="B2419" t="s">
        <v>10261</v>
      </c>
    </row>
    <row r="2420" spans="1:2">
      <c r="A2420" s="1" t="s">
        <v>3263</v>
      </c>
      <c r="B2420" t="s">
        <v>10245</v>
      </c>
    </row>
    <row r="2421" spans="1:2">
      <c r="A2421" s="1" t="s">
        <v>617</v>
      </c>
      <c r="B2421" t="s">
        <v>10321</v>
      </c>
    </row>
    <row r="2422" spans="1:2">
      <c r="A2422" s="1" t="s">
        <v>3264</v>
      </c>
      <c r="B2422" t="s">
        <v>10255</v>
      </c>
    </row>
    <row r="2423" spans="1:2">
      <c r="A2423" s="1" t="s">
        <v>3265</v>
      </c>
      <c r="B2423" t="s">
        <v>903</v>
      </c>
    </row>
    <row r="2424" spans="1:2">
      <c r="A2424" s="1" t="s">
        <v>3266</v>
      </c>
      <c r="B2424" t="s">
        <v>10272</v>
      </c>
    </row>
    <row r="2425" spans="1:2">
      <c r="A2425" s="1" t="s">
        <v>3267</v>
      </c>
      <c r="B2425" t="s">
        <v>10403</v>
      </c>
    </row>
    <row r="2426" spans="1:2">
      <c r="A2426" s="1" t="s">
        <v>3268</v>
      </c>
      <c r="B2426" t="s">
        <v>10255</v>
      </c>
    </row>
    <row r="2427" spans="1:2">
      <c r="A2427" s="1" t="s">
        <v>3269</v>
      </c>
      <c r="B2427" t="s">
        <v>10282</v>
      </c>
    </row>
    <row r="2428" spans="1:2">
      <c r="A2428" s="1" t="s">
        <v>413</v>
      </c>
      <c r="B2428" t="s">
        <v>10264</v>
      </c>
    </row>
    <row r="2429" spans="1:2">
      <c r="A2429" s="1" t="s">
        <v>3270</v>
      </c>
      <c r="B2429" t="s">
        <v>10474</v>
      </c>
    </row>
    <row r="2430" spans="1:2">
      <c r="A2430" s="1" t="s">
        <v>3271</v>
      </c>
      <c r="B2430" t="s">
        <v>10297</v>
      </c>
    </row>
    <row r="2431" spans="1:2">
      <c r="A2431" s="1" t="s">
        <v>3272</v>
      </c>
      <c r="B2431" t="s">
        <v>10255</v>
      </c>
    </row>
    <row r="2432" spans="1:2">
      <c r="A2432" s="1" t="s">
        <v>487</v>
      </c>
      <c r="B2432" t="s">
        <v>10287</v>
      </c>
    </row>
    <row r="2433" spans="1:2">
      <c r="A2433" s="1" t="s">
        <v>3273</v>
      </c>
      <c r="B2433" t="s">
        <v>10390</v>
      </c>
    </row>
    <row r="2434" spans="1:2">
      <c r="A2434" s="1" t="s">
        <v>3274</v>
      </c>
      <c r="B2434" t="s">
        <v>903</v>
      </c>
    </row>
    <row r="2435" spans="1:2">
      <c r="A2435" s="1" t="s">
        <v>3275</v>
      </c>
      <c r="B2435" t="s">
        <v>10323</v>
      </c>
    </row>
    <row r="2436" spans="1:2">
      <c r="A2436" s="1" t="s">
        <v>3276</v>
      </c>
      <c r="B2436" t="s">
        <v>10349</v>
      </c>
    </row>
    <row r="2437" spans="1:2">
      <c r="A2437" s="1" t="s">
        <v>297</v>
      </c>
      <c r="B2437" t="s">
        <v>10387</v>
      </c>
    </row>
    <row r="2438" spans="1:2">
      <c r="A2438" s="1" t="s">
        <v>3277</v>
      </c>
      <c r="B2438" t="s">
        <v>10404</v>
      </c>
    </row>
    <row r="2439" spans="1:2">
      <c r="A2439" s="1" t="s">
        <v>618</v>
      </c>
      <c r="B2439" t="s">
        <v>10298</v>
      </c>
    </row>
    <row r="2440" spans="1:2">
      <c r="A2440" s="1" t="s">
        <v>3278</v>
      </c>
      <c r="B2440" t="s">
        <v>10475</v>
      </c>
    </row>
    <row r="2441" spans="1:2">
      <c r="A2441" s="1" t="s">
        <v>3279</v>
      </c>
      <c r="B2441" t="s">
        <v>10255</v>
      </c>
    </row>
    <row r="2442" spans="1:2">
      <c r="A2442" s="1" t="s">
        <v>3280</v>
      </c>
      <c r="B2442" t="s">
        <v>10265</v>
      </c>
    </row>
    <row r="2443" spans="1:2">
      <c r="A2443" s="1" t="s">
        <v>3281</v>
      </c>
      <c r="B2443" t="s">
        <v>10293</v>
      </c>
    </row>
    <row r="2444" spans="1:2">
      <c r="A2444" s="1" t="s">
        <v>456</v>
      </c>
      <c r="B2444" t="s">
        <v>10250</v>
      </c>
    </row>
    <row r="2445" spans="1:2">
      <c r="A2445" s="1" t="s">
        <v>3282</v>
      </c>
      <c r="B2445" t="s">
        <v>10275</v>
      </c>
    </row>
    <row r="2446" spans="1:2">
      <c r="A2446" s="1" t="s">
        <v>3283</v>
      </c>
      <c r="B2446" t="s">
        <v>10374</v>
      </c>
    </row>
    <row r="2447" spans="1:2">
      <c r="A2447" s="1" t="s">
        <v>3284</v>
      </c>
      <c r="B2447" t="s">
        <v>10251</v>
      </c>
    </row>
    <row r="2448" spans="1:2">
      <c r="A2448" s="1" t="s">
        <v>3285</v>
      </c>
      <c r="B2448" t="s">
        <v>10259</v>
      </c>
    </row>
    <row r="2449" spans="1:2">
      <c r="A2449" s="1" t="s">
        <v>3286</v>
      </c>
      <c r="B2449" t="s">
        <v>10255</v>
      </c>
    </row>
    <row r="2450" spans="1:2">
      <c r="A2450" s="1" t="s">
        <v>3287</v>
      </c>
      <c r="B2450" t="s">
        <v>10412</v>
      </c>
    </row>
    <row r="2451" spans="1:2">
      <c r="A2451" s="1" t="s">
        <v>3288</v>
      </c>
      <c r="B2451" t="s">
        <v>10255</v>
      </c>
    </row>
    <row r="2452" spans="1:2">
      <c r="A2452" s="1" t="s">
        <v>3289</v>
      </c>
      <c r="B2452" t="s">
        <v>10245</v>
      </c>
    </row>
    <row r="2453" spans="1:2">
      <c r="A2453" s="1" t="s">
        <v>3290</v>
      </c>
      <c r="B2453" t="s">
        <v>10340</v>
      </c>
    </row>
    <row r="2454" spans="1:2">
      <c r="A2454" s="1" t="s">
        <v>3291</v>
      </c>
      <c r="B2454" t="s">
        <v>903</v>
      </c>
    </row>
    <row r="2455" spans="1:2">
      <c r="A2455" s="1" t="s">
        <v>3292</v>
      </c>
      <c r="B2455" t="s">
        <v>903</v>
      </c>
    </row>
    <row r="2456" spans="1:2">
      <c r="A2456" s="1" t="s">
        <v>3293</v>
      </c>
      <c r="B2456" t="s">
        <v>10343</v>
      </c>
    </row>
    <row r="2457" spans="1:2">
      <c r="A2457" s="1" t="s">
        <v>3294</v>
      </c>
      <c r="B2457" t="s">
        <v>10385</v>
      </c>
    </row>
    <row r="2458" spans="1:2">
      <c r="A2458" s="1" t="s">
        <v>3295</v>
      </c>
      <c r="B2458" t="s">
        <v>10331</v>
      </c>
    </row>
    <row r="2459" spans="1:2">
      <c r="A2459" s="1" t="s">
        <v>3296</v>
      </c>
      <c r="B2459" t="s">
        <v>10304</v>
      </c>
    </row>
    <row r="2460" spans="1:2">
      <c r="A2460" s="1" t="s">
        <v>3297</v>
      </c>
      <c r="B2460" t="s">
        <v>10255</v>
      </c>
    </row>
    <row r="2461" spans="1:2">
      <c r="A2461" s="1" t="s">
        <v>3298</v>
      </c>
      <c r="B2461" t="s">
        <v>10269</v>
      </c>
    </row>
    <row r="2462" spans="1:2">
      <c r="A2462" s="1" t="s">
        <v>3299</v>
      </c>
      <c r="B2462" t="s">
        <v>10255</v>
      </c>
    </row>
    <row r="2463" spans="1:2">
      <c r="A2463" s="1" t="s">
        <v>3300</v>
      </c>
      <c r="B2463" t="s">
        <v>10261</v>
      </c>
    </row>
    <row r="2464" spans="1:2">
      <c r="A2464" s="1" t="s">
        <v>3301</v>
      </c>
      <c r="B2464" t="s">
        <v>10246</v>
      </c>
    </row>
    <row r="2465" spans="1:2">
      <c r="A2465" s="1" t="s">
        <v>3302</v>
      </c>
      <c r="B2465" t="s">
        <v>10267</v>
      </c>
    </row>
    <row r="2466" spans="1:2">
      <c r="A2466" s="1" t="s">
        <v>3303</v>
      </c>
      <c r="B2466" t="s">
        <v>10298</v>
      </c>
    </row>
    <row r="2467" spans="1:2">
      <c r="A2467" s="1" t="s">
        <v>3304</v>
      </c>
      <c r="B2467" t="s">
        <v>10463</v>
      </c>
    </row>
    <row r="2468" spans="1:2">
      <c r="A2468" s="1" t="s">
        <v>340</v>
      </c>
      <c r="B2468" t="s">
        <v>10264</v>
      </c>
    </row>
    <row r="2469" spans="1:2">
      <c r="A2469" s="1" t="s">
        <v>3305</v>
      </c>
      <c r="B2469" t="s">
        <v>10298</v>
      </c>
    </row>
    <row r="2470" spans="1:2">
      <c r="A2470" s="1" t="s">
        <v>3306</v>
      </c>
      <c r="B2470" t="s">
        <v>10474</v>
      </c>
    </row>
    <row r="2471" spans="1:2">
      <c r="A2471" s="1" t="s">
        <v>3307</v>
      </c>
      <c r="B2471" t="s">
        <v>10309</v>
      </c>
    </row>
    <row r="2472" spans="1:2">
      <c r="A2472" s="1" t="s">
        <v>3308</v>
      </c>
      <c r="B2472" t="s">
        <v>10340</v>
      </c>
    </row>
    <row r="2473" spans="1:2">
      <c r="A2473" s="1" t="s">
        <v>3309</v>
      </c>
      <c r="B2473" t="s">
        <v>10375</v>
      </c>
    </row>
    <row r="2474" spans="1:2">
      <c r="A2474" s="1" t="s">
        <v>3310</v>
      </c>
      <c r="B2474" t="s">
        <v>10255</v>
      </c>
    </row>
    <row r="2475" spans="1:2">
      <c r="A2475" s="1" t="s">
        <v>3311</v>
      </c>
      <c r="B2475" t="s">
        <v>10255</v>
      </c>
    </row>
    <row r="2476" spans="1:2">
      <c r="A2476" s="1" t="s">
        <v>602</v>
      </c>
      <c r="B2476" t="s">
        <v>10304</v>
      </c>
    </row>
    <row r="2477" spans="1:2">
      <c r="A2477" s="1" t="s">
        <v>3312</v>
      </c>
      <c r="B2477" t="s">
        <v>10314</v>
      </c>
    </row>
    <row r="2478" spans="1:2">
      <c r="A2478" s="1" t="s">
        <v>3313</v>
      </c>
      <c r="B2478" t="s">
        <v>10382</v>
      </c>
    </row>
    <row r="2479" spans="1:2">
      <c r="A2479" s="1" t="s">
        <v>3314</v>
      </c>
      <c r="B2479" t="s">
        <v>903</v>
      </c>
    </row>
    <row r="2480" spans="1:2">
      <c r="A2480" s="1" t="s">
        <v>3315</v>
      </c>
      <c r="B2480" t="s">
        <v>903</v>
      </c>
    </row>
    <row r="2481" spans="1:2">
      <c r="A2481" s="1" t="s">
        <v>3316</v>
      </c>
      <c r="B2481" t="s">
        <v>10251</v>
      </c>
    </row>
    <row r="2482" spans="1:2">
      <c r="A2482" s="1" t="s">
        <v>868</v>
      </c>
      <c r="B2482" t="s">
        <v>10305</v>
      </c>
    </row>
    <row r="2483" spans="1:2">
      <c r="A2483" s="1" t="s">
        <v>3317</v>
      </c>
      <c r="B2483" t="s">
        <v>10296</v>
      </c>
    </row>
    <row r="2484" spans="1:2">
      <c r="A2484" s="1" t="s">
        <v>422</v>
      </c>
      <c r="B2484" t="s">
        <v>10295</v>
      </c>
    </row>
    <row r="2485" spans="1:2">
      <c r="A2485" s="1" t="s">
        <v>3318</v>
      </c>
      <c r="B2485" t="s">
        <v>10272</v>
      </c>
    </row>
    <row r="2486" spans="1:2">
      <c r="A2486" s="1" t="s">
        <v>3319</v>
      </c>
      <c r="B2486" t="s">
        <v>10307</v>
      </c>
    </row>
    <row r="2487" spans="1:2">
      <c r="A2487" s="1" t="s">
        <v>883</v>
      </c>
      <c r="B2487" t="s">
        <v>10340</v>
      </c>
    </row>
    <row r="2488" spans="1:2">
      <c r="A2488" s="1" t="s">
        <v>3320</v>
      </c>
      <c r="B2488" t="s">
        <v>10246</v>
      </c>
    </row>
    <row r="2489" spans="1:2">
      <c r="A2489" s="1" t="s">
        <v>3321</v>
      </c>
      <c r="B2489" t="s">
        <v>10255</v>
      </c>
    </row>
    <row r="2490" spans="1:2">
      <c r="A2490" s="1" t="s">
        <v>3322</v>
      </c>
      <c r="B2490" t="s">
        <v>10271</v>
      </c>
    </row>
    <row r="2491" spans="1:2">
      <c r="A2491" s="1" t="s">
        <v>3323</v>
      </c>
      <c r="B2491" t="s">
        <v>10304</v>
      </c>
    </row>
    <row r="2492" spans="1:2">
      <c r="A2492" s="1" t="s">
        <v>3324</v>
      </c>
      <c r="B2492" t="s">
        <v>10266</v>
      </c>
    </row>
    <row r="2493" spans="1:2">
      <c r="A2493" s="1" t="s">
        <v>3325</v>
      </c>
      <c r="B2493" t="s">
        <v>10455</v>
      </c>
    </row>
    <row r="2494" spans="1:2">
      <c r="A2494" s="1" t="s">
        <v>3326</v>
      </c>
      <c r="B2494" t="s">
        <v>10246</v>
      </c>
    </row>
    <row r="2495" spans="1:2">
      <c r="A2495" s="1" t="s">
        <v>3327</v>
      </c>
      <c r="B2495" t="s">
        <v>10474</v>
      </c>
    </row>
    <row r="2496" spans="1:2">
      <c r="A2496" s="1" t="s">
        <v>3328</v>
      </c>
      <c r="B2496" t="s">
        <v>10424</v>
      </c>
    </row>
    <row r="2497" spans="1:2">
      <c r="A2497" s="1" t="s">
        <v>3329</v>
      </c>
      <c r="B2497" t="s">
        <v>10298</v>
      </c>
    </row>
    <row r="2498" spans="1:2">
      <c r="A2498" s="1" t="s">
        <v>3330</v>
      </c>
      <c r="B2498" t="s">
        <v>10271</v>
      </c>
    </row>
    <row r="2499" spans="1:2">
      <c r="A2499" s="1" t="s">
        <v>3331</v>
      </c>
      <c r="B2499" t="s">
        <v>10307</v>
      </c>
    </row>
    <row r="2500" spans="1:2">
      <c r="A2500" s="1" t="s">
        <v>759</v>
      </c>
      <c r="B2500" t="s">
        <v>10245</v>
      </c>
    </row>
    <row r="2501" spans="1:2">
      <c r="A2501" s="1" t="s">
        <v>3332</v>
      </c>
      <c r="B2501" t="s">
        <v>10279</v>
      </c>
    </row>
    <row r="2502" spans="1:2">
      <c r="A2502" s="1" t="s">
        <v>202</v>
      </c>
      <c r="B2502" t="s">
        <v>10382</v>
      </c>
    </row>
    <row r="2503" spans="1:2">
      <c r="A2503" s="1" t="s">
        <v>3333</v>
      </c>
      <c r="B2503" t="s">
        <v>10304</v>
      </c>
    </row>
    <row r="2504" spans="1:2">
      <c r="A2504" s="1" t="s">
        <v>3334</v>
      </c>
      <c r="B2504" t="s">
        <v>10333</v>
      </c>
    </row>
    <row r="2505" spans="1:2">
      <c r="A2505" s="1" t="s">
        <v>3335</v>
      </c>
      <c r="B2505" t="s">
        <v>10267</v>
      </c>
    </row>
    <row r="2506" spans="1:2">
      <c r="A2506" s="1" t="s">
        <v>3336</v>
      </c>
      <c r="B2506" t="s">
        <v>10255</v>
      </c>
    </row>
    <row r="2507" spans="1:2">
      <c r="A2507" s="1" t="s">
        <v>742</v>
      </c>
      <c r="B2507" t="s">
        <v>10346</v>
      </c>
    </row>
    <row r="2508" spans="1:2">
      <c r="A2508" s="1" t="s">
        <v>3337</v>
      </c>
      <c r="B2508" t="s">
        <v>10255</v>
      </c>
    </row>
    <row r="2509" spans="1:2">
      <c r="A2509" s="1" t="s">
        <v>3338</v>
      </c>
      <c r="B2509" t="s">
        <v>903</v>
      </c>
    </row>
    <row r="2510" spans="1:2">
      <c r="A2510" s="1" t="s">
        <v>3339</v>
      </c>
      <c r="B2510" t="s">
        <v>10255</v>
      </c>
    </row>
    <row r="2511" spans="1:2">
      <c r="A2511" s="1" t="s">
        <v>189</v>
      </c>
      <c r="B2511" t="s">
        <v>10298</v>
      </c>
    </row>
    <row r="2512" spans="1:2">
      <c r="A2512" s="1" t="s">
        <v>3340</v>
      </c>
      <c r="B2512" t="s">
        <v>10308</v>
      </c>
    </row>
    <row r="2513" spans="1:2">
      <c r="A2513" s="1" t="s">
        <v>3341</v>
      </c>
      <c r="B2513" t="s">
        <v>10346</v>
      </c>
    </row>
    <row r="2514" spans="1:2">
      <c r="A2514" s="1" t="s">
        <v>3342</v>
      </c>
      <c r="B2514" t="s">
        <v>10261</v>
      </c>
    </row>
    <row r="2515" spans="1:2">
      <c r="A2515" s="1" t="s">
        <v>3343</v>
      </c>
      <c r="B2515" t="s">
        <v>10261</v>
      </c>
    </row>
    <row r="2516" spans="1:2">
      <c r="A2516" s="1" t="s">
        <v>719</v>
      </c>
      <c r="B2516" t="s">
        <v>10382</v>
      </c>
    </row>
    <row r="2517" spans="1:2">
      <c r="A2517" s="1" t="s">
        <v>3344</v>
      </c>
      <c r="B2517" t="s">
        <v>10309</v>
      </c>
    </row>
    <row r="2518" spans="1:2">
      <c r="A2518" s="1" t="s">
        <v>3345</v>
      </c>
      <c r="B2518" t="s">
        <v>10255</v>
      </c>
    </row>
    <row r="2519" spans="1:2">
      <c r="A2519" s="1" t="s">
        <v>3346</v>
      </c>
      <c r="B2519" t="s">
        <v>10272</v>
      </c>
    </row>
    <row r="2520" spans="1:2">
      <c r="A2520" s="1" t="s">
        <v>3347</v>
      </c>
      <c r="B2520" t="s">
        <v>10255</v>
      </c>
    </row>
    <row r="2521" spans="1:2">
      <c r="A2521" s="1" t="s">
        <v>3348</v>
      </c>
      <c r="B2521" t="s">
        <v>10283</v>
      </c>
    </row>
    <row r="2522" spans="1:2">
      <c r="A2522" s="1" t="s">
        <v>625</v>
      </c>
      <c r="B2522" t="s">
        <v>10374</v>
      </c>
    </row>
    <row r="2523" spans="1:2">
      <c r="A2523" s="1" t="s">
        <v>3349</v>
      </c>
      <c r="B2523" t="s">
        <v>10252</v>
      </c>
    </row>
    <row r="2524" spans="1:2">
      <c r="A2524" s="1" t="s">
        <v>3350</v>
      </c>
      <c r="B2524" t="s">
        <v>10263</v>
      </c>
    </row>
    <row r="2525" spans="1:2">
      <c r="A2525" s="1" t="s">
        <v>3351</v>
      </c>
      <c r="B2525" t="s">
        <v>10304</v>
      </c>
    </row>
    <row r="2526" spans="1:2">
      <c r="A2526" s="1" t="s">
        <v>3352</v>
      </c>
      <c r="B2526" t="s">
        <v>903</v>
      </c>
    </row>
    <row r="2527" spans="1:2">
      <c r="A2527" s="1" t="s">
        <v>3353</v>
      </c>
      <c r="B2527" t="s">
        <v>10371</v>
      </c>
    </row>
    <row r="2528" spans="1:2">
      <c r="A2528" s="1" t="s">
        <v>3354</v>
      </c>
      <c r="B2528" t="s">
        <v>10252</v>
      </c>
    </row>
    <row r="2529" spans="1:2">
      <c r="A2529" s="1" t="s">
        <v>3355</v>
      </c>
      <c r="B2529" t="s">
        <v>10476</v>
      </c>
    </row>
    <row r="2530" spans="1:2">
      <c r="A2530" s="1" t="s">
        <v>3356</v>
      </c>
      <c r="B2530" t="s">
        <v>10304</v>
      </c>
    </row>
    <row r="2531" spans="1:2">
      <c r="A2531" s="1" t="s">
        <v>3357</v>
      </c>
      <c r="B2531" t="s">
        <v>10390</v>
      </c>
    </row>
    <row r="2532" spans="1:2">
      <c r="A2532" s="1" t="s">
        <v>3358</v>
      </c>
      <c r="B2532" t="s">
        <v>10282</v>
      </c>
    </row>
    <row r="2533" spans="1:2">
      <c r="A2533" s="1" t="s">
        <v>3359</v>
      </c>
      <c r="B2533" t="s">
        <v>10283</v>
      </c>
    </row>
    <row r="2534" spans="1:2">
      <c r="A2534" s="1" t="s">
        <v>85</v>
      </c>
      <c r="B2534" t="s">
        <v>10298</v>
      </c>
    </row>
    <row r="2535" spans="1:2">
      <c r="A2535" s="1" t="s">
        <v>3360</v>
      </c>
      <c r="B2535" t="s">
        <v>10277</v>
      </c>
    </row>
    <row r="2536" spans="1:2">
      <c r="A2536" s="1" t="s">
        <v>83</v>
      </c>
      <c r="B2536" t="s">
        <v>10250</v>
      </c>
    </row>
    <row r="2537" spans="1:2">
      <c r="A2537" s="1" t="s">
        <v>3361</v>
      </c>
      <c r="B2537" t="s">
        <v>10245</v>
      </c>
    </row>
    <row r="2538" spans="1:2">
      <c r="A2538" s="1" t="s">
        <v>3362</v>
      </c>
      <c r="B2538" t="s">
        <v>10287</v>
      </c>
    </row>
    <row r="2539" spans="1:2">
      <c r="A2539" s="1" t="s">
        <v>3363</v>
      </c>
      <c r="B2539" t="s">
        <v>10255</v>
      </c>
    </row>
    <row r="2540" spans="1:2">
      <c r="A2540" s="1" t="s">
        <v>3364</v>
      </c>
      <c r="B2540" t="s">
        <v>10255</v>
      </c>
    </row>
    <row r="2541" spans="1:2">
      <c r="A2541" s="1" t="s">
        <v>3365</v>
      </c>
      <c r="B2541" t="s">
        <v>10271</v>
      </c>
    </row>
    <row r="2542" spans="1:2">
      <c r="A2542" s="1" t="s">
        <v>3366</v>
      </c>
      <c r="B2542" t="s">
        <v>10244</v>
      </c>
    </row>
    <row r="2543" spans="1:2">
      <c r="A2543" s="1" t="s">
        <v>3367</v>
      </c>
      <c r="B2543" t="s">
        <v>10424</v>
      </c>
    </row>
    <row r="2544" spans="1:2">
      <c r="A2544" s="1" t="s">
        <v>782</v>
      </c>
      <c r="B2544" t="s">
        <v>10298</v>
      </c>
    </row>
    <row r="2545" spans="1:2">
      <c r="A2545" s="1" t="s">
        <v>3368</v>
      </c>
      <c r="B2545" t="s">
        <v>10287</v>
      </c>
    </row>
    <row r="2546" spans="1:2">
      <c r="A2546" s="1" t="s">
        <v>3369</v>
      </c>
      <c r="B2546" t="s">
        <v>10323</v>
      </c>
    </row>
    <row r="2547" spans="1:2">
      <c r="A2547" s="1" t="s">
        <v>3370</v>
      </c>
      <c r="B2547" t="s">
        <v>10245</v>
      </c>
    </row>
    <row r="2548" spans="1:2">
      <c r="A2548" s="1" t="s">
        <v>3371</v>
      </c>
      <c r="B2548" t="s">
        <v>10307</v>
      </c>
    </row>
    <row r="2549" spans="1:2">
      <c r="A2549" s="1" t="s">
        <v>3372</v>
      </c>
      <c r="B2549" t="s">
        <v>10277</v>
      </c>
    </row>
    <row r="2550" spans="1:2">
      <c r="A2550" s="1" t="s">
        <v>3373</v>
      </c>
      <c r="B2550" t="s">
        <v>903</v>
      </c>
    </row>
    <row r="2551" spans="1:2">
      <c r="A2551" s="1" t="s">
        <v>3374</v>
      </c>
      <c r="B2551" t="s">
        <v>10279</v>
      </c>
    </row>
    <row r="2552" spans="1:2">
      <c r="A2552" s="1" t="s">
        <v>3375</v>
      </c>
      <c r="B2552" t="s">
        <v>10255</v>
      </c>
    </row>
    <row r="2553" spans="1:2">
      <c r="A2553" s="1" t="s">
        <v>594</v>
      </c>
      <c r="B2553" t="s">
        <v>10387</v>
      </c>
    </row>
    <row r="2554" spans="1:2">
      <c r="A2554" s="1" t="s">
        <v>3376</v>
      </c>
      <c r="B2554" t="s">
        <v>10260</v>
      </c>
    </row>
    <row r="2555" spans="1:2">
      <c r="A2555" s="1" t="s">
        <v>3377</v>
      </c>
      <c r="B2555" t="s">
        <v>10255</v>
      </c>
    </row>
    <row r="2556" spans="1:2">
      <c r="A2556" s="1" t="s">
        <v>683</v>
      </c>
      <c r="B2556" t="s">
        <v>10332</v>
      </c>
    </row>
    <row r="2557" spans="1:2">
      <c r="A2557" s="1" t="s">
        <v>457</v>
      </c>
      <c r="B2557" t="s">
        <v>10298</v>
      </c>
    </row>
    <row r="2558" spans="1:2">
      <c r="A2558" s="1" t="s">
        <v>3378</v>
      </c>
      <c r="B2558" t="s">
        <v>10261</v>
      </c>
    </row>
    <row r="2559" spans="1:2">
      <c r="A2559" s="1" t="s">
        <v>3379</v>
      </c>
      <c r="B2559" t="s">
        <v>10251</v>
      </c>
    </row>
    <row r="2560" spans="1:2">
      <c r="A2560" s="1" t="s">
        <v>3380</v>
      </c>
      <c r="B2560" t="s">
        <v>10283</v>
      </c>
    </row>
    <row r="2561" spans="1:2">
      <c r="A2561" s="1" t="s">
        <v>3381</v>
      </c>
      <c r="B2561" t="s">
        <v>10255</v>
      </c>
    </row>
    <row r="2562" spans="1:2">
      <c r="A2562" s="1" t="s">
        <v>3382</v>
      </c>
      <c r="B2562" t="s">
        <v>10298</v>
      </c>
    </row>
    <row r="2563" spans="1:2">
      <c r="A2563" s="1" t="s">
        <v>3383</v>
      </c>
      <c r="B2563" t="s">
        <v>10445</v>
      </c>
    </row>
    <row r="2564" spans="1:2">
      <c r="A2564" s="1" t="s">
        <v>3384</v>
      </c>
      <c r="B2564" t="s">
        <v>10290</v>
      </c>
    </row>
    <row r="2565" spans="1:2">
      <c r="A2565" s="1" t="s">
        <v>3385</v>
      </c>
      <c r="B2565" t="s">
        <v>10266</v>
      </c>
    </row>
    <row r="2566" spans="1:2">
      <c r="A2566" s="1" t="s">
        <v>417</v>
      </c>
      <c r="B2566" t="s">
        <v>10279</v>
      </c>
    </row>
    <row r="2567" spans="1:2">
      <c r="A2567" s="1" t="s">
        <v>3386</v>
      </c>
      <c r="B2567" t="s">
        <v>10245</v>
      </c>
    </row>
    <row r="2568" spans="1:2">
      <c r="A2568" s="1" t="s">
        <v>3387</v>
      </c>
      <c r="B2568" t="s">
        <v>10307</v>
      </c>
    </row>
    <row r="2569" spans="1:2">
      <c r="A2569" s="1" t="s">
        <v>3388</v>
      </c>
      <c r="B2569" t="s">
        <v>10286</v>
      </c>
    </row>
    <row r="2570" spans="1:2">
      <c r="A2570" s="1" t="s">
        <v>3389</v>
      </c>
      <c r="B2570" t="s">
        <v>10340</v>
      </c>
    </row>
    <row r="2571" spans="1:2">
      <c r="A2571" s="1" t="s">
        <v>3390</v>
      </c>
      <c r="B2571" t="s">
        <v>10255</v>
      </c>
    </row>
    <row r="2572" spans="1:2">
      <c r="A2572" s="1" t="s">
        <v>715</v>
      </c>
      <c r="B2572" t="s">
        <v>10387</v>
      </c>
    </row>
    <row r="2573" spans="1:2">
      <c r="A2573" s="1" t="s">
        <v>3391</v>
      </c>
      <c r="B2573" t="s">
        <v>10280</v>
      </c>
    </row>
    <row r="2574" spans="1:2">
      <c r="A2574" s="1" t="s">
        <v>733</v>
      </c>
      <c r="B2574" t="s">
        <v>10245</v>
      </c>
    </row>
    <row r="2575" spans="1:2">
      <c r="A2575" s="1" t="s">
        <v>3392</v>
      </c>
      <c r="B2575" t="s">
        <v>10265</v>
      </c>
    </row>
    <row r="2576" spans="1:2">
      <c r="A2576" s="1" t="s">
        <v>3393</v>
      </c>
      <c r="B2576" t="s">
        <v>10254</v>
      </c>
    </row>
    <row r="2577" spans="1:2">
      <c r="A2577" s="1" t="s">
        <v>3394</v>
      </c>
      <c r="B2577" t="s">
        <v>903</v>
      </c>
    </row>
    <row r="2578" spans="1:2">
      <c r="A2578" s="1" t="s">
        <v>639</v>
      </c>
      <c r="B2578" t="s">
        <v>10283</v>
      </c>
    </row>
    <row r="2579" spans="1:2">
      <c r="A2579" s="1" t="s">
        <v>3395</v>
      </c>
      <c r="B2579" t="s">
        <v>10282</v>
      </c>
    </row>
    <row r="2580" spans="1:2">
      <c r="A2580" s="1" t="s">
        <v>3396</v>
      </c>
      <c r="B2580" t="s">
        <v>903</v>
      </c>
    </row>
    <row r="2581" spans="1:2">
      <c r="A2581" s="1" t="s">
        <v>3397</v>
      </c>
      <c r="B2581" t="s">
        <v>10261</v>
      </c>
    </row>
    <row r="2582" spans="1:2">
      <c r="A2582" s="1" t="s">
        <v>3398</v>
      </c>
      <c r="B2582" t="s">
        <v>10364</v>
      </c>
    </row>
    <row r="2583" spans="1:2">
      <c r="A2583" s="1" t="s">
        <v>3399</v>
      </c>
      <c r="B2583" t="s">
        <v>903</v>
      </c>
    </row>
    <row r="2584" spans="1:2">
      <c r="A2584" s="1" t="s">
        <v>888</v>
      </c>
      <c r="B2584" t="s">
        <v>10264</v>
      </c>
    </row>
    <row r="2585" spans="1:2">
      <c r="A2585" s="1" t="s">
        <v>3400</v>
      </c>
      <c r="B2585" t="s">
        <v>903</v>
      </c>
    </row>
    <row r="2586" spans="1:2">
      <c r="A2586" s="1" t="s">
        <v>3401</v>
      </c>
      <c r="B2586" t="s">
        <v>10435</v>
      </c>
    </row>
    <row r="2587" spans="1:2">
      <c r="A2587" s="1" t="s">
        <v>234</v>
      </c>
      <c r="B2587" t="s">
        <v>10255</v>
      </c>
    </row>
    <row r="2588" spans="1:2">
      <c r="A2588" s="1" t="s">
        <v>3402</v>
      </c>
      <c r="B2588" t="s">
        <v>10245</v>
      </c>
    </row>
    <row r="2589" spans="1:2">
      <c r="A2589" s="1" t="s">
        <v>3403</v>
      </c>
      <c r="B2589" t="s">
        <v>10408</v>
      </c>
    </row>
    <row r="2590" spans="1:2">
      <c r="A2590" s="1" t="s">
        <v>3404</v>
      </c>
      <c r="B2590" t="s">
        <v>10391</v>
      </c>
    </row>
    <row r="2591" spans="1:2">
      <c r="A2591" s="1" t="s">
        <v>3405</v>
      </c>
      <c r="B2591" t="s">
        <v>10307</v>
      </c>
    </row>
    <row r="2592" spans="1:2">
      <c r="A2592" s="1" t="s">
        <v>593</v>
      </c>
      <c r="B2592" t="s">
        <v>10260</v>
      </c>
    </row>
    <row r="2593" spans="1:2">
      <c r="A2593" s="1" t="s">
        <v>3406</v>
      </c>
      <c r="B2593" t="s">
        <v>10398</v>
      </c>
    </row>
    <row r="2594" spans="1:2">
      <c r="A2594" s="1" t="s">
        <v>3407</v>
      </c>
      <c r="B2594" t="s">
        <v>10364</v>
      </c>
    </row>
    <row r="2595" spans="1:2">
      <c r="A2595" s="1" t="s">
        <v>728</v>
      </c>
      <c r="B2595" t="s">
        <v>10311</v>
      </c>
    </row>
    <row r="2596" spans="1:2">
      <c r="A2596" s="1" t="s">
        <v>3408</v>
      </c>
      <c r="B2596" t="s">
        <v>903</v>
      </c>
    </row>
    <row r="2597" spans="1:2">
      <c r="A2597" s="1" t="s">
        <v>3409</v>
      </c>
      <c r="B2597" t="s">
        <v>10313</v>
      </c>
    </row>
    <row r="2598" spans="1:2">
      <c r="A2598" s="1" t="s">
        <v>548</v>
      </c>
      <c r="B2598" t="s">
        <v>10307</v>
      </c>
    </row>
    <row r="2599" spans="1:2">
      <c r="A2599" s="1" t="s">
        <v>3410</v>
      </c>
      <c r="B2599" t="s">
        <v>903</v>
      </c>
    </row>
    <row r="2600" spans="1:2">
      <c r="A2600" s="1" t="s">
        <v>3411</v>
      </c>
      <c r="B2600" t="s">
        <v>10352</v>
      </c>
    </row>
    <row r="2601" spans="1:2">
      <c r="A2601" s="1" t="s">
        <v>3412</v>
      </c>
      <c r="B2601" t="s">
        <v>10265</v>
      </c>
    </row>
    <row r="2602" spans="1:2">
      <c r="A2602" s="1" t="s">
        <v>3413</v>
      </c>
      <c r="B2602" t="s">
        <v>10307</v>
      </c>
    </row>
    <row r="2603" spans="1:2">
      <c r="A2603" s="1" t="s">
        <v>3414</v>
      </c>
      <c r="B2603" t="s">
        <v>10266</v>
      </c>
    </row>
    <row r="2604" spans="1:2">
      <c r="A2604" s="1" t="s">
        <v>3415</v>
      </c>
      <c r="B2604" t="s">
        <v>10251</v>
      </c>
    </row>
    <row r="2605" spans="1:2">
      <c r="A2605" s="1" t="s">
        <v>3416</v>
      </c>
      <c r="B2605" t="s">
        <v>903</v>
      </c>
    </row>
    <row r="2606" spans="1:2">
      <c r="A2606" s="1" t="s">
        <v>3417</v>
      </c>
      <c r="B2606" t="s">
        <v>10382</v>
      </c>
    </row>
    <row r="2607" spans="1:2">
      <c r="A2607" s="1" t="s">
        <v>3418</v>
      </c>
      <c r="B2607" t="s">
        <v>10272</v>
      </c>
    </row>
    <row r="2608" spans="1:2">
      <c r="A2608" s="1" t="s">
        <v>3419</v>
      </c>
      <c r="B2608" t="s">
        <v>10467</v>
      </c>
    </row>
    <row r="2609" spans="1:2">
      <c r="A2609" s="1" t="s">
        <v>3420</v>
      </c>
      <c r="B2609" t="s">
        <v>10244</v>
      </c>
    </row>
    <row r="2610" spans="1:2">
      <c r="A2610" s="1" t="s">
        <v>3421</v>
      </c>
      <c r="B2610" t="s">
        <v>10250</v>
      </c>
    </row>
    <row r="2611" spans="1:2">
      <c r="A2611" s="1" t="s">
        <v>3422</v>
      </c>
      <c r="B2611" t="s">
        <v>10262</v>
      </c>
    </row>
    <row r="2612" spans="1:2">
      <c r="A2612" s="1" t="s">
        <v>3423</v>
      </c>
      <c r="B2612" t="s">
        <v>10477</v>
      </c>
    </row>
    <row r="2613" spans="1:2">
      <c r="A2613" s="1" t="s">
        <v>3424</v>
      </c>
      <c r="B2613" t="s">
        <v>10272</v>
      </c>
    </row>
    <row r="2614" spans="1:2">
      <c r="A2614" s="1" t="s">
        <v>3425</v>
      </c>
      <c r="B2614" t="s">
        <v>10424</v>
      </c>
    </row>
    <row r="2615" spans="1:2">
      <c r="A2615" s="1" t="s">
        <v>3426</v>
      </c>
      <c r="B2615" t="s">
        <v>10284</v>
      </c>
    </row>
    <row r="2616" spans="1:2">
      <c r="A2616" s="1" t="s">
        <v>3427</v>
      </c>
      <c r="B2616" t="s">
        <v>10261</v>
      </c>
    </row>
    <row r="2617" spans="1:2">
      <c r="A2617" s="1" t="s">
        <v>3428</v>
      </c>
      <c r="B2617" t="s">
        <v>903</v>
      </c>
    </row>
    <row r="2618" spans="1:2">
      <c r="A2618" s="1" t="s">
        <v>3429</v>
      </c>
      <c r="B2618" t="s">
        <v>10244</v>
      </c>
    </row>
    <row r="2619" spans="1:2">
      <c r="A2619" s="1" t="s">
        <v>3430</v>
      </c>
      <c r="B2619" t="s">
        <v>903</v>
      </c>
    </row>
    <row r="2620" spans="1:2">
      <c r="A2620" s="1" t="s">
        <v>3431</v>
      </c>
      <c r="B2620" t="s">
        <v>10250</v>
      </c>
    </row>
    <row r="2621" spans="1:2">
      <c r="A2621" s="1" t="s">
        <v>3432</v>
      </c>
      <c r="B2621" t="s">
        <v>10288</v>
      </c>
    </row>
    <row r="2622" spans="1:2">
      <c r="A2622" s="1" t="s">
        <v>3433</v>
      </c>
      <c r="B2622" t="s">
        <v>10324</v>
      </c>
    </row>
    <row r="2623" spans="1:2">
      <c r="A2623" s="1" t="s">
        <v>3434</v>
      </c>
      <c r="B2623" t="s">
        <v>10301</v>
      </c>
    </row>
    <row r="2624" spans="1:2">
      <c r="A2624" s="1" t="s">
        <v>151</v>
      </c>
      <c r="B2624" t="s">
        <v>10283</v>
      </c>
    </row>
    <row r="2625" spans="1:2">
      <c r="A2625" s="1" t="s">
        <v>3435</v>
      </c>
      <c r="B2625" t="s">
        <v>10262</v>
      </c>
    </row>
    <row r="2626" spans="1:2">
      <c r="A2626" s="1" t="s">
        <v>3436</v>
      </c>
      <c r="B2626" t="s">
        <v>10246</v>
      </c>
    </row>
    <row r="2627" spans="1:2">
      <c r="A2627" s="1" t="s">
        <v>3437</v>
      </c>
      <c r="B2627" t="s">
        <v>10262</v>
      </c>
    </row>
    <row r="2628" spans="1:2">
      <c r="A2628" s="1" t="s">
        <v>3438</v>
      </c>
      <c r="B2628" t="s">
        <v>10394</v>
      </c>
    </row>
    <row r="2629" spans="1:2">
      <c r="A2629" s="1" t="s">
        <v>3439</v>
      </c>
      <c r="B2629" t="s">
        <v>10478</v>
      </c>
    </row>
    <row r="2630" spans="1:2">
      <c r="A2630" s="1" t="s">
        <v>3440</v>
      </c>
      <c r="B2630" t="s">
        <v>10264</v>
      </c>
    </row>
    <row r="2631" spans="1:2">
      <c r="A2631" s="1" t="s">
        <v>587</v>
      </c>
      <c r="B2631" t="s">
        <v>10296</v>
      </c>
    </row>
    <row r="2632" spans="1:2">
      <c r="A2632" s="1" t="s">
        <v>3441</v>
      </c>
      <c r="B2632" t="s">
        <v>903</v>
      </c>
    </row>
    <row r="2633" spans="1:2">
      <c r="A2633" s="1" t="s">
        <v>3442</v>
      </c>
      <c r="B2633" t="s">
        <v>10251</v>
      </c>
    </row>
    <row r="2634" spans="1:2">
      <c r="A2634" s="1" t="s">
        <v>3443</v>
      </c>
      <c r="B2634" t="s">
        <v>10245</v>
      </c>
    </row>
    <row r="2635" spans="1:2">
      <c r="A2635" s="1" t="s">
        <v>3444</v>
      </c>
      <c r="B2635" t="s">
        <v>10260</v>
      </c>
    </row>
    <row r="2636" spans="1:2">
      <c r="A2636" s="1" t="s">
        <v>3445</v>
      </c>
      <c r="B2636" t="s">
        <v>10261</v>
      </c>
    </row>
    <row r="2637" spans="1:2">
      <c r="A2637" s="1" t="s">
        <v>3446</v>
      </c>
      <c r="B2637" t="s">
        <v>10433</v>
      </c>
    </row>
    <row r="2638" spans="1:2">
      <c r="A2638" s="1" t="s">
        <v>612</v>
      </c>
      <c r="B2638" t="s">
        <v>10479</v>
      </c>
    </row>
    <row r="2639" spans="1:2">
      <c r="A2639" s="1" t="s">
        <v>3447</v>
      </c>
      <c r="B2639" t="s">
        <v>903</v>
      </c>
    </row>
    <row r="2640" spans="1:2">
      <c r="A2640" s="1" t="s">
        <v>3448</v>
      </c>
      <c r="B2640" t="s">
        <v>10306</v>
      </c>
    </row>
    <row r="2641" spans="1:2">
      <c r="A2641" s="1" t="s">
        <v>3449</v>
      </c>
      <c r="B2641" t="s">
        <v>10264</v>
      </c>
    </row>
    <row r="2642" spans="1:2">
      <c r="A2642" s="1" t="s">
        <v>872</v>
      </c>
      <c r="B2642" t="s">
        <v>10262</v>
      </c>
    </row>
    <row r="2643" spans="1:2">
      <c r="A2643" s="1" t="s">
        <v>3450</v>
      </c>
      <c r="B2643" t="s">
        <v>10249</v>
      </c>
    </row>
    <row r="2644" spans="1:2">
      <c r="A2644" s="1" t="s">
        <v>3451</v>
      </c>
      <c r="B2644" t="s">
        <v>10435</v>
      </c>
    </row>
    <row r="2645" spans="1:2">
      <c r="A2645" s="1" t="s">
        <v>3452</v>
      </c>
      <c r="B2645" t="s">
        <v>10354</v>
      </c>
    </row>
    <row r="2646" spans="1:2">
      <c r="A2646" s="1" t="s">
        <v>3453</v>
      </c>
      <c r="B2646" t="s">
        <v>10480</v>
      </c>
    </row>
    <row r="2647" spans="1:2">
      <c r="A2647" s="1" t="s">
        <v>3454</v>
      </c>
      <c r="B2647" t="s">
        <v>10269</v>
      </c>
    </row>
    <row r="2648" spans="1:2">
      <c r="A2648" s="1" t="s">
        <v>3455</v>
      </c>
      <c r="B2648" t="s">
        <v>10245</v>
      </c>
    </row>
    <row r="2649" spans="1:2">
      <c r="A2649" s="1" t="s">
        <v>3456</v>
      </c>
      <c r="B2649" t="s">
        <v>10244</v>
      </c>
    </row>
    <row r="2650" spans="1:2">
      <c r="A2650" s="1" t="s">
        <v>3457</v>
      </c>
      <c r="B2650" t="s">
        <v>10451</v>
      </c>
    </row>
    <row r="2651" spans="1:2">
      <c r="A2651" s="1" t="s">
        <v>3458</v>
      </c>
      <c r="B2651" t="s">
        <v>10255</v>
      </c>
    </row>
    <row r="2652" spans="1:2">
      <c r="A2652" s="1" t="s">
        <v>471</v>
      </c>
      <c r="B2652" t="s">
        <v>10308</v>
      </c>
    </row>
    <row r="2653" spans="1:2">
      <c r="A2653" s="1" t="s">
        <v>3459</v>
      </c>
      <c r="B2653" t="s">
        <v>10255</v>
      </c>
    </row>
    <row r="2654" spans="1:2">
      <c r="A2654" s="1" t="s">
        <v>3460</v>
      </c>
      <c r="B2654" t="s">
        <v>10272</v>
      </c>
    </row>
    <row r="2655" spans="1:2">
      <c r="A2655" s="1" t="s">
        <v>3461</v>
      </c>
      <c r="B2655" t="s">
        <v>10420</v>
      </c>
    </row>
    <row r="2656" spans="1:2">
      <c r="A2656" s="1" t="s">
        <v>3462</v>
      </c>
      <c r="B2656" t="s">
        <v>10255</v>
      </c>
    </row>
    <row r="2657" spans="1:2">
      <c r="A2657" s="1" t="s">
        <v>3463</v>
      </c>
      <c r="B2657" t="s">
        <v>10261</v>
      </c>
    </row>
    <row r="2658" spans="1:2">
      <c r="A2658" s="1" t="s">
        <v>3464</v>
      </c>
      <c r="B2658" t="s">
        <v>10461</v>
      </c>
    </row>
    <row r="2659" spans="1:2">
      <c r="A2659" s="1" t="s">
        <v>591</v>
      </c>
      <c r="B2659" t="s">
        <v>10275</v>
      </c>
    </row>
    <row r="2660" spans="1:2">
      <c r="A2660" s="1" t="s">
        <v>3465</v>
      </c>
      <c r="B2660" t="s">
        <v>10260</v>
      </c>
    </row>
    <row r="2661" spans="1:2">
      <c r="A2661" s="1" t="s">
        <v>517</v>
      </c>
      <c r="B2661" t="s">
        <v>10337</v>
      </c>
    </row>
    <row r="2662" spans="1:2">
      <c r="A2662" s="1" t="s">
        <v>3466</v>
      </c>
      <c r="B2662" t="s">
        <v>10287</v>
      </c>
    </row>
    <row r="2663" spans="1:2">
      <c r="A2663" s="1" t="s">
        <v>3467</v>
      </c>
      <c r="B2663" t="s">
        <v>10259</v>
      </c>
    </row>
    <row r="2664" spans="1:2">
      <c r="A2664" s="1" t="s">
        <v>3468</v>
      </c>
      <c r="B2664" t="s">
        <v>10261</v>
      </c>
    </row>
    <row r="2665" spans="1:2">
      <c r="A2665" s="1" t="s">
        <v>3469</v>
      </c>
      <c r="B2665" t="s">
        <v>10481</v>
      </c>
    </row>
    <row r="2666" spans="1:2">
      <c r="A2666" s="1" t="s">
        <v>3470</v>
      </c>
      <c r="B2666" t="s">
        <v>10347</v>
      </c>
    </row>
    <row r="2667" spans="1:2">
      <c r="A2667" s="1" t="s">
        <v>579</v>
      </c>
      <c r="B2667" t="s">
        <v>10283</v>
      </c>
    </row>
    <row r="2668" spans="1:2">
      <c r="A2668" s="1" t="s">
        <v>3471</v>
      </c>
      <c r="B2668" t="s">
        <v>10482</v>
      </c>
    </row>
    <row r="2669" spans="1:2">
      <c r="A2669" s="1" t="s">
        <v>627</v>
      </c>
      <c r="B2669" t="s">
        <v>10308</v>
      </c>
    </row>
    <row r="2670" spans="1:2">
      <c r="A2670" s="1" t="s">
        <v>3472</v>
      </c>
      <c r="B2670" t="s">
        <v>10463</v>
      </c>
    </row>
    <row r="2671" spans="1:2">
      <c r="A2671" s="1" t="s">
        <v>3473</v>
      </c>
      <c r="B2671" t="s">
        <v>10263</v>
      </c>
    </row>
    <row r="2672" spans="1:2">
      <c r="A2672" s="1" t="s">
        <v>3474</v>
      </c>
      <c r="B2672" t="s">
        <v>10253</v>
      </c>
    </row>
    <row r="2673" spans="1:2">
      <c r="A2673" s="1" t="s">
        <v>3475</v>
      </c>
      <c r="B2673" t="s">
        <v>10277</v>
      </c>
    </row>
    <row r="2674" spans="1:2">
      <c r="A2674" s="1" t="s">
        <v>3476</v>
      </c>
      <c r="B2674" t="s">
        <v>10260</v>
      </c>
    </row>
    <row r="2675" spans="1:2">
      <c r="A2675" s="1" t="s">
        <v>450</v>
      </c>
      <c r="B2675" t="s">
        <v>10278</v>
      </c>
    </row>
    <row r="2676" spans="1:2">
      <c r="A2676" s="1" t="s">
        <v>3477</v>
      </c>
      <c r="B2676" t="s">
        <v>10255</v>
      </c>
    </row>
    <row r="2677" spans="1:2">
      <c r="A2677" s="1" t="s">
        <v>756</v>
      </c>
      <c r="B2677" t="s">
        <v>10269</v>
      </c>
    </row>
    <row r="2678" spans="1:2">
      <c r="A2678" s="1" t="s">
        <v>3478</v>
      </c>
      <c r="B2678" t="s">
        <v>903</v>
      </c>
    </row>
    <row r="2679" spans="1:2">
      <c r="A2679" s="1" t="s">
        <v>3479</v>
      </c>
      <c r="B2679" t="s">
        <v>10329</v>
      </c>
    </row>
    <row r="2680" spans="1:2">
      <c r="A2680" s="1" t="s">
        <v>3480</v>
      </c>
      <c r="B2680" t="s">
        <v>10426</v>
      </c>
    </row>
    <row r="2681" spans="1:2">
      <c r="A2681" s="1" t="s">
        <v>3481</v>
      </c>
      <c r="B2681" t="s">
        <v>10255</v>
      </c>
    </row>
    <row r="2682" spans="1:2">
      <c r="A2682" s="1" t="s">
        <v>3482</v>
      </c>
      <c r="B2682" t="s">
        <v>10257</v>
      </c>
    </row>
    <row r="2683" spans="1:2">
      <c r="A2683" s="1" t="s">
        <v>3483</v>
      </c>
      <c r="B2683" t="s">
        <v>10259</v>
      </c>
    </row>
    <row r="2684" spans="1:2">
      <c r="A2684" s="1" t="s">
        <v>3484</v>
      </c>
      <c r="B2684" t="s">
        <v>10340</v>
      </c>
    </row>
    <row r="2685" spans="1:2">
      <c r="A2685" s="1" t="s">
        <v>3485</v>
      </c>
      <c r="B2685" t="s">
        <v>10255</v>
      </c>
    </row>
    <row r="2686" spans="1:2">
      <c r="A2686" s="1" t="s">
        <v>3486</v>
      </c>
      <c r="B2686" t="s">
        <v>10261</v>
      </c>
    </row>
    <row r="2687" spans="1:2">
      <c r="A2687" s="1" t="s">
        <v>3487</v>
      </c>
      <c r="B2687" t="s">
        <v>10261</v>
      </c>
    </row>
    <row r="2688" spans="1:2">
      <c r="A2688" s="1" t="s">
        <v>444</v>
      </c>
      <c r="B2688" t="s">
        <v>10307</v>
      </c>
    </row>
    <row r="2689" spans="1:2">
      <c r="A2689" s="1" t="s">
        <v>3488</v>
      </c>
      <c r="B2689" t="s">
        <v>10291</v>
      </c>
    </row>
    <row r="2690" spans="1:2">
      <c r="A2690" s="1" t="s">
        <v>334</v>
      </c>
      <c r="B2690" t="s">
        <v>10260</v>
      </c>
    </row>
    <row r="2691" spans="1:2">
      <c r="A2691" s="1" t="s">
        <v>3489</v>
      </c>
      <c r="B2691" t="s">
        <v>10245</v>
      </c>
    </row>
    <row r="2692" spans="1:2">
      <c r="A2692" s="1" t="s">
        <v>3490</v>
      </c>
      <c r="B2692" t="s">
        <v>10308</v>
      </c>
    </row>
    <row r="2693" spans="1:2">
      <c r="A2693" s="1" t="s">
        <v>3491</v>
      </c>
      <c r="B2693" t="s">
        <v>10262</v>
      </c>
    </row>
    <row r="2694" spans="1:2">
      <c r="A2694" s="1" t="s">
        <v>3492</v>
      </c>
      <c r="B2694" t="s">
        <v>903</v>
      </c>
    </row>
    <row r="2695" spans="1:2">
      <c r="A2695" s="1" t="s">
        <v>3493</v>
      </c>
      <c r="B2695" t="s">
        <v>10317</v>
      </c>
    </row>
    <row r="2696" spans="1:2">
      <c r="A2696" s="1" t="s">
        <v>3494</v>
      </c>
      <c r="B2696" t="s">
        <v>10255</v>
      </c>
    </row>
    <row r="2697" spans="1:2">
      <c r="A2697" s="1" t="s">
        <v>264</v>
      </c>
      <c r="B2697" t="s">
        <v>10372</v>
      </c>
    </row>
    <row r="2698" spans="1:2">
      <c r="A2698" s="1" t="s">
        <v>3495</v>
      </c>
      <c r="B2698" t="s">
        <v>10414</v>
      </c>
    </row>
    <row r="2699" spans="1:2">
      <c r="A2699" s="1" t="s">
        <v>3496</v>
      </c>
      <c r="B2699" t="s">
        <v>10261</v>
      </c>
    </row>
    <row r="2700" spans="1:2">
      <c r="A2700" s="1" t="s">
        <v>3497</v>
      </c>
      <c r="B2700" t="s">
        <v>10357</v>
      </c>
    </row>
    <row r="2701" spans="1:2">
      <c r="A2701" s="1" t="s">
        <v>3498</v>
      </c>
      <c r="B2701" t="s">
        <v>10287</v>
      </c>
    </row>
    <row r="2702" spans="1:2">
      <c r="A2702" s="1" t="s">
        <v>3499</v>
      </c>
      <c r="B2702" t="s">
        <v>10261</v>
      </c>
    </row>
    <row r="2703" spans="1:2">
      <c r="A2703" s="1" t="s">
        <v>3500</v>
      </c>
      <c r="B2703" t="s">
        <v>10271</v>
      </c>
    </row>
    <row r="2704" spans="1:2">
      <c r="A2704" s="1" t="s">
        <v>3501</v>
      </c>
      <c r="B2704" t="s">
        <v>10390</v>
      </c>
    </row>
    <row r="2705" spans="1:2">
      <c r="A2705" s="1" t="s">
        <v>397</v>
      </c>
      <c r="B2705" t="s">
        <v>10255</v>
      </c>
    </row>
    <row r="2706" spans="1:2">
      <c r="A2706" s="1" t="s">
        <v>3502</v>
      </c>
      <c r="B2706" t="s">
        <v>10312</v>
      </c>
    </row>
    <row r="2707" spans="1:2">
      <c r="A2707" s="1" t="s">
        <v>3503</v>
      </c>
      <c r="B2707" t="s">
        <v>10301</v>
      </c>
    </row>
    <row r="2708" spans="1:2">
      <c r="A2708" s="1" t="s">
        <v>3504</v>
      </c>
      <c r="B2708" t="s">
        <v>10340</v>
      </c>
    </row>
    <row r="2709" spans="1:2">
      <c r="A2709" s="1" t="s">
        <v>3505</v>
      </c>
      <c r="B2709" t="s">
        <v>10246</v>
      </c>
    </row>
    <row r="2710" spans="1:2">
      <c r="A2710" s="1" t="s">
        <v>3506</v>
      </c>
      <c r="B2710" t="s">
        <v>10298</v>
      </c>
    </row>
    <row r="2711" spans="1:2">
      <c r="A2711" s="1" t="s">
        <v>3507</v>
      </c>
      <c r="B2711" t="s">
        <v>10481</v>
      </c>
    </row>
    <row r="2712" spans="1:2">
      <c r="A2712" s="1" t="s">
        <v>3508</v>
      </c>
      <c r="B2712" t="s">
        <v>10251</v>
      </c>
    </row>
    <row r="2713" spans="1:2">
      <c r="A2713" s="1" t="s">
        <v>3509</v>
      </c>
      <c r="B2713" t="s">
        <v>10307</v>
      </c>
    </row>
    <row r="2714" spans="1:2">
      <c r="A2714" s="1" t="s">
        <v>3510</v>
      </c>
      <c r="B2714" t="s">
        <v>10283</v>
      </c>
    </row>
    <row r="2715" spans="1:2">
      <c r="A2715" s="1" t="s">
        <v>3511</v>
      </c>
      <c r="B2715" t="s">
        <v>10261</v>
      </c>
    </row>
    <row r="2716" spans="1:2">
      <c r="A2716" s="1" t="s">
        <v>3512</v>
      </c>
      <c r="B2716" t="s">
        <v>10288</v>
      </c>
    </row>
    <row r="2717" spans="1:2">
      <c r="A2717" s="1" t="s">
        <v>3513</v>
      </c>
      <c r="B2717" t="s">
        <v>10313</v>
      </c>
    </row>
    <row r="2718" spans="1:2">
      <c r="A2718" s="1" t="s">
        <v>3514</v>
      </c>
      <c r="B2718" t="s">
        <v>10346</v>
      </c>
    </row>
    <row r="2719" spans="1:2">
      <c r="A2719" s="1" t="s">
        <v>3515</v>
      </c>
      <c r="B2719" t="s">
        <v>10270</v>
      </c>
    </row>
    <row r="2720" spans="1:2">
      <c r="A2720" s="1" t="s">
        <v>792</v>
      </c>
      <c r="B2720" t="s">
        <v>10255</v>
      </c>
    </row>
    <row r="2721" spans="1:2">
      <c r="A2721" s="1" t="s">
        <v>3516</v>
      </c>
      <c r="B2721" t="s">
        <v>10255</v>
      </c>
    </row>
    <row r="2722" spans="1:2">
      <c r="A2722" s="1" t="s">
        <v>3517</v>
      </c>
      <c r="B2722" t="s">
        <v>10416</v>
      </c>
    </row>
    <row r="2723" spans="1:2">
      <c r="A2723" s="1" t="s">
        <v>466</v>
      </c>
      <c r="B2723" t="s">
        <v>10283</v>
      </c>
    </row>
    <row r="2724" spans="1:2">
      <c r="A2724" s="1" t="s">
        <v>3518</v>
      </c>
      <c r="B2724" t="s">
        <v>10265</v>
      </c>
    </row>
    <row r="2725" spans="1:2">
      <c r="A2725" s="1" t="s">
        <v>3519</v>
      </c>
      <c r="B2725" t="s">
        <v>903</v>
      </c>
    </row>
    <row r="2726" spans="1:2">
      <c r="A2726" s="1" t="s">
        <v>3520</v>
      </c>
      <c r="B2726" t="s">
        <v>10340</v>
      </c>
    </row>
    <row r="2727" spans="1:2">
      <c r="A2727" s="1" t="s">
        <v>3521</v>
      </c>
      <c r="B2727" t="s">
        <v>10262</v>
      </c>
    </row>
    <row r="2728" spans="1:2">
      <c r="A2728" s="1" t="s">
        <v>547</v>
      </c>
      <c r="B2728" t="s">
        <v>10343</v>
      </c>
    </row>
    <row r="2729" spans="1:2">
      <c r="A2729" s="1" t="s">
        <v>3522</v>
      </c>
      <c r="B2729" t="s">
        <v>10245</v>
      </c>
    </row>
    <row r="2730" spans="1:2">
      <c r="A2730" s="1" t="s">
        <v>3523</v>
      </c>
      <c r="B2730" t="s">
        <v>10304</v>
      </c>
    </row>
    <row r="2731" spans="1:2">
      <c r="A2731" s="1" t="s">
        <v>3524</v>
      </c>
      <c r="B2731" t="s">
        <v>10282</v>
      </c>
    </row>
    <row r="2732" spans="1:2">
      <c r="A2732" s="1" t="s">
        <v>3525</v>
      </c>
      <c r="B2732" t="s">
        <v>10385</v>
      </c>
    </row>
    <row r="2733" spans="1:2">
      <c r="A2733" s="1" t="s">
        <v>3526</v>
      </c>
      <c r="B2733" t="s">
        <v>10327</v>
      </c>
    </row>
    <row r="2734" spans="1:2">
      <c r="A2734" s="1" t="s">
        <v>3527</v>
      </c>
      <c r="B2734" t="s">
        <v>10255</v>
      </c>
    </row>
    <row r="2735" spans="1:2">
      <c r="A2735" s="1" t="s">
        <v>311</v>
      </c>
      <c r="B2735" t="s">
        <v>10308</v>
      </c>
    </row>
    <row r="2736" spans="1:2">
      <c r="A2736" s="1" t="s">
        <v>829</v>
      </c>
      <c r="B2736" t="s">
        <v>10335</v>
      </c>
    </row>
    <row r="2737" spans="1:2">
      <c r="A2737" s="1" t="s">
        <v>3528</v>
      </c>
      <c r="B2737" t="s">
        <v>903</v>
      </c>
    </row>
    <row r="2738" spans="1:2">
      <c r="A2738" s="1" t="s">
        <v>3529</v>
      </c>
      <c r="B2738" t="s">
        <v>10265</v>
      </c>
    </row>
    <row r="2739" spans="1:2">
      <c r="A2739" s="1" t="s">
        <v>3530</v>
      </c>
      <c r="B2739" t="s">
        <v>10455</v>
      </c>
    </row>
    <row r="2740" spans="1:2">
      <c r="A2740" s="1" t="s">
        <v>3531</v>
      </c>
      <c r="B2740" t="s">
        <v>10368</v>
      </c>
    </row>
    <row r="2741" spans="1:2">
      <c r="A2741" s="1" t="s">
        <v>891</v>
      </c>
      <c r="B2741" t="s">
        <v>10255</v>
      </c>
    </row>
    <row r="2742" spans="1:2">
      <c r="A2742" s="1" t="s">
        <v>3532</v>
      </c>
      <c r="B2742" t="s">
        <v>10262</v>
      </c>
    </row>
    <row r="2743" spans="1:2">
      <c r="A2743" s="1" t="s">
        <v>3533</v>
      </c>
      <c r="B2743" t="s">
        <v>10251</v>
      </c>
    </row>
    <row r="2744" spans="1:2">
      <c r="A2744" s="1" t="s">
        <v>134</v>
      </c>
      <c r="B2744" t="s">
        <v>10307</v>
      </c>
    </row>
    <row r="2745" spans="1:2">
      <c r="A2745" s="1" t="s">
        <v>3534</v>
      </c>
      <c r="B2745" t="s">
        <v>10376</v>
      </c>
    </row>
    <row r="2746" spans="1:2">
      <c r="A2746" s="1" t="s">
        <v>3535</v>
      </c>
      <c r="B2746" t="s">
        <v>10261</v>
      </c>
    </row>
    <row r="2747" spans="1:2">
      <c r="A2747" s="1" t="s">
        <v>332</v>
      </c>
      <c r="B2747" t="s">
        <v>10271</v>
      </c>
    </row>
    <row r="2748" spans="1:2">
      <c r="A2748" s="1" t="s">
        <v>3536</v>
      </c>
      <c r="B2748" t="s">
        <v>10364</v>
      </c>
    </row>
    <row r="2749" spans="1:2">
      <c r="A2749" s="1" t="s">
        <v>3537</v>
      </c>
      <c r="B2749" t="s">
        <v>10255</v>
      </c>
    </row>
    <row r="2750" spans="1:2">
      <c r="A2750" s="1" t="s">
        <v>3538</v>
      </c>
      <c r="B2750" t="s">
        <v>10464</v>
      </c>
    </row>
    <row r="2751" spans="1:2">
      <c r="A2751" s="1" t="s">
        <v>3539</v>
      </c>
      <c r="B2751" t="s">
        <v>10483</v>
      </c>
    </row>
    <row r="2752" spans="1:2">
      <c r="A2752" s="1" t="s">
        <v>273</v>
      </c>
      <c r="B2752" t="s">
        <v>10260</v>
      </c>
    </row>
    <row r="2753" spans="1:2">
      <c r="A2753" s="1" t="s">
        <v>3540</v>
      </c>
      <c r="B2753" t="s">
        <v>10283</v>
      </c>
    </row>
    <row r="2754" spans="1:2">
      <c r="A2754" s="1" t="s">
        <v>3541</v>
      </c>
      <c r="B2754" t="s">
        <v>10255</v>
      </c>
    </row>
    <row r="2755" spans="1:2">
      <c r="A2755" s="1" t="s">
        <v>239</v>
      </c>
      <c r="B2755" t="s">
        <v>10307</v>
      </c>
    </row>
    <row r="2756" spans="1:2">
      <c r="A2756" s="1" t="s">
        <v>3542</v>
      </c>
      <c r="B2756" t="s">
        <v>10269</v>
      </c>
    </row>
    <row r="2757" spans="1:2">
      <c r="A2757" s="1" t="s">
        <v>3543</v>
      </c>
      <c r="B2757" t="s">
        <v>10271</v>
      </c>
    </row>
    <row r="2758" spans="1:2">
      <c r="A2758" s="1" t="s">
        <v>3544</v>
      </c>
      <c r="B2758" t="s">
        <v>10434</v>
      </c>
    </row>
    <row r="2759" spans="1:2">
      <c r="A2759" s="1" t="s">
        <v>3545</v>
      </c>
      <c r="B2759" t="s">
        <v>10287</v>
      </c>
    </row>
    <row r="2760" spans="1:2">
      <c r="A2760" s="1" t="s">
        <v>3546</v>
      </c>
      <c r="B2760" t="s">
        <v>10255</v>
      </c>
    </row>
    <row r="2761" spans="1:2">
      <c r="A2761" s="1" t="s">
        <v>3547</v>
      </c>
      <c r="B2761" t="s">
        <v>10391</v>
      </c>
    </row>
    <row r="2762" spans="1:2">
      <c r="A2762" s="1" t="s">
        <v>3548</v>
      </c>
      <c r="B2762" t="s">
        <v>10261</v>
      </c>
    </row>
    <row r="2763" spans="1:2">
      <c r="A2763" s="1" t="s">
        <v>3549</v>
      </c>
      <c r="B2763" t="s">
        <v>10245</v>
      </c>
    </row>
    <row r="2764" spans="1:2">
      <c r="A2764" s="1" t="s">
        <v>3550</v>
      </c>
      <c r="B2764" t="s">
        <v>10408</v>
      </c>
    </row>
    <row r="2765" spans="1:2">
      <c r="A2765" s="1" t="s">
        <v>3551</v>
      </c>
      <c r="B2765" t="s">
        <v>10478</v>
      </c>
    </row>
    <row r="2766" spans="1:2">
      <c r="A2766" s="1" t="s">
        <v>3552</v>
      </c>
      <c r="B2766" t="s">
        <v>10380</v>
      </c>
    </row>
    <row r="2767" spans="1:2">
      <c r="A2767" s="1" t="s">
        <v>3553</v>
      </c>
      <c r="B2767" t="s">
        <v>10299</v>
      </c>
    </row>
    <row r="2768" spans="1:2">
      <c r="A2768" s="1" t="s">
        <v>3554</v>
      </c>
      <c r="B2768" t="s">
        <v>10478</v>
      </c>
    </row>
    <row r="2769" spans="1:2">
      <c r="A2769" s="1" t="s">
        <v>405</v>
      </c>
      <c r="B2769" t="s">
        <v>10271</v>
      </c>
    </row>
    <row r="2770" spans="1:2">
      <c r="A2770" s="1" t="s">
        <v>3555</v>
      </c>
      <c r="B2770" t="s">
        <v>10255</v>
      </c>
    </row>
    <row r="2771" spans="1:2">
      <c r="A2771" s="1" t="s">
        <v>3556</v>
      </c>
      <c r="B2771" t="s">
        <v>10260</v>
      </c>
    </row>
    <row r="2772" spans="1:2">
      <c r="A2772" s="1" t="s">
        <v>3557</v>
      </c>
      <c r="B2772" t="s">
        <v>10287</v>
      </c>
    </row>
    <row r="2773" spans="1:2">
      <c r="A2773" s="1" t="s">
        <v>3558</v>
      </c>
      <c r="B2773" t="s">
        <v>10304</v>
      </c>
    </row>
    <row r="2774" spans="1:2">
      <c r="A2774" s="1" t="s">
        <v>3559</v>
      </c>
      <c r="B2774" t="s">
        <v>10313</v>
      </c>
    </row>
    <row r="2775" spans="1:2">
      <c r="A2775" s="1" t="s">
        <v>3560</v>
      </c>
      <c r="B2775" t="s">
        <v>10261</v>
      </c>
    </row>
    <row r="2776" spans="1:2">
      <c r="A2776" s="1" t="s">
        <v>3561</v>
      </c>
      <c r="B2776" t="s">
        <v>10266</v>
      </c>
    </row>
    <row r="2777" spans="1:2">
      <c r="A2777" s="1" t="s">
        <v>3562</v>
      </c>
      <c r="B2777" t="s">
        <v>10326</v>
      </c>
    </row>
    <row r="2778" spans="1:2">
      <c r="A2778" s="1" t="s">
        <v>29</v>
      </c>
      <c r="B2778" t="s">
        <v>10273</v>
      </c>
    </row>
    <row r="2779" spans="1:2">
      <c r="A2779" s="1" t="s">
        <v>3563</v>
      </c>
      <c r="B2779" t="s">
        <v>10261</v>
      </c>
    </row>
    <row r="2780" spans="1:2">
      <c r="A2780" s="1" t="s">
        <v>770</v>
      </c>
      <c r="B2780" t="s">
        <v>10301</v>
      </c>
    </row>
    <row r="2781" spans="1:2">
      <c r="A2781" s="1" t="s">
        <v>3564</v>
      </c>
      <c r="B2781" t="s">
        <v>10277</v>
      </c>
    </row>
    <row r="2782" spans="1:2">
      <c r="A2782" s="1" t="s">
        <v>3565</v>
      </c>
      <c r="B2782" t="s">
        <v>10304</v>
      </c>
    </row>
    <row r="2783" spans="1:2">
      <c r="A2783" s="1" t="s">
        <v>606</v>
      </c>
      <c r="B2783" t="s">
        <v>10298</v>
      </c>
    </row>
    <row r="2784" spans="1:2">
      <c r="A2784" s="1" t="s">
        <v>3566</v>
      </c>
      <c r="B2784" t="s">
        <v>10245</v>
      </c>
    </row>
    <row r="2785" spans="1:2">
      <c r="A2785" s="1" t="s">
        <v>3567</v>
      </c>
      <c r="B2785" t="s">
        <v>10308</v>
      </c>
    </row>
    <row r="2786" spans="1:2">
      <c r="A2786" s="1" t="s">
        <v>3568</v>
      </c>
      <c r="B2786" t="s">
        <v>10299</v>
      </c>
    </row>
    <row r="2787" spans="1:2">
      <c r="A2787" s="1" t="s">
        <v>3569</v>
      </c>
      <c r="B2787" t="s">
        <v>10381</v>
      </c>
    </row>
    <row r="2788" spans="1:2">
      <c r="A2788" s="1" t="s">
        <v>3570</v>
      </c>
      <c r="B2788" t="s">
        <v>10297</v>
      </c>
    </row>
    <row r="2789" spans="1:2">
      <c r="A2789" s="1" t="s">
        <v>3571</v>
      </c>
      <c r="B2789" t="s">
        <v>10340</v>
      </c>
    </row>
    <row r="2790" spans="1:2">
      <c r="A2790" s="1" t="s">
        <v>3572</v>
      </c>
      <c r="B2790" t="s">
        <v>10424</v>
      </c>
    </row>
    <row r="2791" spans="1:2">
      <c r="A2791" s="1" t="s">
        <v>3573</v>
      </c>
      <c r="B2791" t="s">
        <v>10308</v>
      </c>
    </row>
    <row r="2792" spans="1:2">
      <c r="A2792" s="1" t="s">
        <v>3574</v>
      </c>
      <c r="B2792" t="s">
        <v>10255</v>
      </c>
    </row>
    <row r="2793" spans="1:2">
      <c r="A2793" s="1" t="s">
        <v>3575</v>
      </c>
      <c r="B2793" t="s">
        <v>10296</v>
      </c>
    </row>
    <row r="2794" spans="1:2">
      <c r="A2794" s="1" t="s">
        <v>3576</v>
      </c>
      <c r="B2794" t="s">
        <v>10304</v>
      </c>
    </row>
    <row r="2795" spans="1:2">
      <c r="A2795" s="1" t="s">
        <v>3577</v>
      </c>
      <c r="B2795" t="s">
        <v>10261</v>
      </c>
    </row>
    <row r="2796" spans="1:2">
      <c r="A2796" s="1" t="s">
        <v>3578</v>
      </c>
      <c r="B2796" t="s">
        <v>10269</v>
      </c>
    </row>
    <row r="2797" spans="1:2">
      <c r="A2797" s="1" t="s">
        <v>3579</v>
      </c>
      <c r="B2797" t="s">
        <v>10261</v>
      </c>
    </row>
    <row r="2798" spans="1:2">
      <c r="A2798" s="1" t="s">
        <v>744</v>
      </c>
      <c r="B2798" t="s">
        <v>10472</v>
      </c>
    </row>
    <row r="2799" spans="1:2">
      <c r="A2799" s="1" t="s">
        <v>3580</v>
      </c>
      <c r="B2799" t="s">
        <v>10307</v>
      </c>
    </row>
    <row r="2800" spans="1:2">
      <c r="A2800" s="1" t="s">
        <v>3581</v>
      </c>
      <c r="B2800" t="s">
        <v>10455</v>
      </c>
    </row>
    <row r="2801" spans="1:2">
      <c r="A2801" s="1" t="s">
        <v>3582</v>
      </c>
      <c r="B2801" t="s">
        <v>10277</v>
      </c>
    </row>
    <row r="2802" spans="1:2">
      <c r="A2802" s="1" t="s">
        <v>3583</v>
      </c>
      <c r="B2802" t="s">
        <v>10283</v>
      </c>
    </row>
    <row r="2803" spans="1:2">
      <c r="A2803" s="1" t="s">
        <v>3584</v>
      </c>
      <c r="B2803" t="s">
        <v>10343</v>
      </c>
    </row>
    <row r="2804" spans="1:2">
      <c r="A2804" s="1" t="s">
        <v>3585</v>
      </c>
      <c r="B2804" t="s">
        <v>10463</v>
      </c>
    </row>
    <row r="2805" spans="1:2">
      <c r="A2805" s="1" t="s">
        <v>3586</v>
      </c>
      <c r="B2805" t="s">
        <v>10250</v>
      </c>
    </row>
    <row r="2806" spans="1:2">
      <c r="A2806" s="1" t="s">
        <v>3587</v>
      </c>
      <c r="B2806" t="s">
        <v>10279</v>
      </c>
    </row>
    <row r="2807" spans="1:2">
      <c r="A2807" s="1" t="s">
        <v>3588</v>
      </c>
      <c r="B2807" t="s">
        <v>10287</v>
      </c>
    </row>
    <row r="2808" spans="1:2">
      <c r="A2808" s="1" t="s">
        <v>3589</v>
      </c>
      <c r="B2808" t="s">
        <v>10252</v>
      </c>
    </row>
    <row r="2809" spans="1:2">
      <c r="A2809" s="1" t="s">
        <v>609</v>
      </c>
      <c r="B2809" t="s">
        <v>10373</v>
      </c>
    </row>
    <row r="2810" spans="1:2">
      <c r="A2810" s="1" t="s">
        <v>3590</v>
      </c>
      <c r="B2810" t="s">
        <v>10424</v>
      </c>
    </row>
    <row r="2811" spans="1:2">
      <c r="A2811" s="1" t="s">
        <v>3591</v>
      </c>
      <c r="B2811" t="s">
        <v>10437</v>
      </c>
    </row>
    <row r="2812" spans="1:2">
      <c r="A2812" s="1" t="s">
        <v>3592</v>
      </c>
      <c r="B2812" t="s">
        <v>10259</v>
      </c>
    </row>
    <row r="2813" spans="1:2">
      <c r="A2813" s="1" t="s">
        <v>3593</v>
      </c>
      <c r="B2813" t="s">
        <v>10285</v>
      </c>
    </row>
    <row r="2814" spans="1:2">
      <c r="A2814" s="1" t="s">
        <v>3594</v>
      </c>
      <c r="B2814" t="s">
        <v>903</v>
      </c>
    </row>
    <row r="2815" spans="1:2">
      <c r="A2815" s="1" t="s">
        <v>3595</v>
      </c>
      <c r="B2815" t="s">
        <v>10275</v>
      </c>
    </row>
    <row r="2816" spans="1:2">
      <c r="A2816" s="1" t="s">
        <v>3596</v>
      </c>
      <c r="B2816" t="s">
        <v>10307</v>
      </c>
    </row>
    <row r="2817" spans="1:2">
      <c r="A2817" s="1" t="s">
        <v>3597</v>
      </c>
      <c r="B2817" t="s">
        <v>10253</v>
      </c>
    </row>
    <row r="2818" spans="1:2">
      <c r="A2818" s="1" t="s">
        <v>3598</v>
      </c>
      <c r="B2818" t="s">
        <v>10298</v>
      </c>
    </row>
    <row r="2819" spans="1:2">
      <c r="A2819" s="1" t="s">
        <v>3599</v>
      </c>
      <c r="B2819" t="s">
        <v>10484</v>
      </c>
    </row>
    <row r="2820" spans="1:2">
      <c r="A2820" s="1" t="s">
        <v>3600</v>
      </c>
      <c r="B2820" t="s">
        <v>10485</v>
      </c>
    </row>
    <row r="2821" spans="1:2">
      <c r="A2821" s="1" t="s">
        <v>3601</v>
      </c>
      <c r="B2821" t="s">
        <v>10281</v>
      </c>
    </row>
    <row r="2822" spans="1:2">
      <c r="A2822" s="1" t="s">
        <v>3602</v>
      </c>
      <c r="B2822" t="s">
        <v>10246</v>
      </c>
    </row>
    <row r="2823" spans="1:2">
      <c r="A2823" s="1" t="s">
        <v>349</v>
      </c>
      <c r="B2823" t="s">
        <v>10260</v>
      </c>
    </row>
    <row r="2824" spans="1:2">
      <c r="A2824" s="1" t="s">
        <v>3603</v>
      </c>
      <c r="B2824" t="s">
        <v>10291</v>
      </c>
    </row>
    <row r="2825" spans="1:2">
      <c r="A2825" s="1" t="s">
        <v>3604</v>
      </c>
      <c r="B2825" t="s">
        <v>10246</v>
      </c>
    </row>
    <row r="2826" spans="1:2">
      <c r="A2826" s="1" t="s">
        <v>3605</v>
      </c>
      <c r="B2826" t="s">
        <v>10383</v>
      </c>
    </row>
    <row r="2827" spans="1:2">
      <c r="A2827" s="1" t="s">
        <v>3606</v>
      </c>
      <c r="B2827" t="s">
        <v>10299</v>
      </c>
    </row>
    <row r="2828" spans="1:2">
      <c r="A2828" s="1" t="s">
        <v>559</v>
      </c>
      <c r="B2828" t="s">
        <v>10265</v>
      </c>
    </row>
    <row r="2829" spans="1:2">
      <c r="A2829" s="1" t="s">
        <v>3607</v>
      </c>
      <c r="B2829" t="s">
        <v>10254</v>
      </c>
    </row>
    <row r="2830" spans="1:2">
      <c r="A2830" s="1" t="s">
        <v>71</v>
      </c>
      <c r="B2830" t="s">
        <v>10250</v>
      </c>
    </row>
    <row r="2831" spans="1:2">
      <c r="A2831" s="1" t="s">
        <v>3608</v>
      </c>
      <c r="B2831" t="s">
        <v>10261</v>
      </c>
    </row>
    <row r="2832" spans="1:2">
      <c r="A2832" s="1" t="s">
        <v>3609</v>
      </c>
      <c r="B2832" t="s">
        <v>10255</v>
      </c>
    </row>
    <row r="2833" spans="1:2">
      <c r="A2833" s="1" t="s">
        <v>3610</v>
      </c>
      <c r="B2833" t="s">
        <v>10250</v>
      </c>
    </row>
    <row r="2834" spans="1:2">
      <c r="A2834" s="1" t="s">
        <v>243</v>
      </c>
      <c r="B2834" t="s">
        <v>10273</v>
      </c>
    </row>
    <row r="2835" spans="1:2">
      <c r="A2835" s="1" t="s">
        <v>3611</v>
      </c>
      <c r="B2835" t="s">
        <v>10313</v>
      </c>
    </row>
    <row r="2836" spans="1:2">
      <c r="A2836" s="1" t="s">
        <v>3612</v>
      </c>
      <c r="B2836" t="s">
        <v>10250</v>
      </c>
    </row>
    <row r="2837" spans="1:2">
      <c r="A2837" s="1" t="s">
        <v>3613</v>
      </c>
      <c r="B2837" t="s">
        <v>10260</v>
      </c>
    </row>
    <row r="2838" spans="1:2">
      <c r="A2838" s="1" t="s">
        <v>290</v>
      </c>
      <c r="B2838" t="s">
        <v>10301</v>
      </c>
    </row>
    <row r="2839" spans="1:2">
      <c r="A2839" s="1" t="s">
        <v>3614</v>
      </c>
      <c r="B2839" t="s">
        <v>10357</v>
      </c>
    </row>
    <row r="2840" spans="1:2">
      <c r="A2840" s="1" t="s">
        <v>3615</v>
      </c>
      <c r="B2840" t="s">
        <v>10374</v>
      </c>
    </row>
    <row r="2841" spans="1:2">
      <c r="A2841" s="1" t="s">
        <v>3616</v>
      </c>
      <c r="B2841" t="s">
        <v>10265</v>
      </c>
    </row>
    <row r="2842" spans="1:2">
      <c r="A2842" s="1" t="s">
        <v>3617</v>
      </c>
      <c r="B2842" t="s">
        <v>10326</v>
      </c>
    </row>
    <row r="2843" spans="1:2">
      <c r="A2843" s="1" t="s">
        <v>3618</v>
      </c>
      <c r="B2843" t="s">
        <v>10261</v>
      </c>
    </row>
    <row r="2844" spans="1:2">
      <c r="A2844" s="1" t="s">
        <v>3619</v>
      </c>
      <c r="B2844" t="s">
        <v>10260</v>
      </c>
    </row>
    <row r="2845" spans="1:2">
      <c r="A2845" s="1" t="s">
        <v>3620</v>
      </c>
      <c r="B2845" t="s">
        <v>10246</v>
      </c>
    </row>
    <row r="2846" spans="1:2">
      <c r="A2846" s="1" t="s">
        <v>3621</v>
      </c>
      <c r="B2846" t="s">
        <v>10297</v>
      </c>
    </row>
    <row r="2847" spans="1:2">
      <c r="A2847" s="1" t="s">
        <v>3622</v>
      </c>
      <c r="B2847" t="s">
        <v>10266</v>
      </c>
    </row>
    <row r="2848" spans="1:2">
      <c r="A2848" s="1" t="s">
        <v>3623</v>
      </c>
      <c r="B2848" t="s">
        <v>10264</v>
      </c>
    </row>
    <row r="2849" spans="1:2">
      <c r="A2849" s="1" t="s">
        <v>3624</v>
      </c>
      <c r="B2849" t="s">
        <v>10252</v>
      </c>
    </row>
    <row r="2850" spans="1:2">
      <c r="A2850" s="1" t="s">
        <v>3625</v>
      </c>
      <c r="B2850" t="s">
        <v>10336</v>
      </c>
    </row>
    <row r="2851" spans="1:2">
      <c r="A2851" s="1" t="s">
        <v>3626</v>
      </c>
      <c r="B2851" t="s">
        <v>10486</v>
      </c>
    </row>
    <row r="2852" spans="1:2">
      <c r="A2852" s="1" t="s">
        <v>3627</v>
      </c>
      <c r="B2852" t="s">
        <v>10259</v>
      </c>
    </row>
    <row r="2853" spans="1:2">
      <c r="A2853" s="1" t="s">
        <v>3628</v>
      </c>
      <c r="B2853" t="s">
        <v>10398</v>
      </c>
    </row>
    <row r="2854" spans="1:2">
      <c r="A2854" s="1" t="s">
        <v>454</v>
      </c>
      <c r="B2854" t="s">
        <v>10255</v>
      </c>
    </row>
    <row r="2855" spans="1:2">
      <c r="A2855" s="1" t="s">
        <v>3629</v>
      </c>
      <c r="B2855" t="s">
        <v>10364</v>
      </c>
    </row>
    <row r="2856" spans="1:2">
      <c r="A2856" s="1" t="s">
        <v>3630</v>
      </c>
      <c r="B2856" t="s">
        <v>10326</v>
      </c>
    </row>
    <row r="2857" spans="1:2">
      <c r="A2857" s="1" t="s">
        <v>3631</v>
      </c>
      <c r="B2857" t="s">
        <v>10255</v>
      </c>
    </row>
    <row r="2858" spans="1:2">
      <c r="A2858" s="1" t="s">
        <v>3632</v>
      </c>
      <c r="B2858" t="s">
        <v>903</v>
      </c>
    </row>
    <row r="2859" spans="1:2">
      <c r="A2859" s="1" t="s">
        <v>3633</v>
      </c>
      <c r="B2859" t="s">
        <v>10390</v>
      </c>
    </row>
    <row r="2860" spans="1:2">
      <c r="A2860" s="1" t="s">
        <v>3634</v>
      </c>
      <c r="B2860" t="s">
        <v>10245</v>
      </c>
    </row>
    <row r="2861" spans="1:2">
      <c r="A2861" s="1" t="s">
        <v>3635</v>
      </c>
      <c r="B2861" t="s">
        <v>10244</v>
      </c>
    </row>
    <row r="2862" spans="1:2">
      <c r="A2862" s="1" t="s">
        <v>3636</v>
      </c>
      <c r="B2862" t="s">
        <v>10255</v>
      </c>
    </row>
    <row r="2863" spans="1:2">
      <c r="A2863" s="1" t="s">
        <v>3637</v>
      </c>
      <c r="B2863" t="s">
        <v>10326</v>
      </c>
    </row>
    <row r="2864" spans="1:2">
      <c r="A2864" s="1" t="s">
        <v>3638</v>
      </c>
      <c r="B2864" t="s">
        <v>10251</v>
      </c>
    </row>
    <row r="2865" spans="1:2">
      <c r="A2865" s="1" t="s">
        <v>3639</v>
      </c>
      <c r="B2865" t="s">
        <v>10265</v>
      </c>
    </row>
    <row r="2866" spans="1:2">
      <c r="A2866" s="1" t="s">
        <v>3640</v>
      </c>
      <c r="B2866" t="s">
        <v>10261</v>
      </c>
    </row>
    <row r="2867" spans="1:2">
      <c r="A2867" s="1" t="s">
        <v>626</v>
      </c>
      <c r="B2867" t="s">
        <v>10283</v>
      </c>
    </row>
    <row r="2868" spans="1:2">
      <c r="A2868" s="1" t="s">
        <v>3641</v>
      </c>
      <c r="B2868" t="s">
        <v>10252</v>
      </c>
    </row>
    <row r="2869" spans="1:2">
      <c r="A2869" s="1" t="s">
        <v>3642</v>
      </c>
      <c r="B2869" t="s">
        <v>10265</v>
      </c>
    </row>
    <row r="2870" spans="1:2">
      <c r="A2870" s="1" t="s">
        <v>3643</v>
      </c>
      <c r="B2870" t="s">
        <v>903</v>
      </c>
    </row>
    <row r="2871" spans="1:2">
      <c r="A2871" s="1" t="s">
        <v>3644</v>
      </c>
      <c r="B2871" t="s">
        <v>10255</v>
      </c>
    </row>
    <row r="2872" spans="1:2">
      <c r="A2872" s="1" t="s">
        <v>3645</v>
      </c>
      <c r="B2872" t="s">
        <v>10255</v>
      </c>
    </row>
    <row r="2873" spans="1:2">
      <c r="A2873" s="1" t="s">
        <v>3646</v>
      </c>
      <c r="B2873" t="s">
        <v>10261</v>
      </c>
    </row>
    <row r="2874" spans="1:2">
      <c r="A2874" s="1" t="s">
        <v>3647</v>
      </c>
      <c r="B2874" t="s">
        <v>903</v>
      </c>
    </row>
    <row r="2875" spans="1:2">
      <c r="A2875" s="1" t="s">
        <v>111</v>
      </c>
      <c r="B2875" t="s">
        <v>10298</v>
      </c>
    </row>
    <row r="2876" spans="1:2">
      <c r="A2876" s="1" t="s">
        <v>3648</v>
      </c>
      <c r="B2876" t="s">
        <v>903</v>
      </c>
    </row>
    <row r="2877" spans="1:2">
      <c r="A2877" s="1" t="s">
        <v>3649</v>
      </c>
      <c r="B2877" t="s">
        <v>10261</v>
      </c>
    </row>
    <row r="2878" spans="1:2">
      <c r="A2878" s="1" t="s">
        <v>3650</v>
      </c>
      <c r="B2878" t="s">
        <v>10255</v>
      </c>
    </row>
    <row r="2879" spans="1:2">
      <c r="A2879" s="1" t="s">
        <v>3651</v>
      </c>
      <c r="B2879" t="s">
        <v>903</v>
      </c>
    </row>
    <row r="2880" spans="1:2">
      <c r="A2880" s="1" t="s">
        <v>3652</v>
      </c>
      <c r="B2880" t="s">
        <v>10255</v>
      </c>
    </row>
    <row r="2881" spans="1:2">
      <c r="A2881" s="1" t="s">
        <v>3653</v>
      </c>
      <c r="B2881" t="s">
        <v>903</v>
      </c>
    </row>
    <row r="2882" spans="1:2">
      <c r="A2882" s="1" t="s">
        <v>3654</v>
      </c>
      <c r="B2882" t="s">
        <v>10283</v>
      </c>
    </row>
    <row r="2883" spans="1:2">
      <c r="A2883" s="1" t="s">
        <v>326</v>
      </c>
      <c r="B2883" t="s">
        <v>10263</v>
      </c>
    </row>
    <row r="2884" spans="1:2">
      <c r="A2884" s="1" t="s">
        <v>3655</v>
      </c>
      <c r="B2884" t="s">
        <v>10246</v>
      </c>
    </row>
    <row r="2885" spans="1:2">
      <c r="A2885" s="1" t="s">
        <v>3656</v>
      </c>
      <c r="B2885" t="s">
        <v>10396</v>
      </c>
    </row>
    <row r="2886" spans="1:2">
      <c r="A2886" s="1" t="s">
        <v>93</v>
      </c>
      <c r="B2886" t="s">
        <v>10273</v>
      </c>
    </row>
    <row r="2887" spans="1:2">
      <c r="A2887" s="1" t="s">
        <v>3657</v>
      </c>
      <c r="B2887" t="s">
        <v>10284</v>
      </c>
    </row>
    <row r="2888" spans="1:2">
      <c r="A2888" s="1" t="s">
        <v>3658</v>
      </c>
      <c r="B2888" t="s">
        <v>10251</v>
      </c>
    </row>
    <row r="2889" spans="1:2">
      <c r="A2889" s="1" t="s">
        <v>3659</v>
      </c>
      <c r="B2889" t="s">
        <v>10304</v>
      </c>
    </row>
    <row r="2890" spans="1:2">
      <c r="A2890" s="1" t="s">
        <v>3660</v>
      </c>
      <c r="B2890" t="s">
        <v>10419</v>
      </c>
    </row>
    <row r="2891" spans="1:2">
      <c r="A2891" s="1" t="s">
        <v>3661</v>
      </c>
      <c r="B2891" t="s">
        <v>10250</v>
      </c>
    </row>
    <row r="2892" spans="1:2">
      <c r="A2892" s="1" t="s">
        <v>3662</v>
      </c>
      <c r="B2892" t="s">
        <v>10291</v>
      </c>
    </row>
    <row r="2893" spans="1:2">
      <c r="A2893" s="1" t="s">
        <v>3663</v>
      </c>
      <c r="B2893" t="s">
        <v>10261</v>
      </c>
    </row>
    <row r="2894" spans="1:2">
      <c r="A2894" s="1" t="s">
        <v>3664</v>
      </c>
      <c r="B2894" t="s">
        <v>10398</v>
      </c>
    </row>
    <row r="2895" spans="1:2">
      <c r="A2895" s="1" t="s">
        <v>37</v>
      </c>
      <c r="B2895" t="s">
        <v>10387</v>
      </c>
    </row>
    <row r="2896" spans="1:2">
      <c r="A2896" s="1" t="s">
        <v>3665</v>
      </c>
      <c r="B2896" t="s">
        <v>10255</v>
      </c>
    </row>
    <row r="2897" spans="1:2">
      <c r="A2897" s="1" t="s">
        <v>3666</v>
      </c>
      <c r="B2897" t="s">
        <v>10281</v>
      </c>
    </row>
    <row r="2898" spans="1:2">
      <c r="A2898" s="1" t="s">
        <v>3667</v>
      </c>
      <c r="B2898" t="s">
        <v>10250</v>
      </c>
    </row>
    <row r="2899" spans="1:2">
      <c r="A2899" s="1" t="s">
        <v>3668</v>
      </c>
      <c r="B2899" t="s">
        <v>10424</v>
      </c>
    </row>
    <row r="2900" spans="1:2">
      <c r="A2900" s="1" t="s">
        <v>3669</v>
      </c>
      <c r="B2900" t="s">
        <v>10378</v>
      </c>
    </row>
    <row r="2901" spans="1:2">
      <c r="A2901" s="1" t="s">
        <v>3670</v>
      </c>
      <c r="B2901" t="s">
        <v>10287</v>
      </c>
    </row>
    <row r="2902" spans="1:2">
      <c r="A2902" s="1" t="s">
        <v>3671</v>
      </c>
      <c r="B2902" t="s">
        <v>10261</v>
      </c>
    </row>
    <row r="2903" spans="1:2">
      <c r="A2903" s="1" t="s">
        <v>3672</v>
      </c>
      <c r="B2903" t="s">
        <v>10419</v>
      </c>
    </row>
    <row r="2904" spans="1:2">
      <c r="A2904" s="1" t="s">
        <v>3673</v>
      </c>
      <c r="B2904" t="s">
        <v>10255</v>
      </c>
    </row>
    <row r="2905" spans="1:2">
      <c r="A2905" s="1" t="s">
        <v>3674</v>
      </c>
      <c r="B2905" t="s">
        <v>10245</v>
      </c>
    </row>
    <row r="2906" spans="1:2">
      <c r="A2906" s="1" t="s">
        <v>3675</v>
      </c>
      <c r="B2906" t="s">
        <v>903</v>
      </c>
    </row>
    <row r="2907" spans="1:2">
      <c r="A2907" s="1" t="s">
        <v>3676</v>
      </c>
      <c r="B2907" t="s">
        <v>10260</v>
      </c>
    </row>
    <row r="2908" spans="1:2">
      <c r="A2908" s="1" t="s">
        <v>576</v>
      </c>
      <c r="B2908" t="s">
        <v>10260</v>
      </c>
    </row>
    <row r="2909" spans="1:2">
      <c r="A2909" s="1" t="s">
        <v>3677</v>
      </c>
      <c r="B2909" t="s">
        <v>10308</v>
      </c>
    </row>
    <row r="2910" spans="1:2">
      <c r="A2910" s="1" t="s">
        <v>3678</v>
      </c>
      <c r="B2910" t="s">
        <v>903</v>
      </c>
    </row>
    <row r="2911" spans="1:2">
      <c r="A2911" s="1" t="s">
        <v>39</v>
      </c>
      <c r="B2911" t="s">
        <v>10303</v>
      </c>
    </row>
    <row r="2912" spans="1:2">
      <c r="A2912" s="1" t="s">
        <v>3679</v>
      </c>
      <c r="B2912" t="s">
        <v>10364</v>
      </c>
    </row>
    <row r="2913" spans="1:2">
      <c r="A2913" s="1" t="s">
        <v>3680</v>
      </c>
      <c r="B2913" t="s">
        <v>903</v>
      </c>
    </row>
    <row r="2914" spans="1:2">
      <c r="A2914" s="1" t="s">
        <v>3681</v>
      </c>
      <c r="B2914" t="s">
        <v>903</v>
      </c>
    </row>
    <row r="2915" spans="1:2">
      <c r="A2915" s="1" t="s">
        <v>3682</v>
      </c>
      <c r="B2915" t="s">
        <v>10261</v>
      </c>
    </row>
    <row r="2916" spans="1:2">
      <c r="A2916" s="1" t="s">
        <v>3683</v>
      </c>
      <c r="B2916" t="s">
        <v>10244</v>
      </c>
    </row>
    <row r="2917" spans="1:2">
      <c r="A2917" s="1" t="s">
        <v>3684</v>
      </c>
      <c r="B2917" t="s">
        <v>10330</v>
      </c>
    </row>
    <row r="2918" spans="1:2">
      <c r="A2918" s="1" t="s">
        <v>3685</v>
      </c>
      <c r="B2918" t="s">
        <v>10261</v>
      </c>
    </row>
    <row r="2919" spans="1:2">
      <c r="A2919" s="1" t="s">
        <v>3686</v>
      </c>
      <c r="B2919" t="s">
        <v>10340</v>
      </c>
    </row>
    <row r="2920" spans="1:2">
      <c r="A2920" s="1" t="s">
        <v>3687</v>
      </c>
      <c r="B2920" t="s">
        <v>10251</v>
      </c>
    </row>
    <row r="2921" spans="1:2">
      <c r="A2921" s="1" t="s">
        <v>3688</v>
      </c>
      <c r="B2921" t="s">
        <v>10255</v>
      </c>
    </row>
    <row r="2922" spans="1:2">
      <c r="A2922" s="1" t="s">
        <v>779</v>
      </c>
      <c r="B2922" t="s">
        <v>10372</v>
      </c>
    </row>
    <row r="2923" spans="1:2">
      <c r="A2923" s="1" t="s">
        <v>3689</v>
      </c>
      <c r="B2923" t="s">
        <v>10255</v>
      </c>
    </row>
    <row r="2924" spans="1:2">
      <c r="A2924" s="1" t="s">
        <v>3690</v>
      </c>
      <c r="B2924" t="s">
        <v>10399</v>
      </c>
    </row>
    <row r="2925" spans="1:2">
      <c r="A2925" s="1" t="s">
        <v>3691</v>
      </c>
      <c r="B2925" t="s">
        <v>10273</v>
      </c>
    </row>
    <row r="2926" spans="1:2">
      <c r="A2926" s="1" t="s">
        <v>3692</v>
      </c>
      <c r="B2926" t="s">
        <v>10251</v>
      </c>
    </row>
    <row r="2927" spans="1:2">
      <c r="A2927" s="1" t="s">
        <v>3693</v>
      </c>
      <c r="B2927" t="s">
        <v>10255</v>
      </c>
    </row>
    <row r="2928" spans="1:2">
      <c r="A2928" s="1" t="s">
        <v>3694</v>
      </c>
      <c r="B2928" t="s">
        <v>10287</v>
      </c>
    </row>
    <row r="2929" spans="1:2">
      <c r="A2929" s="1" t="s">
        <v>246</v>
      </c>
      <c r="B2929" t="s">
        <v>10276</v>
      </c>
    </row>
    <row r="2930" spans="1:2">
      <c r="A2930" s="1" t="s">
        <v>3695</v>
      </c>
      <c r="B2930" t="s">
        <v>10245</v>
      </c>
    </row>
    <row r="2931" spans="1:2">
      <c r="A2931" s="1" t="s">
        <v>28</v>
      </c>
      <c r="B2931" t="s">
        <v>10273</v>
      </c>
    </row>
    <row r="2932" spans="1:2">
      <c r="A2932" s="1" t="s">
        <v>3696</v>
      </c>
      <c r="B2932" t="s">
        <v>10244</v>
      </c>
    </row>
    <row r="2933" spans="1:2">
      <c r="A2933" s="1" t="s">
        <v>3697</v>
      </c>
      <c r="B2933" t="s">
        <v>10255</v>
      </c>
    </row>
    <row r="2934" spans="1:2">
      <c r="A2934" s="1" t="s">
        <v>414</v>
      </c>
      <c r="B2934" t="s">
        <v>10255</v>
      </c>
    </row>
    <row r="2935" spans="1:2">
      <c r="A2935" s="1" t="s">
        <v>3698</v>
      </c>
      <c r="B2935" t="s">
        <v>10308</v>
      </c>
    </row>
    <row r="2936" spans="1:2">
      <c r="A2936" s="1" t="s">
        <v>3699</v>
      </c>
      <c r="B2936" t="s">
        <v>10261</v>
      </c>
    </row>
    <row r="2937" spans="1:2">
      <c r="A2937" s="1" t="s">
        <v>3700</v>
      </c>
      <c r="B2937" t="s">
        <v>903</v>
      </c>
    </row>
    <row r="2938" spans="1:2">
      <c r="A2938" s="1" t="s">
        <v>3701</v>
      </c>
      <c r="B2938" t="s">
        <v>10299</v>
      </c>
    </row>
    <row r="2939" spans="1:2">
      <c r="A2939" s="1" t="s">
        <v>3702</v>
      </c>
      <c r="B2939" t="s">
        <v>10282</v>
      </c>
    </row>
    <row r="2940" spans="1:2">
      <c r="A2940" s="1" t="s">
        <v>3703</v>
      </c>
      <c r="B2940" t="s">
        <v>10287</v>
      </c>
    </row>
    <row r="2941" spans="1:2">
      <c r="A2941" s="1" t="s">
        <v>3704</v>
      </c>
      <c r="B2941" t="s">
        <v>10272</v>
      </c>
    </row>
    <row r="2942" spans="1:2">
      <c r="A2942" s="1" t="s">
        <v>3705</v>
      </c>
      <c r="B2942" t="s">
        <v>903</v>
      </c>
    </row>
    <row r="2943" spans="1:2">
      <c r="A2943" s="1" t="s">
        <v>3706</v>
      </c>
      <c r="B2943" t="s">
        <v>10308</v>
      </c>
    </row>
    <row r="2944" spans="1:2">
      <c r="A2944" s="1" t="s">
        <v>3707</v>
      </c>
      <c r="B2944" t="s">
        <v>10249</v>
      </c>
    </row>
    <row r="2945" spans="1:2">
      <c r="A2945" s="1" t="s">
        <v>3708</v>
      </c>
      <c r="B2945" t="s">
        <v>10433</v>
      </c>
    </row>
    <row r="2946" spans="1:2">
      <c r="A2946" s="1" t="s">
        <v>425</v>
      </c>
      <c r="B2946" t="s">
        <v>10391</v>
      </c>
    </row>
    <row r="2947" spans="1:2">
      <c r="A2947" s="1" t="s">
        <v>3709</v>
      </c>
      <c r="B2947" t="s">
        <v>10265</v>
      </c>
    </row>
    <row r="2948" spans="1:2">
      <c r="A2948" s="1" t="s">
        <v>3710</v>
      </c>
      <c r="B2948" t="s">
        <v>10255</v>
      </c>
    </row>
    <row r="2949" spans="1:2">
      <c r="A2949" s="1" t="s">
        <v>3711</v>
      </c>
      <c r="B2949" t="s">
        <v>10244</v>
      </c>
    </row>
    <row r="2950" spans="1:2">
      <c r="A2950" s="1" t="s">
        <v>360</v>
      </c>
      <c r="B2950" t="s">
        <v>10308</v>
      </c>
    </row>
    <row r="2951" spans="1:2">
      <c r="A2951" s="1" t="s">
        <v>3712</v>
      </c>
      <c r="B2951" t="s">
        <v>10246</v>
      </c>
    </row>
    <row r="2952" spans="1:2">
      <c r="A2952" s="1" t="s">
        <v>3713</v>
      </c>
      <c r="B2952" t="s">
        <v>903</v>
      </c>
    </row>
    <row r="2953" spans="1:2">
      <c r="A2953" s="1" t="s">
        <v>3714</v>
      </c>
      <c r="B2953" t="s">
        <v>10255</v>
      </c>
    </row>
    <row r="2954" spans="1:2">
      <c r="A2954" s="1" t="s">
        <v>3715</v>
      </c>
      <c r="B2954" t="s">
        <v>10250</v>
      </c>
    </row>
    <row r="2955" spans="1:2">
      <c r="A2955" s="1" t="s">
        <v>3716</v>
      </c>
      <c r="B2955" t="s">
        <v>10344</v>
      </c>
    </row>
    <row r="2956" spans="1:2">
      <c r="A2956" s="1" t="s">
        <v>3717</v>
      </c>
      <c r="B2956" t="s">
        <v>10243</v>
      </c>
    </row>
    <row r="2957" spans="1:2">
      <c r="A2957" s="1" t="s">
        <v>3718</v>
      </c>
      <c r="B2957" t="s">
        <v>10244</v>
      </c>
    </row>
    <row r="2958" spans="1:2">
      <c r="A2958" s="1" t="s">
        <v>3719</v>
      </c>
      <c r="B2958" t="s">
        <v>10251</v>
      </c>
    </row>
    <row r="2959" spans="1:2">
      <c r="A2959" s="1" t="s">
        <v>447</v>
      </c>
      <c r="B2959" t="s">
        <v>10391</v>
      </c>
    </row>
    <row r="2960" spans="1:2">
      <c r="A2960" s="1" t="s">
        <v>507</v>
      </c>
      <c r="B2960" t="s">
        <v>10255</v>
      </c>
    </row>
    <row r="2961" spans="1:2">
      <c r="A2961" s="1" t="s">
        <v>3720</v>
      </c>
      <c r="B2961" t="s">
        <v>10255</v>
      </c>
    </row>
    <row r="2962" spans="1:2">
      <c r="A2962" s="1" t="s">
        <v>3721</v>
      </c>
      <c r="B2962" t="s">
        <v>10255</v>
      </c>
    </row>
    <row r="2963" spans="1:2">
      <c r="A2963" s="1" t="s">
        <v>3722</v>
      </c>
      <c r="B2963" t="s">
        <v>10398</v>
      </c>
    </row>
    <row r="2964" spans="1:2">
      <c r="A2964" s="1" t="s">
        <v>3723</v>
      </c>
      <c r="B2964" t="s">
        <v>10251</v>
      </c>
    </row>
    <row r="2965" spans="1:2">
      <c r="A2965" s="1" t="s">
        <v>3724</v>
      </c>
      <c r="B2965" t="s">
        <v>10307</v>
      </c>
    </row>
    <row r="2966" spans="1:2">
      <c r="A2966" s="1" t="s">
        <v>38</v>
      </c>
      <c r="B2966" t="s">
        <v>10432</v>
      </c>
    </row>
    <row r="2967" spans="1:2">
      <c r="A2967" s="1" t="s">
        <v>3725</v>
      </c>
      <c r="B2967" t="s">
        <v>10261</v>
      </c>
    </row>
    <row r="2968" spans="1:2">
      <c r="A2968" s="1" t="s">
        <v>3726</v>
      </c>
      <c r="B2968" t="s">
        <v>10288</v>
      </c>
    </row>
    <row r="2969" spans="1:2">
      <c r="A2969" s="1" t="s">
        <v>3727</v>
      </c>
      <c r="B2969" t="s">
        <v>10283</v>
      </c>
    </row>
    <row r="2970" spans="1:2">
      <c r="A2970" s="1" t="s">
        <v>3728</v>
      </c>
      <c r="B2970" t="s">
        <v>10251</v>
      </c>
    </row>
    <row r="2971" spans="1:2">
      <c r="A2971" s="1" t="s">
        <v>3729</v>
      </c>
      <c r="B2971" t="s">
        <v>10244</v>
      </c>
    </row>
    <row r="2972" spans="1:2">
      <c r="A2972" s="1" t="s">
        <v>3730</v>
      </c>
      <c r="B2972" t="s">
        <v>10391</v>
      </c>
    </row>
    <row r="2973" spans="1:2">
      <c r="A2973" s="1" t="s">
        <v>388</v>
      </c>
      <c r="B2973" t="s">
        <v>10261</v>
      </c>
    </row>
    <row r="2974" spans="1:2">
      <c r="A2974" s="1" t="s">
        <v>3731</v>
      </c>
      <c r="B2974" t="s">
        <v>903</v>
      </c>
    </row>
    <row r="2975" spans="1:2">
      <c r="A2975" s="1" t="s">
        <v>3732</v>
      </c>
      <c r="B2975" t="s">
        <v>10403</v>
      </c>
    </row>
    <row r="2976" spans="1:2">
      <c r="A2976" s="1" t="s">
        <v>3733</v>
      </c>
      <c r="B2976" t="s">
        <v>10305</v>
      </c>
    </row>
    <row r="2977" spans="1:2">
      <c r="A2977" s="1" t="s">
        <v>3734</v>
      </c>
      <c r="B2977" t="s">
        <v>10304</v>
      </c>
    </row>
    <row r="2978" spans="1:2">
      <c r="A2978" s="1" t="s">
        <v>3735</v>
      </c>
      <c r="B2978" t="s">
        <v>10266</v>
      </c>
    </row>
    <row r="2979" spans="1:2">
      <c r="A2979" s="1" t="s">
        <v>3736</v>
      </c>
      <c r="B2979" t="s">
        <v>10250</v>
      </c>
    </row>
    <row r="2980" spans="1:2">
      <c r="A2980" s="1" t="s">
        <v>3737</v>
      </c>
      <c r="B2980" t="s">
        <v>10284</v>
      </c>
    </row>
    <row r="2981" spans="1:2">
      <c r="A2981" s="1" t="s">
        <v>3738</v>
      </c>
      <c r="B2981" t="s">
        <v>903</v>
      </c>
    </row>
    <row r="2982" spans="1:2">
      <c r="A2982" s="1" t="s">
        <v>3739</v>
      </c>
      <c r="B2982" t="s">
        <v>10254</v>
      </c>
    </row>
    <row r="2983" spans="1:2">
      <c r="A2983" s="1" t="s">
        <v>3740</v>
      </c>
      <c r="B2983" t="s">
        <v>10265</v>
      </c>
    </row>
    <row r="2984" spans="1:2">
      <c r="A2984" s="1" t="s">
        <v>3741</v>
      </c>
      <c r="B2984" t="s">
        <v>10391</v>
      </c>
    </row>
    <row r="2985" spans="1:2">
      <c r="A2985" s="1" t="s">
        <v>3742</v>
      </c>
      <c r="B2985" t="s">
        <v>10246</v>
      </c>
    </row>
    <row r="2986" spans="1:2">
      <c r="A2986" s="1" t="s">
        <v>3743</v>
      </c>
      <c r="B2986" t="s">
        <v>903</v>
      </c>
    </row>
    <row r="2987" spans="1:2">
      <c r="A2987" s="1" t="s">
        <v>3744</v>
      </c>
      <c r="B2987" t="s">
        <v>10255</v>
      </c>
    </row>
    <row r="2988" spans="1:2">
      <c r="A2988" s="1" t="s">
        <v>3745</v>
      </c>
      <c r="B2988" t="s">
        <v>903</v>
      </c>
    </row>
    <row r="2989" spans="1:2">
      <c r="A2989" s="1" t="s">
        <v>3746</v>
      </c>
      <c r="B2989" t="s">
        <v>10340</v>
      </c>
    </row>
    <row r="2990" spans="1:2">
      <c r="A2990" s="1" t="s">
        <v>3747</v>
      </c>
      <c r="B2990" t="s">
        <v>10287</v>
      </c>
    </row>
    <row r="2991" spans="1:2">
      <c r="A2991" s="1" t="s">
        <v>468</v>
      </c>
      <c r="B2991" t="s">
        <v>10307</v>
      </c>
    </row>
    <row r="2992" spans="1:2">
      <c r="A2992" s="1" t="s">
        <v>3748</v>
      </c>
      <c r="B2992" t="s">
        <v>10399</v>
      </c>
    </row>
    <row r="2993" spans="1:2">
      <c r="A2993" s="1" t="s">
        <v>3749</v>
      </c>
      <c r="B2993" t="s">
        <v>10278</v>
      </c>
    </row>
    <row r="2994" spans="1:2">
      <c r="A2994" s="1" t="s">
        <v>3750</v>
      </c>
      <c r="B2994" t="s">
        <v>10404</v>
      </c>
    </row>
    <row r="2995" spans="1:2">
      <c r="A2995" s="1" t="s">
        <v>3751</v>
      </c>
      <c r="B2995" t="s">
        <v>10344</v>
      </c>
    </row>
    <row r="2996" spans="1:2">
      <c r="A2996" s="1" t="s">
        <v>3752</v>
      </c>
      <c r="B2996" t="s">
        <v>10260</v>
      </c>
    </row>
    <row r="2997" spans="1:2">
      <c r="A2997" s="1" t="s">
        <v>3753</v>
      </c>
      <c r="B2997" t="s">
        <v>10307</v>
      </c>
    </row>
    <row r="2998" spans="1:2">
      <c r="A2998" s="1" t="s">
        <v>3754</v>
      </c>
      <c r="B2998" t="s">
        <v>10252</v>
      </c>
    </row>
    <row r="2999" spans="1:2">
      <c r="A2999" s="1" t="s">
        <v>3755</v>
      </c>
      <c r="B2999" t="s">
        <v>10283</v>
      </c>
    </row>
    <row r="3000" spans="1:2">
      <c r="A3000" s="1" t="s">
        <v>3756</v>
      </c>
      <c r="B3000" t="s">
        <v>903</v>
      </c>
    </row>
    <row r="3001" spans="1:2">
      <c r="A3001" s="1" t="s">
        <v>3757</v>
      </c>
      <c r="B3001" t="s">
        <v>10287</v>
      </c>
    </row>
    <row r="3002" spans="1:2">
      <c r="A3002" s="1" t="s">
        <v>3758</v>
      </c>
      <c r="B3002" t="s">
        <v>10311</v>
      </c>
    </row>
    <row r="3003" spans="1:2">
      <c r="A3003" s="1" t="s">
        <v>3759</v>
      </c>
      <c r="B3003" t="s">
        <v>10255</v>
      </c>
    </row>
    <row r="3004" spans="1:2">
      <c r="A3004" s="1" t="s">
        <v>3760</v>
      </c>
      <c r="B3004" t="s">
        <v>10269</v>
      </c>
    </row>
    <row r="3005" spans="1:2">
      <c r="A3005" s="1" t="s">
        <v>603</v>
      </c>
      <c r="B3005" t="s">
        <v>10252</v>
      </c>
    </row>
    <row r="3006" spans="1:2">
      <c r="A3006" s="1" t="s">
        <v>3761</v>
      </c>
      <c r="B3006" t="s">
        <v>10313</v>
      </c>
    </row>
    <row r="3007" spans="1:2">
      <c r="A3007" s="1" t="s">
        <v>229</v>
      </c>
      <c r="B3007" t="s">
        <v>10283</v>
      </c>
    </row>
    <row r="3008" spans="1:2">
      <c r="A3008" s="1" t="s">
        <v>3762</v>
      </c>
      <c r="B3008" t="s">
        <v>10390</v>
      </c>
    </row>
    <row r="3009" spans="1:2">
      <c r="A3009" s="1" t="s">
        <v>3763</v>
      </c>
      <c r="B3009" t="s">
        <v>10245</v>
      </c>
    </row>
    <row r="3010" spans="1:2">
      <c r="A3010" s="1" t="s">
        <v>3764</v>
      </c>
      <c r="B3010" t="s">
        <v>10296</v>
      </c>
    </row>
    <row r="3011" spans="1:2">
      <c r="A3011" s="1" t="s">
        <v>3765</v>
      </c>
      <c r="B3011" t="s">
        <v>10487</v>
      </c>
    </row>
    <row r="3012" spans="1:2">
      <c r="A3012" s="1" t="s">
        <v>274</v>
      </c>
      <c r="B3012" t="s">
        <v>10298</v>
      </c>
    </row>
    <row r="3013" spans="1:2">
      <c r="A3013" s="1" t="s">
        <v>3766</v>
      </c>
      <c r="B3013" t="s">
        <v>10335</v>
      </c>
    </row>
    <row r="3014" spans="1:2">
      <c r="A3014" s="1" t="s">
        <v>635</v>
      </c>
      <c r="B3014" t="s">
        <v>10308</v>
      </c>
    </row>
    <row r="3015" spans="1:2">
      <c r="A3015" s="1" t="s">
        <v>3767</v>
      </c>
      <c r="B3015" t="s">
        <v>10259</v>
      </c>
    </row>
    <row r="3016" spans="1:2">
      <c r="A3016" s="1" t="s">
        <v>3768</v>
      </c>
      <c r="B3016" t="s">
        <v>10301</v>
      </c>
    </row>
    <row r="3017" spans="1:2">
      <c r="A3017" s="1" t="s">
        <v>3769</v>
      </c>
      <c r="B3017" t="s">
        <v>10308</v>
      </c>
    </row>
    <row r="3018" spans="1:2">
      <c r="A3018" s="1" t="s">
        <v>3770</v>
      </c>
      <c r="B3018" t="s">
        <v>10260</v>
      </c>
    </row>
    <row r="3019" spans="1:2">
      <c r="A3019" s="1" t="s">
        <v>3771</v>
      </c>
      <c r="B3019" t="s">
        <v>903</v>
      </c>
    </row>
    <row r="3020" spans="1:2">
      <c r="A3020" s="1" t="s">
        <v>828</v>
      </c>
      <c r="B3020" t="s">
        <v>10303</v>
      </c>
    </row>
    <row r="3021" spans="1:2">
      <c r="A3021" s="1" t="s">
        <v>3772</v>
      </c>
      <c r="B3021" t="s">
        <v>10264</v>
      </c>
    </row>
    <row r="3022" spans="1:2">
      <c r="A3022" s="1" t="s">
        <v>3773</v>
      </c>
      <c r="B3022" t="s">
        <v>10438</v>
      </c>
    </row>
    <row r="3023" spans="1:2">
      <c r="A3023" s="1" t="s">
        <v>3774</v>
      </c>
      <c r="B3023" t="s">
        <v>10244</v>
      </c>
    </row>
    <row r="3024" spans="1:2">
      <c r="A3024" s="1" t="s">
        <v>3775</v>
      </c>
      <c r="B3024" t="s">
        <v>10307</v>
      </c>
    </row>
    <row r="3025" spans="1:2">
      <c r="A3025" s="1" t="s">
        <v>3776</v>
      </c>
      <c r="B3025" t="s">
        <v>903</v>
      </c>
    </row>
    <row r="3026" spans="1:2">
      <c r="A3026" s="1" t="s">
        <v>3777</v>
      </c>
      <c r="B3026" t="s">
        <v>10299</v>
      </c>
    </row>
    <row r="3027" spans="1:2">
      <c r="A3027" s="1" t="s">
        <v>3778</v>
      </c>
      <c r="B3027" t="s">
        <v>10250</v>
      </c>
    </row>
    <row r="3028" spans="1:2">
      <c r="A3028" s="1" t="s">
        <v>3779</v>
      </c>
      <c r="B3028" t="s">
        <v>10293</v>
      </c>
    </row>
    <row r="3029" spans="1:2">
      <c r="A3029" s="1" t="s">
        <v>3780</v>
      </c>
      <c r="B3029" t="s">
        <v>10261</v>
      </c>
    </row>
    <row r="3030" spans="1:2">
      <c r="A3030" s="1" t="s">
        <v>3781</v>
      </c>
      <c r="B3030" t="s">
        <v>903</v>
      </c>
    </row>
    <row r="3031" spans="1:2">
      <c r="A3031" s="1" t="s">
        <v>3782</v>
      </c>
      <c r="B3031" t="s">
        <v>10378</v>
      </c>
    </row>
    <row r="3032" spans="1:2">
      <c r="A3032" s="1" t="s">
        <v>3783</v>
      </c>
      <c r="B3032" t="s">
        <v>10244</v>
      </c>
    </row>
    <row r="3033" spans="1:2">
      <c r="A3033" s="1" t="s">
        <v>3784</v>
      </c>
      <c r="B3033" t="s">
        <v>10259</v>
      </c>
    </row>
    <row r="3034" spans="1:2">
      <c r="A3034" s="1" t="s">
        <v>278</v>
      </c>
      <c r="B3034" t="s">
        <v>10308</v>
      </c>
    </row>
    <row r="3035" spans="1:2">
      <c r="A3035" s="1" t="s">
        <v>465</v>
      </c>
      <c r="B3035" t="s">
        <v>10298</v>
      </c>
    </row>
    <row r="3036" spans="1:2">
      <c r="A3036" s="1" t="s">
        <v>3785</v>
      </c>
      <c r="B3036" t="s">
        <v>10436</v>
      </c>
    </row>
    <row r="3037" spans="1:2">
      <c r="A3037" s="1" t="s">
        <v>585</v>
      </c>
      <c r="B3037" t="s">
        <v>10271</v>
      </c>
    </row>
    <row r="3038" spans="1:2">
      <c r="A3038" s="1" t="s">
        <v>3786</v>
      </c>
      <c r="B3038" t="s">
        <v>10283</v>
      </c>
    </row>
    <row r="3039" spans="1:2">
      <c r="A3039" s="1" t="s">
        <v>3787</v>
      </c>
      <c r="B3039" t="s">
        <v>10447</v>
      </c>
    </row>
    <row r="3040" spans="1:2">
      <c r="A3040" s="1" t="s">
        <v>3788</v>
      </c>
      <c r="B3040" t="s">
        <v>10265</v>
      </c>
    </row>
    <row r="3041" spans="1:2">
      <c r="A3041" s="1" t="s">
        <v>3789</v>
      </c>
      <c r="B3041" t="s">
        <v>10261</v>
      </c>
    </row>
    <row r="3042" spans="1:2">
      <c r="A3042" s="1" t="s">
        <v>3790</v>
      </c>
      <c r="B3042" t="s">
        <v>10296</v>
      </c>
    </row>
    <row r="3043" spans="1:2">
      <c r="A3043" s="1" t="s">
        <v>3791</v>
      </c>
      <c r="B3043" t="s">
        <v>10376</v>
      </c>
    </row>
    <row r="3044" spans="1:2">
      <c r="A3044" s="1" t="s">
        <v>3792</v>
      </c>
      <c r="B3044" t="s">
        <v>10304</v>
      </c>
    </row>
    <row r="3045" spans="1:2">
      <c r="A3045" s="1" t="s">
        <v>3793</v>
      </c>
      <c r="B3045" t="s">
        <v>10488</v>
      </c>
    </row>
    <row r="3046" spans="1:2">
      <c r="A3046" s="1" t="s">
        <v>3794</v>
      </c>
      <c r="B3046" t="s">
        <v>10326</v>
      </c>
    </row>
    <row r="3047" spans="1:2">
      <c r="A3047" s="1" t="s">
        <v>3795</v>
      </c>
      <c r="B3047" t="s">
        <v>10245</v>
      </c>
    </row>
    <row r="3048" spans="1:2">
      <c r="A3048" s="1" t="s">
        <v>3796</v>
      </c>
      <c r="B3048" t="s">
        <v>10391</v>
      </c>
    </row>
    <row r="3049" spans="1:2">
      <c r="A3049" s="1" t="s">
        <v>3797</v>
      </c>
      <c r="B3049" t="s">
        <v>10255</v>
      </c>
    </row>
    <row r="3050" spans="1:2">
      <c r="A3050" s="1" t="s">
        <v>3798</v>
      </c>
      <c r="B3050" t="s">
        <v>10307</v>
      </c>
    </row>
    <row r="3051" spans="1:2">
      <c r="A3051" s="1" t="s">
        <v>3799</v>
      </c>
      <c r="B3051" t="s">
        <v>10259</v>
      </c>
    </row>
    <row r="3052" spans="1:2">
      <c r="A3052" s="1" t="s">
        <v>3800</v>
      </c>
      <c r="B3052" t="s">
        <v>10437</v>
      </c>
    </row>
    <row r="3053" spans="1:2">
      <c r="A3053" s="1" t="s">
        <v>3801</v>
      </c>
      <c r="B3053" t="s">
        <v>10445</v>
      </c>
    </row>
    <row r="3054" spans="1:2">
      <c r="A3054" s="1" t="s">
        <v>3802</v>
      </c>
      <c r="B3054" t="s">
        <v>10484</v>
      </c>
    </row>
    <row r="3055" spans="1:2">
      <c r="A3055" s="1" t="s">
        <v>3803</v>
      </c>
      <c r="B3055" t="s">
        <v>10261</v>
      </c>
    </row>
    <row r="3056" spans="1:2">
      <c r="A3056" s="1" t="s">
        <v>3804</v>
      </c>
      <c r="B3056" t="s">
        <v>10299</v>
      </c>
    </row>
    <row r="3057" spans="1:2">
      <c r="A3057" s="1" t="s">
        <v>3805</v>
      </c>
      <c r="B3057" t="s">
        <v>10255</v>
      </c>
    </row>
    <row r="3058" spans="1:2">
      <c r="A3058" s="1" t="s">
        <v>3806</v>
      </c>
      <c r="B3058" t="s">
        <v>10255</v>
      </c>
    </row>
    <row r="3059" spans="1:2">
      <c r="A3059" s="1" t="s">
        <v>3807</v>
      </c>
      <c r="B3059" t="s">
        <v>10255</v>
      </c>
    </row>
    <row r="3060" spans="1:2">
      <c r="A3060" s="1" t="s">
        <v>3808</v>
      </c>
      <c r="B3060" t="s">
        <v>10252</v>
      </c>
    </row>
    <row r="3061" spans="1:2">
      <c r="A3061" s="1" t="s">
        <v>3809</v>
      </c>
      <c r="B3061" t="s">
        <v>10255</v>
      </c>
    </row>
    <row r="3062" spans="1:2">
      <c r="A3062" s="1" t="s">
        <v>3810</v>
      </c>
      <c r="B3062" t="s">
        <v>10307</v>
      </c>
    </row>
    <row r="3063" spans="1:2">
      <c r="A3063" s="1" t="s">
        <v>3811</v>
      </c>
      <c r="B3063" t="s">
        <v>10287</v>
      </c>
    </row>
    <row r="3064" spans="1:2">
      <c r="A3064" s="1" t="s">
        <v>3812</v>
      </c>
      <c r="B3064" t="s">
        <v>10279</v>
      </c>
    </row>
    <row r="3065" spans="1:2">
      <c r="A3065" s="1" t="s">
        <v>3813</v>
      </c>
      <c r="B3065" t="s">
        <v>10246</v>
      </c>
    </row>
    <row r="3066" spans="1:2">
      <c r="A3066" s="1" t="s">
        <v>611</v>
      </c>
      <c r="B3066" t="s">
        <v>10298</v>
      </c>
    </row>
    <row r="3067" spans="1:2">
      <c r="A3067" s="1" t="s">
        <v>3814</v>
      </c>
      <c r="B3067" t="s">
        <v>10288</v>
      </c>
    </row>
    <row r="3068" spans="1:2">
      <c r="A3068" s="1" t="s">
        <v>3815</v>
      </c>
      <c r="B3068" t="s">
        <v>10471</v>
      </c>
    </row>
    <row r="3069" spans="1:2">
      <c r="A3069" s="1" t="s">
        <v>3816</v>
      </c>
      <c r="B3069" t="s">
        <v>10261</v>
      </c>
    </row>
    <row r="3070" spans="1:2">
      <c r="A3070" s="1" t="s">
        <v>3817</v>
      </c>
      <c r="B3070" t="s">
        <v>10422</v>
      </c>
    </row>
    <row r="3071" spans="1:2">
      <c r="A3071" s="1" t="s">
        <v>3818</v>
      </c>
      <c r="B3071" t="s">
        <v>10313</v>
      </c>
    </row>
    <row r="3072" spans="1:2">
      <c r="A3072" s="1" t="s">
        <v>815</v>
      </c>
      <c r="B3072" t="s">
        <v>10301</v>
      </c>
    </row>
    <row r="3073" spans="1:2">
      <c r="A3073" s="1" t="s">
        <v>3819</v>
      </c>
      <c r="B3073" t="s">
        <v>10391</v>
      </c>
    </row>
    <row r="3074" spans="1:2">
      <c r="A3074" s="1" t="s">
        <v>3820</v>
      </c>
      <c r="B3074" t="s">
        <v>10287</v>
      </c>
    </row>
    <row r="3075" spans="1:2">
      <c r="A3075" s="1" t="s">
        <v>3821</v>
      </c>
      <c r="B3075" t="s">
        <v>10266</v>
      </c>
    </row>
    <row r="3076" spans="1:2">
      <c r="A3076" s="1" t="s">
        <v>3822</v>
      </c>
      <c r="B3076" t="s">
        <v>10245</v>
      </c>
    </row>
    <row r="3077" spans="1:2">
      <c r="A3077" s="1" t="s">
        <v>3823</v>
      </c>
      <c r="B3077" t="s">
        <v>10403</v>
      </c>
    </row>
    <row r="3078" spans="1:2">
      <c r="A3078" s="1" t="s">
        <v>3824</v>
      </c>
      <c r="B3078" t="s">
        <v>10343</v>
      </c>
    </row>
    <row r="3079" spans="1:2">
      <c r="A3079" s="1" t="s">
        <v>3825</v>
      </c>
      <c r="B3079" t="s">
        <v>10260</v>
      </c>
    </row>
    <row r="3080" spans="1:2">
      <c r="A3080" s="1" t="s">
        <v>3826</v>
      </c>
      <c r="B3080" t="s">
        <v>10419</v>
      </c>
    </row>
    <row r="3081" spans="1:2">
      <c r="A3081" s="1" t="s">
        <v>3827</v>
      </c>
      <c r="B3081" t="s">
        <v>10262</v>
      </c>
    </row>
    <row r="3082" spans="1:2">
      <c r="A3082" s="1" t="s">
        <v>3828</v>
      </c>
      <c r="B3082" t="s">
        <v>10364</v>
      </c>
    </row>
    <row r="3083" spans="1:2">
      <c r="A3083" s="1" t="s">
        <v>3829</v>
      </c>
      <c r="B3083" t="s">
        <v>10425</v>
      </c>
    </row>
    <row r="3084" spans="1:2">
      <c r="A3084" s="1" t="s">
        <v>3830</v>
      </c>
      <c r="B3084" t="s">
        <v>10364</v>
      </c>
    </row>
    <row r="3085" spans="1:2">
      <c r="A3085" s="1" t="s">
        <v>3831</v>
      </c>
      <c r="B3085" t="s">
        <v>10373</v>
      </c>
    </row>
    <row r="3086" spans="1:2">
      <c r="A3086" s="1" t="s">
        <v>462</v>
      </c>
      <c r="B3086" t="s">
        <v>10308</v>
      </c>
    </row>
    <row r="3087" spans="1:2">
      <c r="A3087" s="1" t="s">
        <v>3832</v>
      </c>
      <c r="B3087" t="s">
        <v>10281</v>
      </c>
    </row>
    <row r="3088" spans="1:2">
      <c r="A3088" s="1" t="s">
        <v>3833</v>
      </c>
      <c r="B3088" t="s">
        <v>10255</v>
      </c>
    </row>
    <row r="3089" spans="1:2">
      <c r="A3089" s="1" t="s">
        <v>3834</v>
      </c>
      <c r="B3089" t="s">
        <v>10298</v>
      </c>
    </row>
    <row r="3090" spans="1:2">
      <c r="A3090" s="1" t="s">
        <v>3835</v>
      </c>
      <c r="B3090" t="s">
        <v>10298</v>
      </c>
    </row>
    <row r="3091" spans="1:2">
      <c r="A3091" s="1" t="s">
        <v>3836</v>
      </c>
      <c r="B3091" t="s">
        <v>10336</v>
      </c>
    </row>
    <row r="3092" spans="1:2">
      <c r="A3092" s="1" t="s">
        <v>3837</v>
      </c>
      <c r="B3092" t="s">
        <v>10246</v>
      </c>
    </row>
    <row r="3093" spans="1:2">
      <c r="A3093" s="1" t="s">
        <v>3838</v>
      </c>
      <c r="B3093" t="s">
        <v>10259</v>
      </c>
    </row>
    <row r="3094" spans="1:2">
      <c r="A3094" s="1" t="s">
        <v>620</v>
      </c>
      <c r="B3094" t="s">
        <v>10323</v>
      </c>
    </row>
    <row r="3095" spans="1:2">
      <c r="A3095" s="1" t="s">
        <v>3839</v>
      </c>
      <c r="B3095" t="s">
        <v>10313</v>
      </c>
    </row>
    <row r="3096" spans="1:2">
      <c r="A3096" s="1" t="s">
        <v>3840</v>
      </c>
      <c r="B3096" t="s">
        <v>10261</v>
      </c>
    </row>
    <row r="3097" spans="1:2">
      <c r="A3097" s="1" t="s">
        <v>3841</v>
      </c>
      <c r="B3097" t="s">
        <v>903</v>
      </c>
    </row>
    <row r="3098" spans="1:2">
      <c r="A3098" s="1" t="s">
        <v>308</v>
      </c>
      <c r="B3098" t="s">
        <v>10301</v>
      </c>
    </row>
    <row r="3099" spans="1:2">
      <c r="A3099" s="1" t="s">
        <v>3842</v>
      </c>
      <c r="B3099" t="s">
        <v>10269</v>
      </c>
    </row>
    <row r="3100" spans="1:2">
      <c r="A3100" s="1" t="s">
        <v>521</v>
      </c>
      <c r="B3100" t="s">
        <v>10255</v>
      </c>
    </row>
    <row r="3101" spans="1:2">
      <c r="A3101" s="1" t="s">
        <v>3843</v>
      </c>
      <c r="B3101" t="s">
        <v>10261</v>
      </c>
    </row>
    <row r="3102" spans="1:2">
      <c r="A3102" s="1" t="s">
        <v>3844</v>
      </c>
      <c r="B3102" t="s">
        <v>10283</v>
      </c>
    </row>
    <row r="3103" spans="1:2">
      <c r="A3103" s="1" t="s">
        <v>3845</v>
      </c>
      <c r="B3103" t="s">
        <v>10293</v>
      </c>
    </row>
    <row r="3104" spans="1:2">
      <c r="A3104" s="1" t="s">
        <v>3846</v>
      </c>
      <c r="B3104" t="s">
        <v>10287</v>
      </c>
    </row>
    <row r="3105" spans="1:2">
      <c r="A3105" s="1" t="s">
        <v>369</v>
      </c>
      <c r="B3105" t="s">
        <v>10307</v>
      </c>
    </row>
    <row r="3106" spans="1:2">
      <c r="A3106" s="1" t="s">
        <v>577</v>
      </c>
      <c r="B3106" t="s">
        <v>10283</v>
      </c>
    </row>
    <row r="3107" spans="1:2">
      <c r="A3107" s="1" t="s">
        <v>3847</v>
      </c>
      <c r="B3107" t="s">
        <v>10293</v>
      </c>
    </row>
    <row r="3108" spans="1:2">
      <c r="A3108" s="1" t="s">
        <v>3848</v>
      </c>
      <c r="B3108" t="s">
        <v>10347</v>
      </c>
    </row>
    <row r="3109" spans="1:2">
      <c r="A3109" s="1" t="s">
        <v>3849</v>
      </c>
      <c r="B3109" t="s">
        <v>10455</v>
      </c>
    </row>
    <row r="3110" spans="1:2">
      <c r="A3110" s="1" t="s">
        <v>3850</v>
      </c>
      <c r="B3110" t="s">
        <v>10308</v>
      </c>
    </row>
    <row r="3111" spans="1:2">
      <c r="A3111" s="1" t="s">
        <v>3851</v>
      </c>
      <c r="B3111" t="s">
        <v>10376</v>
      </c>
    </row>
    <row r="3112" spans="1:2">
      <c r="A3112" s="1" t="s">
        <v>3852</v>
      </c>
      <c r="B3112" t="s">
        <v>10303</v>
      </c>
    </row>
    <row r="3113" spans="1:2">
      <c r="A3113" s="1" t="s">
        <v>3853</v>
      </c>
      <c r="B3113" t="s">
        <v>10251</v>
      </c>
    </row>
    <row r="3114" spans="1:2">
      <c r="A3114" s="1" t="s">
        <v>3854</v>
      </c>
      <c r="B3114" t="s">
        <v>10255</v>
      </c>
    </row>
    <row r="3115" spans="1:2">
      <c r="A3115" s="1" t="s">
        <v>410</v>
      </c>
      <c r="B3115" t="s">
        <v>10301</v>
      </c>
    </row>
    <row r="3116" spans="1:2">
      <c r="A3116" s="1" t="s">
        <v>3855</v>
      </c>
      <c r="B3116" t="s">
        <v>10368</v>
      </c>
    </row>
    <row r="3117" spans="1:2">
      <c r="A3117" s="1" t="s">
        <v>3856</v>
      </c>
      <c r="B3117" t="s">
        <v>10246</v>
      </c>
    </row>
    <row r="3118" spans="1:2">
      <c r="A3118" s="1" t="s">
        <v>814</v>
      </c>
      <c r="B3118" t="s">
        <v>10284</v>
      </c>
    </row>
    <row r="3119" spans="1:2">
      <c r="A3119" s="1" t="s">
        <v>3857</v>
      </c>
      <c r="B3119" t="s">
        <v>10255</v>
      </c>
    </row>
    <row r="3120" spans="1:2">
      <c r="A3120" s="1" t="s">
        <v>631</v>
      </c>
      <c r="B3120" t="s">
        <v>10440</v>
      </c>
    </row>
    <row r="3121" spans="1:2">
      <c r="A3121" s="1" t="s">
        <v>3858</v>
      </c>
      <c r="B3121" t="s">
        <v>10463</v>
      </c>
    </row>
    <row r="3122" spans="1:2">
      <c r="A3122" s="1" t="s">
        <v>3859</v>
      </c>
      <c r="B3122" t="s">
        <v>903</v>
      </c>
    </row>
    <row r="3123" spans="1:2">
      <c r="A3123" s="1" t="s">
        <v>3860</v>
      </c>
      <c r="B3123" t="s">
        <v>10419</v>
      </c>
    </row>
    <row r="3124" spans="1:2">
      <c r="A3124" s="1" t="s">
        <v>3861</v>
      </c>
      <c r="B3124" t="s">
        <v>10416</v>
      </c>
    </row>
    <row r="3125" spans="1:2">
      <c r="A3125" s="1" t="s">
        <v>3862</v>
      </c>
      <c r="B3125" t="s">
        <v>10246</v>
      </c>
    </row>
    <row r="3126" spans="1:2">
      <c r="A3126" s="1" t="s">
        <v>3863</v>
      </c>
      <c r="B3126" t="s">
        <v>10307</v>
      </c>
    </row>
    <row r="3127" spans="1:2">
      <c r="A3127" s="1" t="s">
        <v>633</v>
      </c>
      <c r="B3127" t="s">
        <v>10283</v>
      </c>
    </row>
    <row r="3128" spans="1:2">
      <c r="A3128" s="1" t="s">
        <v>3864</v>
      </c>
      <c r="B3128" t="s">
        <v>10246</v>
      </c>
    </row>
    <row r="3129" spans="1:2">
      <c r="A3129" s="1" t="s">
        <v>502</v>
      </c>
      <c r="B3129" t="s">
        <v>10283</v>
      </c>
    </row>
    <row r="3130" spans="1:2">
      <c r="A3130" s="1" t="s">
        <v>3865</v>
      </c>
      <c r="B3130" t="s">
        <v>10245</v>
      </c>
    </row>
    <row r="3131" spans="1:2">
      <c r="A3131" s="1" t="s">
        <v>3866</v>
      </c>
      <c r="B3131" t="s">
        <v>10292</v>
      </c>
    </row>
    <row r="3132" spans="1:2">
      <c r="A3132" s="1" t="s">
        <v>3867</v>
      </c>
      <c r="B3132" t="s">
        <v>10304</v>
      </c>
    </row>
    <row r="3133" spans="1:2">
      <c r="A3133" s="1" t="s">
        <v>3868</v>
      </c>
      <c r="B3133" t="s">
        <v>10245</v>
      </c>
    </row>
    <row r="3134" spans="1:2">
      <c r="A3134" s="1" t="s">
        <v>3869</v>
      </c>
      <c r="B3134" t="s">
        <v>10288</v>
      </c>
    </row>
    <row r="3135" spans="1:2">
      <c r="A3135" s="1" t="s">
        <v>3870</v>
      </c>
      <c r="B3135" t="s">
        <v>10418</v>
      </c>
    </row>
    <row r="3136" spans="1:2">
      <c r="A3136" s="1" t="s">
        <v>3871</v>
      </c>
      <c r="B3136" t="s">
        <v>10326</v>
      </c>
    </row>
    <row r="3137" spans="1:2">
      <c r="A3137" s="1" t="s">
        <v>3872</v>
      </c>
      <c r="B3137" t="s">
        <v>10290</v>
      </c>
    </row>
    <row r="3138" spans="1:2">
      <c r="A3138" s="1" t="s">
        <v>712</v>
      </c>
      <c r="B3138" t="s">
        <v>10250</v>
      </c>
    </row>
    <row r="3139" spans="1:2">
      <c r="A3139" s="1" t="s">
        <v>3873</v>
      </c>
      <c r="B3139" t="s">
        <v>10255</v>
      </c>
    </row>
    <row r="3140" spans="1:2">
      <c r="A3140" s="1" t="s">
        <v>3874</v>
      </c>
      <c r="B3140" t="s">
        <v>10344</v>
      </c>
    </row>
    <row r="3141" spans="1:2">
      <c r="A3141" s="1" t="s">
        <v>3875</v>
      </c>
      <c r="B3141" t="s">
        <v>10246</v>
      </c>
    </row>
    <row r="3142" spans="1:2">
      <c r="A3142" s="1" t="s">
        <v>3876</v>
      </c>
      <c r="B3142" t="s">
        <v>10255</v>
      </c>
    </row>
    <row r="3143" spans="1:2">
      <c r="A3143" s="1" t="s">
        <v>3877</v>
      </c>
      <c r="B3143" t="s">
        <v>903</v>
      </c>
    </row>
    <row r="3144" spans="1:2">
      <c r="A3144" s="1" t="s">
        <v>3878</v>
      </c>
      <c r="B3144" t="s">
        <v>10282</v>
      </c>
    </row>
    <row r="3145" spans="1:2">
      <c r="A3145" s="1" t="s">
        <v>3879</v>
      </c>
      <c r="B3145" t="s">
        <v>10308</v>
      </c>
    </row>
    <row r="3146" spans="1:2">
      <c r="A3146" s="1" t="s">
        <v>3880</v>
      </c>
      <c r="B3146" t="s">
        <v>10287</v>
      </c>
    </row>
    <row r="3147" spans="1:2">
      <c r="A3147" s="1" t="s">
        <v>292</v>
      </c>
      <c r="B3147" t="s">
        <v>10440</v>
      </c>
    </row>
    <row r="3148" spans="1:2">
      <c r="A3148" s="1" t="s">
        <v>3881</v>
      </c>
      <c r="B3148" t="s">
        <v>10352</v>
      </c>
    </row>
    <row r="3149" spans="1:2">
      <c r="A3149" s="1" t="s">
        <v>3882</v>
      </c>
      <c r="B3149" t="s">
        <v>10269</v>
      </c>
    </row>
    <row r="3150" spans="1:2">
      <c r="A3150" s="1" t="s">
        <v>3883</v>
      </c>
      <c r="B3150" t="s">
        <v>10293</v>
      </c>
    </row>
    <row r="3151" spans="1:2">
      <c r="A3151" s="1" t="s">
        <v>3884</v>
      </c>
      <c r="B3151" t="s">
        <v>10265</v>
      </c>
    </row>
    <row r="3152" spans="1:2">
      <c r="A3152" s="1" t="s">
        <v>3885</v>
      </c>
      <c r="B3152" t="s">
        <v>903</v>
      </c>
    </row>
    <row r="3153" spans="1:2">
      <c r="A3153" s="1" t="s">
        <v>3886</v>
      </c>
      <c r="B3153" t="s">
        <v>10261</v>
      </c>
    </row>
    <row r="3154" spans="1:2">
      <c r="A3154" s="1" t="s">
        <v>761</v>
      </c>
      <c r="B3154" t="s">
        <v>10271</v>
      </c>
    </row>
    <row r="3155" spans="1:2">
      <c r="A3155" s="1" t="s">
        <v>3887</v>
      </c>
      <c r="B3155" t="s">
        <v>10474</v>
      </c>
    </row>
    <row r="3156" spans="1:2">
      <c r="A3156" s="1" t="s">
        <v>3888</v>
      </c>
      <c r="B3156" t="s">
        <v>10282</v>
      </c>
    </row>
    <row r="3157" spans="1:2">
      <c r="A3157" s="1" t="s">
        <v>3889</v>
      </c>
      <c r="B3157" t="s">
        <v>10259</v>
      </c>
    </row>
    <row r="3158" spans="1:2">
      <c r="A3158" s="1" t="s">
        <v>3890</v>
      </c>
      <c r="B3158" t="s">
        <v>10303</v>
      </c>
    </row>
    <row r="3159" spans="1:2">
      <c r="A3159" s="1" t="s">
        <v>3891</v>
      </c>
      <c r="B3159" t="s">
        <v>10244</v>
      </c>
    </row>
    <row r="3160" spans="1:2">
      <c r="A3160" s="1" t="s">
        <v>3892</v>
      </c>
      <c r="B3160" t="s">
        <v>10255</v>
      </c>
    </row>
    <row r="3161" spans="1:2">
      <c r="A3161" s="1" t="s">
        <v>3893</v>
      </c>
      <c r="B3161" t="s">
        <v>10245</v>
      </c>
    </row>
    <row r="3162" spans="1:2">
      <c r="A3162" s="1" t="s">
        <v>578</v>
      </c>
      <c r="B3162" t="s">
        <v>10335</v>
      </c>
    </row>
    <row r="3163" spans="1:2">
      <c r="A3163" s="1" t="s">
        <v>3894</v>
      </c>
      <c r="B3163" t="s">
        <v>10296</v>
      </c>
    </row>
    <row r="3164" spans="1:2">
      <c r="A3164" s="1" t="s">
        <v>3895</v>
      </c>
      <c r="B3164" t="s">
        <v>10246</v>
      </c>
    </row>
    <row r="3165" spans="1:2">
      <c r="A3165" s="1" t="s">
        <v>237</v>
      </c>
      <c r="B3165" t="s">
        <v>10343</v>
      </c>
    </row>
    <row r="3166" spans="1:2">
      <c r="A3166" s="1" t="s">
        <v>3896</v>
      </c>
      <c r="B3166" t="s">
        <v>10362</v>
      </c>
    </row>
    <row r="3167" spans="1:2">
      <c r="A3167" s="1" t="s">
        <v>3897</v>
      </c>
      <c r="B3167" t="s">
        <v>10308</v>
      </c>
    </row>
    <row r="3168" spans="1:2">
      <c r="A3168" s="1" t="s">
        <v>3898</v>
      </c>
      <c r="B3168" t="s">
        <v>10261</v>
      </c>
    </row>
    <row r="3169" spans="1:2">
      <c r="A3169" s="1" t="s">
        <v>3899</v>
      </c>
      <c r="B3169" t="s">
        <v>10478</v>
      </c>
    </row>
    <row r="3170" spans="1:2">
      <c r="A3170" s="1" t="s">
        <v>3900</v>
      </c>
      <c r="B3170" t="s">
        <v>10261</v>
      </c>
    </row>
    <row r="3171" spans="1:2">
      <c r="A3171" s="1" t="s">
        <v>442</v>
      </c>
      <c r="B3171" t="s">
        <v>10255</v>
      </c>
    </row>
    <row r="3172" spans="1:2">
      <c r="A3172" s="1" t="s">
        <v>3901</v>
      </c>
      <c r="B3172" t="s">
        <v>10290</v>
      </c>
    </row>
    <row r="3173" spans="1:2">
      <c r="A3173" s="1" t="s">
        <v>3902</v>
      </c>
      <c r="B3173" t="s">
        <v>10478</v>
      </c>
    </row>
    <row r="3174" spans="1:2">
      <c r="A3174" s="1" t="s">
        <v>886</v>
      </c>
      <c r="B3174" t="s">
        <v>10343</v>
      </c>
    </row>
    <row r="3175" spans="1:2">
      <c r="A3175" s="1" t="s">
        <v>3903</v>
      </c>
      <c r="B3175" t="s">
        <v>10373</v>
      </c>
    </row>
    <row r="3176" spans="1:2">
      <c r="A3176" s="1" t="s">
        <v>94</v>
      </c>
      <c r="B3176" t="s">
        <v>10260</v>
      </c>
    </row>
    <row r="3177" spans="1:2">
      <c r="A3177" s="1" t="s">
        <v>3904</v>
      </c>
      <c r="B3177" t="s">
        <v>10282</v>
      </c>
    </row>
    <row r="3178" spans="1:2">
      <c r="A3178" s="1" t="s">
        <v>3905</v>
      </c>
      <c r="B3178" t="s">
        <v>10307</v>
      </c>
    </row>
    <row r="3179" spans="1:2">
      <c r="A3179" s="1" t="s">
        <v>3906</v>
      </c>
      <c r="B3179" t="s">
        <v>10255</v>
      </c>
    </row>
    <row r="3180" spans="1:2">
      <c r="A3180" s="1" t="s">
        <v>3907</v>
      </c>
      <c r="B3180" t="s">
        <v>10261</v>
      </c>
    </row>
    <row r="3181" spans="1:2">
      <c r="A3181" s="1" t="s">
        <v>3908</v>
      </c>
      <c r="B3181" t="s">
        <v>10249</v>
      </c>
    </row>
    <row r="3182" spans="1:2">
      <c r="A3182" s="1" t="s">
        <v>519</v>
      </c>
      <c r="B3182" t="s">
        <v>10298</v>
      </c>
    </row>
    <row r="3183" spans="1:2">
      <c r="A3183" s="1" t="s">
        <v>3909</v>
      </c>
      <c r="B3183" t="s">
        <v>10285</v>
      </c>
    </row>
    <row r="3184" spans="1:2">
      <c r="A3184" s="1" t="s">
        <v>3910</v>
      </c>
      <c r="B3184" t="s">
        <v>903</v>
      </c>
    </row>
    <row r="3185" spans="1:2">
      <c r="A3185" s="1" t="s">
        <v>3911</v>
      </c>
      <c r="B3185" t="s">
        <v>10255</v>
      </c>
    </row>
    <row r="3186" spans="1:2">
      <c r="A3186" s="1" t="s">
        <v>3912</v>
      </c>
      <c r="B3186" t="s">
        <v>10246</v>
      </c>
    </row>
    <row r="3187" spans="1:2">
      <c r="A3187" s="1" t="s">
        <v>3913</v>
      </c>
      <c r="B3187" t="s">
        <v>903</v>
      </c>
    </row>
    <row r="3188" spans="1:2">
      <c r="A3188" s="1" t="s">
        <v>3914</v>
      </c>
      <c r="B3188" t="s">
        <v>10260</v>
      </c>
    </row>
    <row r="3189" spans="1:2">
      <c r="A3189" s="1" t="s">
        <v>3915</v>
      </c>
      <c r="B3189" t="s">
        <v>10447</v>
      </c>
    </row>
    <row r="3190" spans="1:2">
      <c r="A3190" s="1" t="s">
        <v>3916</v>
      </c>
      <c r="B3190" t="s">
        <v>10245</v>
      </c>
    </row>
    <row r="3191" spans="1:2">
      <c r="A3191" s="1" t="s">
        <v>3917</v>
      </c>
      <c r="B3191" t="s">
        <v>10378</v>
      </c>
    </row>
    <row r="3192" spans="1:2">
      <c r="A3192" s="1" t="s">
        <v>3918</v>
      </c>
      <c r="B3192" t="s">
        <v>10477</v>
      </c>
    </row>
    <row r="3193" spans="1:2">
      <c r="A3193" s="1" t="s">
        <v>3919</v>
      </c>
      <c r="B3193" t="s">
        <v>10277</v>
      </c>
    </row>
    <row r="3194" spans="1:2">
      <c r="A3194" s="1" t="s">
        <v>3920</v>
      </c>
      <c r="B3194" t="s">
        <v>10246</v>
      </c>
    </row>
    <row r="3195" spans="1:2">
      <c r="A3195" s="1" t="s">
        <v>3921</v>
      </c>
      <c r="B3195" t="s">
        <v>10281</v>
      </c>
    </row>
    <row r="3196" spans="1:2">
      <c r="A3196" s="1" t="s">
        <v>485</v>
      </c>
      <c r="B3196" t="s">
        <v>10246</v>
      </c>
    </row>
    <row r="3197" spans="1:2">
      <c r="A3197" s="1" t="s">
        <v>3922</v>
      </c>
      <c r="B3197" t="s">
        <v>10378</v>
      </c>
    </row>
    <row r="3198" spans="1:2">
      <c r="A3198" s="1" t="s">
        <v>3923</v>
      </c>
      <c r="B3198" t="s">
        <v>10262</v>
      </c>
    </row>
    <row r="3199" spans="1:2">
      <c r="A3199" s="1" t="s">
        <v>3924</v>
      </c>
      <c r="B3199" t="s">
        <v>10429</v>
      </c>
    </row>
    <row r="3200" spans="1:2">
      <c r="A3200" s="1" t="s">
        <v>3925</v>
      </c>
      <c r="B3200" t="s">
        <v>10307</v>
      </c>
    </row>
    <row r="3201" spans="1:2">
      <c r="A3201" s="1" t="s">
        <v>3926</v>
      </c>
      <c r="B3201" t="s">
        <v>10251</v>
      </c>
    </row>
    <row r="3202" spans="1:2">
      <c r="A3202" s="1" t="s">
        <v>845</v>
      </c>
      <c r="B3202" t="s">
        <v>10298</v>
      </c>
    </row>
    <row r="3203" spans="1:2">
      <c r="A3203" s="1" t="s">
        <v>3927</v>
      </c>
      <c r="B3203" t="s">
        <v>10246</v>
      </c>
    </row>
    <row r="3204" spans="1:2">
      <c r="A3204" s="1" t="s">
        <v>3928</v>
      </c>
      <c r="B3204" t="s">
        <v>10346</v>
      </c>
    </row>
    <row r="3205" spans="1:2">
      <c r="A3205" s="1" t="s">
        <v>570</v>
      </c>
      <c r="B3205" t="s">
        <v>10489</v>
      </c>
    </row>
    <row r="3206" spans="1:2">
      <c r="A3206" s="1" t="s">
        <v>3929</v>
      </c>
      <c r="B3206" t="s">
        <v>10490</v>
      </c>
    </row>
    <row r="3207" spans="1:2">
      <c r="A3207" s="1" t="s">
        <v>3930</v>
      </c>
      <c r="B3207" t="s">
        <v>10261</v>
      </c>
    </row>
    <row r="3208" spans="1:2">
      <c r="A3208" s="1" t="s">
        <v>3931</v>
      </c>
      <c r="B3208" t="s">
        <v>10255</v>
      </c>
    </row>
    <row r="3209" spans="1:2">
      <c r="A3209" s="1" t="s">
        <v>3932</v>
      </c>
      <c r="B3209" t="s">
        <v>10250</v>
      </c>
    </row>
    <row r="3210" spans="1:2">
      <c r="A3210" s="1" t="s">
        <v>3933</v>
      </c>
      <c r="B3210" t="s">
        <v>10255</v>
      </c>
    </row>
    <row r="3211" spans="1:2">
      <c r="A3211" s="1" t="s">
        <v>3934</v>
      </c>
      <c r="B3211" t="s">
        <v>903</v>
      </c>
    </row>
    <row r="3212" spans="1:2">
      <c r="A3212" s="1" t="s">
        <v>3935</v>
      </c>
      <c r="B3212" t="s">
        <v>903</v>
      </c>
    </row>
    <row r="3213" spans="1:2">
      <c r="A3213" s="1" t="s">
        <v>3936</v>
      </c>
      <c r="B3213" t="s">
        <v>10280</v>
      </c>
    </row>
    <row r="3214" spans="1:2">
      <c r="A3214" s="1" t="s">
        <v>3937</v>
      </c>
      <c r="B3214" t="s">
        <v>10255</v>
      </c>
    </row>
    <row r="3215" spans="1:2">
      <c r="A3215" s="1" t="s">
        <v>3938</v>
      </c>
      <c r="B3215" t="s">
        <v>10255</v>
      </c>
    </row>
    <row r="3216" spans="1:2">
      <c r="A3216" s="1" t="s">
        <v>3939</v>
      </c>
      <c r="B3216" t="s">
        <v>10303</v>
      </c>
    </row>
    <row r="3217" spans="1:2">
      <c r="A3217" s="1" t="s">
        <v>3940</v>
      </c>
      <c r="B3217" t="s">
        <v>10425</v>
      </c>
    </row>
    <row r="3218" spans="1:2">
      <c r="A3218" s="1" t="s">
        <v>3941</v>
      </c>
      <c r="B3218" t="s">
        <v>10245</v>
      </c>
    </row>
    <row r="3219" spans="1:2">
      <c r="A3219" s="1" t="s">
        <v>558</v>
      </c>
      <c r="B3219" t="s">
        <v>10298</v>
      </c>
    </row>
    <row r="3220" spans="1:2">
      <c r="A3220" s="1" t="s">
        <v>3942</v>
      </c>
      <c r="B3220" t="s">
        <v>10359</v>
      </c>
    </row>
    <row r="3221" spans="1:2">
      <c r="A3221" s="1" t="s">
        <v>3943</v>
      </c>
      <c r="B3221" t="s">
        <v>10309</v>
      </c>
    </row>
    <row r="3222" spans="1:2">
      <c r="A3222" s="1" t="s">
        <v>3944</v>
      </c>
      <c r="B3222" t="s">
        <v>10283</v>
      </c>
    </row>
    <row r="3223" spans="1:2">
      <c r="A3223" s="1" t="s">
        <v>3945</v>
      </c>
      <c r="B3223" t="s">
        <v>903</v>
      </c>
    </row>
    <row r="3224" spans="1:2">
      <c r="A3224" s="1" t="s">
        <v>433</v>
      </c>
      <c r="B3224" t="s">
        <v>10305</v>
      </c>
    </row>
    <row r="3225" spans="1:2">
      <c r="A3225" s="1" t="s">
        <v>3946</v>
      </c>
      <c r="B3225" t="s">
        <v>10251</v>
      </c>
    </row>
    <row r="3226" spans="1:2">
      <c r="A3226" s="1" t="s">
        <v>564</v>
      </c>
      <c r="B3226" t="s">
        <v>10347</v>
      </c>
    </row>
    <row r="3227" spans="1:2">
      <c r="A3227" s="1" t="s">
        <v>3947</v>
      </c>
      <c r="B3227" t="s">
        <v>10261</v>
      </c>
    </row>
    <row r="3228" spans="1:2">
      <c r="A3228" s="1" t="s">
        <v>3948</v>
      </c>
      <c r="B3228" t="s">
        <v>10378</v>
      </c>
    </row>
    <row r="3229" spans="1:2">
      <c r="A3229" s="1" t="s">
        <v>420</v>
      </c>
      <c r="B3229" t="s">
        <v>10300</v>
      </c>
    </row>
    <row r="3230" spans="1:2">
      <c r="A3230" s="1" t="s">
        <v>3949</v>
      </c>
      <c r="B3230" t="s">
        <v>10246</v>
      </c>
    </row>
    <row r="3231" spans="1:2">
      <c r="A3231" s="1" t="s">
        <v>51</v>
      </c>
      <c r="B3231" t="s">
        <v>10308</v>
      </c>
    </row>
    <row r="3232" spans="1:2">
      <c r="A3232" s="1" t="s">
        <v>3950</v>
      </c>
      <c r="B3232" t="s">
        <v>10491</v>
      </c>
    </row>
    <row r="3233" spans="1:2">
      <c r="A3233" s="1" t="s">
        <v>3951</v>
      </c>
      <c r="B3233" t="s">
        <v>10277</v>
      </c>
    </row>
    <row r="3234" spans="1:2">
      <c r="A3234" s="1" t="s">
        <v>60</v>
      </c>
      <c r="B3234" t="s">
        <v>10307</v>
      </c>
    </row>
    <row r="3235" spans="1:2">
      <c r="A3235" s="1" t="s">
        <v>3952</v>
      </c>
      <c r="B3235" t="s">
        <v>10245</v>
      </c>
    </row>
    <row r="3236" spans="1:2">
      <c r="A3236" s="1" t="s">
        <v>3953</v>
      </c>
      <c r="B3236" t="s">
        <v>10303</v>
      </c>
    </row>
    <row r="3237" spans="1:2">
      <c r="A3237" s="1" t="s">
        <v>3954</v>
      </c>
      <c r="B3237" t="s">
        <v>10392</v>
      </c>
    </row>
    <row r="3238" spans="1:2">
      <c r="A3238" s="1" t="s">
        <v>3955</v>
      </c>
      <c r="B3238" t="s">
        <v>10492</v>
      </c>
    </row>
    <row r="3239" spans="1:2">
      <c r="A3239" s="1" t="s">
        <v>805</v>
      </c>
      <c r="B3239" t="s">
        <v>10278</v>
      </c>
    </row>
    <row r="3240" spans="1:2">
      <c r="A3240" s="1" t="s">
        <v>3956</v>
      </c>
      <c r="B3240" t="s">
        <v>10304</v>
      </c>
    </row>
    <row r="3241" spans="1:2">
      <c r="A3241" s="1" t="s">
        <v>3957</v>
      </c>
      <c r="B3241" t="s">
        <v>10434</v>
      </c>
    </row>
    <row r="3242" spans="1:2">
      <c r="A3242" s="1" t="s">
        <v>3958</v>
      </c>
      <c r="B3242" t="s">
        <v>10308</v>
      </c>
    </row>
    <row r="3243" spans="1:2">
      <c r="A3243" s="1" t="s">
        <v>3959</v>
      </c>
      <c r="B3243" t="s">
        <v>10245</v>
      </c>
    </row>
    <row r="3244" spans="1:2">
      <c r="A3244" s="1" t="s">
        <v>3960</v>
      </c>
      <c r="B3244" t="s">
        <v>10286</v>
      </c>
    </row>
    <row r="3245" spans="1:2">
      <c r="A3245" s="1" t="s">
        <v>3961</v>
      </c>
      <c r="B3245" t="s">
        <v>10426</v>
      </c>
    </row>
    <row r="3246" spans="1:2">
      <c r="A3246" s="1" t="s">
        <v>3962</v>
      </c>
      <c r="B3246" t="s">
        <v>10290</v>
      </c>
    </row>
    <row r="3247" spans="1:2">
      <c r="A3247" s="1" t="s">
        <v>3963</v>
      </c>
      <c r="B3247" t="s">
        <v>10255</v>
      </c>
    </row>
    <row r="3248" spans="1:2">
      <c r="A3248" s="1" t="s">
        <v>3964</v>
      </c>
      <c r="B3248" t="s">
        <v>10261</v>
      </c>
    </row>
    <row r="3249" spans="1:2">
      <c r="A3249" s="1" t="s">
        <v>3965</v>
      </c>
      <c r="B3249" t="s">
        <v>10255</v>
      </c>
    </row>
    <row r="3250" spans="1:2">
      <c r="A3250" s="1" t="s">
        <v>3966</v>
      </c>
      <c r="B3250" t="s">
        <v>10250</v>
      </c>
    </row>
    <row r="3251" spans="1:2">
      <c r="A3251" s="1" t="s">
        <v>3967</v>
      </c>
      <c r="B3251" t="s">
        <v>10277</v>
      </c>
    </row>
    <row r="3252" spans="1:2">
      <c r="A3252" s="1" t="s">
        <v>210</v>
      </c>
      <c r="B3252" t="s">
        <v>10387</v>
      </c>
    </row>
    <row r="3253" spans="1:2">
      <c r="A3253" s="1" t="s">
        <v>399</v>
      </c>
      <c r="B3253" t="s">
        <v>10374</v>
      </c>
    </row>
    <row r="3254" spans="1:2">
      <c r="A3254" s="1" t="s">
        <v>78</v>
      </c>
      <c r="B3254" t="s">
        <v>10283</v>
      </c>
    </row>
    <row r="3255" spans="1:2">
      <c r="A3255" s="1" t="s">
        <v>3968</v>
      </c>
      <c r="B3255" t="s">
        <v>10344</v>
      </c>
    </row>
    <row r="3256" spans="1:2">
      <c r="A3256" s="1" t="s">
        <v>3969</v>
      </c>
      <c r="B3256" t="s">
        <v>10378</v>
      </c>
    </row>
    <row r="3257" spans="1:2">
      <c r="A3257" s="1" t="s">
        <v>3970</v>
      </c>
      <c r="B3257" t="s">
        <v>10251</v>
      </c>
    </row>
    <row r="3258" spans="1:2">
      <c r="A3258" s="1" t="s">
        <v>563</v>
      </c>
      <c r="B3258" t="s">
        <v>10345</v>
      </c>
    </row>
    <row r="3259" spans="1:2">
      <c r="A3259" s="1" t="s">
        <v>3971</v>
      </c>
      <c r="B3259" t="s">
        <v>10245</v>
      </c>
    </row>
    <row r="3260" spans="1:2">
      <c r="A3260" s="1" t="s">
        <v>3972</v>
      </c>
      <c r="B3260" t="s">
        <v>10308</v>
      </c>
    </row>
    <row r="3261" spans="1:2">
      <c r="A3261" s="1" t="s">
        <v>3973</v>
      </c>
      <c r="B3261" t="s">
        <v>10307</v>
      </c>
    </row>
    <row r="3262" spans="1:2">
      <c r="A3262" s="1" t="s">
        <v>3974</v>
      </c>
      <c r="B3262" t="s">
        <v>10245</v>
      </c>
    </row>
    <row r="3263" spans="1:2">
      <c r="A3263" s="1" t="s">
        <v>3975</v>
      </c>
      <c r="B3263" t="s">
        <v>10308</v>
      </c>
    </row>
    <row r="3264" spans="1:2">
      <c r="A3264" s="1" t="s">
        <v>3976</v>
      </c>
      <c r="B3264" t="s">
        <v>10255</v>
      </c>
    </row>
    <row r="3265" spans="1:2">
      <c r="A3265" s="1" t="s">
        <v>296</v>
      </c>
      <c r="B3265" t="s">
        <v>10432</v>
      </c>
    </row>
    <row r="3266" spans="1:2">
      <c r="A3266" s="1" t="s">
        <v>3977</v>
      </c>
      <c r="B3266" t="s">
        <v>10261</v>
      </c>
    </row>
    <row r="3267" spans="1:2">
      <c r="A3267" s="1" t="s">
        <v>3978</v>
      </c>
      <c r="B3267" t="s">
        <v>10302</v>
      </c>
    </row>
    <row r="3268" spans="1:2">
      <c r="A3268" s="1" t="s">
        <v>3979</v>
      </c>
      <c r="B3268" t="s">
        <v>10245</v>
      </c>
    </row>
    <row r="3269" spans="1:2">
      <c r="A3269" s="1" t="s">
        <v>3980</v>
      </c>
      <c r="B3269" t="s">
        <v>10474</v>
      </c>
    </row>
    <row r="3270" spans="1:2">
      <c r="A3270" s="1" t="s">
        <v>3981</v>
      </c>
      <c r="B3270" t="s">
        <v>10493</v>
      </c>
    </row>
    <row r="3271" spans="1:2">
      <c r="A3271" s="1" t="s">
        <v>3982</v>
      </c>
      <c r="B3271" t="s">
        <v>10452</v>
      </c>
    </row>
    <row r="3272" spans="1:2">
      <c r="A3272" s="1" t="s">
        <v>3983</v>
      </c>
      <c r="B3272" t="s">
        <v>10255</v>
      </c>
    </row>
    <row r="3273" spans="1:2">
      <c r="A3273" s="1" t="s">
        <v>3984</v>
      </c>
      <c r="B3273" t="s">
        <v>10494</v>
      </c>
    </row>
    <row r="3274" spans="1:2">
      <c r="A3274" s="1" t="s">
        <v>3985</v>
      </c>
      <c r="B3274" t="s">
        <v>10271</v>
      </c>
    </row>
    <row r="3275" spans="1:2">
      <c r="A3275" s="1" t="s">
        <v>3986</v>
      </c>
      <c r="B3275" t="s">
        <v>10378</v>
      </c>
    </row>
    <row r="3276" spans="1:2">
      <c r="A3276" s="1" t="s">
        <v>586</v>
      </c>
      <c r="B3276" t="s">
        <v>10255</v>
      </c>
    </row>
    <row r="3277" spans="1:2">
      <c r="A3277" s="1" t="s">
        <v>3987</v>
      </c>
      <c r="B3277" t="s">
        <v>10304</v>
      </c>
    </row>
    <row r="3278" spans="1:2">
      <c r="A3278" s="1" t="s">
        <v>3988</v>
      </c>
      <c r="B3278" t="s">
        <v>10368</v>
      </c>
    </row>
    <row r="3279" spans="1:2">
      <c r="A3279" s="1" t="s">
        <v>568</v>
      </c>
      <c r="B3279" t="s">
        <v>10495</v>
      </c>
    </row>
    <row r="3280" spans="1:2">
      <c r="A3280" s="1" t="s">
        <v>3989</v>
      </c>
      <c r="B3280" t="s">
        <v>10292</v>
      </c>
    </row>
    <row r="3281" spans="1:2">
      <c r="A3281" s="1" t="s">
        <v>3990</v>
      </c>
      <c r="B3281" t="s">
        <v>10250</v>
      </c>
    </row>
    <row r="3282" spans="1:2">
      <c r="A3282" s="1" t="s">
        <v>3991</v>
      </c>
      <c r="B3282" t="s">
        <v>10307</v>
      </c>
    </row>
    <row r="3283" spans="1:2">
      <c r="A3283" s="1" t="s">
        <v>3992</v>
      </c>
      <c r="B3283" t="s">
        <v>10245</v>
      </c>
    </row>
    <row r="3284" spans="1:2">
      <c r="A3284" s="1" t="s">
        <v>3993</v>
      </c>
      <c r="B3284" t="s">
        <v>10391</v>
      </c>
    </row>
    <row r="3285" spans="1:2">
      <c r="A3285" s="1" t="s">
        <v>3994</v>
      </c>
      <c r="B3285" t="s">
        <v>10308</v>
      </c>
    </row>
    <row r="3286" spans="1:2">
      <c r="A3286" s="1" t="s">
        <v>3995</v>
      </c>
      <c r="B3286" t="s">
        <v>10276</v>
      </c>
    </row>
    <row r="3287" spans="1:2">
      <c r="A3287" s="1" t="s">
        <v>3996</v>
      </c>
      <c r="B3287" t="s">
        <v>10245</v>
      </c>
    </row>
    <row r="3288" spans="1:2">
      <c r="A3288" s="1" t="s">
        <v>3997</v>
      </c>
      <c r="B3288" t="s">
        <v>10417</v>
      </c>
    </row>
    <row r="3289" spans="1:2">
      <c r="A3289" s="1" t="s">
        <v>31</v>
      </c>
      <c r="B3289" t="s">
        <v>10279</v>
      </c>
    </row>
    <row r="3290" spans="1:2">
      <c r="A3290" s="1" t="s">
        <v>3998</v>
      </c>
      <c r="B3290" t="s">
        <v>10304</v>
      </c>
    </row>
    <row r="3291" spans="1:2">
      <c r="A3291" s="1" t="s">
        <v>3999</v>
      </c>
      <c r="B3291" t="s">
        <v>10331</v>
      </c>
    </row>
    <row r="3292" spans="1:2">
      <c r="A3292" s="1" t="s">
        <v>4000</v>
      </c>
      <c r="B3292" t="s">
        <v>10305</v>
      </c>
    </row>
    <row r="3293" spans="1:2">
      <c r="A3293" s="1" t="s">
        <v>4001</v>
      </c>
      <c r="B3293" t="s">
        <v>10326</v>
      </c>
    </row>
    <row r="3294" spans="1:2">
      <c r="A3294" s="1" t="s">
        <v>4002</v>
      </c>
      <c r="B3294" t="s">
        <v>10433</v>
      </c>
    </row>
    <row r="3295" spans="1:2">
      <c r="A3295" s="1" t="s">
        <v>4003</v>
      </c>
      <c r="B3295" t="s">
        <v>10283</v>
      </c>
    </row>
    <row r="3296" spans="1:2">
      <c r="A3296" s="1" t="s">
        <v>4004</v>
      </c>
      <c r="B3296" t="s">
        <v>10287</v>
      </c>
    </row>
    <row r="3297" spans="1:2">
      <c r="A3297" s="1" t="s">
        <v>508</v>
      </c>
      <c r="B3297" t="s">
        <v>10337</v>
      </c>
    </row>
    <row r="3298" spans="1:2">
      <c r="A3298" s="1" t="s">
        <v>668</v>
      </c>
      <c r="B3298" t="s">
        <v>10255</v>
      </c>
    </row>
    <row r="3299" spans="1:2">
      <c r="A3299" s="1" t="s">
        <v>4005</v>
      </c>
      <c r="B3299" t="s">
        <v>903</v>
      </c>
    </row>
    <row r="3300" spans="1:2">
      <c r="A3300" s="1" t="s">
        <v>4006</v>
      </c>
      <c r="B3300" t="s">
        <v>10245</v>
      </c>
    </row>
    <row r="3301" spans="1:2">
      <c r="A3301" s="1" t="s">
        <v>4007</v>
      </c>
      <c r="B3301" t="s">
        <v>10245</v>
      </c>
    </row>
    <row r="3302" spans="1:2">
      <c r="A3302" s="1" t="s">
        <v>4008</v>
      </c>
      <c r="B3302" t="s">
        <v>10277</v>
      </c>
    </row>
    <row r="3303" spans="1:2">
      <c r="A3303" s="1" t="s">
        <v>4009</v>
      </c>
      <c r="B3303" t="s">
        <v>10406</v>
      </c>
    </row>
    <row r="3304" spans="1:2">
      <c r="A3304" s="1" t="s">
        <v>4010</v>
      </c>
      <c r="B3304" t="s">
        <v>10246</v>
      </c>
    </row>
    <row r="3305" spans="1:2">
      <c r="A3305" s="1" t="s">
        <v>4011</v>
      </c>
      <c r="B3305" t="s">
        <v>10406</v>
      </c>
    </row>
    <row r="3306" spans="1:2">
      <c r="A3306" s="1" t="s">
        <v>230</v>
      </c>
      <c r="B3306" t="s">
        <v>10326</v>
      </c>
    </row>
    <row r="3307" spans="1:2">
      <c r="A3307" s="1" t="s">
        <v>4012</v>
      </c>
      <c r="B3307" t="s">
        <v>10416</v>
      </c>
    </row>
    <row r="3308" spans="1:2">
      <c r="A3308" s="1" t="s">
        <v>312</v>
      </c>
      <c r="B3308" t="s">
        <v>10249</v>
      </c>
    </row>
    <row r="3309" spans="1:2">
      <c r="A3309" s="1" t="s">
        <v>4013</v>
      </c>
      <c r="B3309" t="s">
        <v>10282</v>
      </c>
    </row>
    <row r="3310" spans="1:2">
      <c r="A3310" s="1" t="s">
        <v>295</v>
      </c>
      <c r="B3310" t="s">
        <v>10335</v>
      </c>
    </row>
    <row r="3311" spans="1:2">
      <c r="A3311" s="1" t="s">
        <v>4014</v>
      </c>
      <c r="B3311" t="s">
        <v>10287</v>
      </c>
    </row>
    <row r="3312" spans="1:2">
      <c r="A3312" s="1" t="s">
        <v>4015</v>
      </c>
      <c r="B3312" t="s">
        <v>10349</v>
      </c>
    </row>
    <row r="3313" spans="1:2">
      <c r="A3313" s="1" t="s">
        <v>4016</v>
      </c>
      <c r="B3313" t="s">
        <v>10255</v>
      </c>
    </row>
    <row r="3314" spans="1:2">
      <c r="A3314" s="1" t="s">
        <v>4017</v>
      </c>
      <c r="B3314" t="s">
        <v>10367</v>
      </c>
    </row>
    <row r="3315" spans="1:2">
      <c r="A3315" s="1" t="s">
        <v>774</v>
      </c>
      <c r="B3315" t="s">
        <v>10346</v>
      </c>
    </row>
    <row r="3316" spans="1:2">
      <c r="A3316" s="1" t="s">
        <v>4018</v>
      </c>
      <c r="B3316" t="s">
        <v>10394</v>
      </c>
    </row>
    <row r="3317" spans="1:2">
      <c r="A3317" s="1" t="s">
        <v>4019</v>
      </c>
      <c r="B3317" t="s">
        <v>10323</v>
      </c>
    </row>
    <row r="3318" spans="1:2">
      <c r="A3318" s="1" t="s">
        <v>4020</v>
      </c>
      <c r="B3318" t="s">
        <v>10255</v>
      </c>
    </row>
    <row r="3319" spans="1:2">
      <c r="A3319" s="1" t="s">
        <v>4021</v>
      </c>
      <c r="B3319" t="s">
        <v>10434</v>
      </c>
    </row>
    <row r="3320" spans="1:2">
      <c r="A3320" s="1" t="s">
        <v>598</v>
      </c>
      <c r="B3320" t="s">
        <v>10307</v>
      </c>
    </row>
    <row r="3321" spans="1:2">
      <c r="A3321" s="1" t="s">
        <v>4022</v>
      </c>
      <c r="B3321" t="s">
        <v>10277</v>
      </c>
    </row>
    <row r="3322" spans="1:2">
      <c r="A3322" s="1" t="s">
        <v>4023</v>
      </c>
      <c r="B3322" t="s">
        <v>10298</v>
      </c>
    </row>
    <row r="3323" spans="1:2">
      <c r="A3323" s="1" t="s">
        <v>4024</v>
      </c>
      <c r="B3323" t="s">
        <v>10250</v>
      </c>
    </row>
    <row r="3324" spans="1:2">
      <c r="A3324" s="1" t="s">
        <v>4025</v>
      </c>
      <c r="B3324" t="s">
        <v>10392</v>
      </c>
    </row>
    <row r="3325" spans="1:2">
      <c r="A3325" s="1" t="s">
        <v>4026</v>
      </c>
      <c r="B3325" t="s">
        <v>10303</v>
      </c>
    </row>
    <row r="3326" spans="1:2">
      <c r="A3326" s="1" t="s">
        <v>4027</v>
      </c>
      <c r="B3326" t="s">
        <v>10297</v>
      </c>
    </row>
    <row r="3327" spans="1:2">
      <c r="A3327" s="1" t="s">
        <v>199</v>
      </c>
      <c r="B3327" t="s">
        <v>10496</v>
      </c>
    </row>
    <row r="3328" spans="1:2">
      <c r="A3328" s="1" t="s">
        <v>684</v>
      </c>
      <c r="B3328" t="s">
        <v>10298</v>
      </c>
    </row>
    <row r="3329" spans="1:2">
      <c r="A3329" s="1" t="s">
        <v>4028</v>
      </c>
      <c r="B3329" t="s">
        <v>10251</v>
      </c>
    </row>
    <row r="3330" spans="1:2">
      <c r="A3330" s="1" t="s">
        <v>4029</v>
      </c>
      <c r="B3330" t="s">
        <v>10291</v>
      </c>
    </row>
    <row r="3331" spans="1:2">
      <c r="A3331" s="1" t="s">
        <v>4030</v>
      </c>
      <c r="B3331" t="s">
        <v>10311</v>
      </c>
    </row>
    <row r="3332" spans="1:2">
      <c r="A3332" s="1" t="s">
        <v>4031</v>
      </c>
      <c r="B3332" t="s">
        <v>10282</v>
      </c>
    </row>
    <row r="3333" spans="1:2">
      <c r="A3333" s="1" t="s">
        <v>4032</v>
      </c>
      <c r="B3333" t="s">
        <v>10446</v>
      </c>
    </row>
    <row r="3334" spans="1:2">
      <c r="A3334" s="1" t="s">
        <v>4033</v>
      </c>
      <c r="B3334" t="s">
        <v>10364</v>
      </c>
    </row>
    <row r="3335" spans="1:2">
      <c r="A3335" s="1" t="s">
        <v>4034</v>
      </c>
      <c r="B3335" t="s">
        <v>10446</v>
      </c>
    </row>
    <row r="3336" spans="1:2">
      <c r="A3336" s="1" t="s">
        <v>222</v>
      </c>
      <c r="B3336" t="s">
        <v>10304</v>
      </c>
    </row>
    <row r="3337" spans="1:2">
      <c r="A3337" s="1" t="s">
        <v>337</v>
      </c>
      <c r="B3337" t="s">
        <v>10385</v>
      </c>
    </row>
    <row r="3338" spans="1:2">
      <c r="A3338" s="1" t="s">
        <v>656</v>
      </c>
      <c r="B3338" t="s">
        <v>10387</v>
      </c>
    </row>
    <row r="3339" spans="1:2">
      <c r="A3339" s="1" t="s">
        <v>4035</v>
      </c>
      <c r="B3339" t="s">
        <v>10245</v>
      </c>
    </row>
    <row r="3340" spans="1:2">
      <c r="A3340" s="1" t="s">
        <v>4036</v>
      </c>
      <c r="B3340" t="s">
        <v>10246</v>
      </c>
    </row>
    <row r="3341" spans="1:2">
      <c r="A3341" s="1" t="s">
        <v>4037</v>
      </c>
      <c r="B3341" t="s">
        <v>10293</v>
      </c>
    </row>
    <row r="3342" spans="1:2">
      <c r="A3342" s="1" t="s">
        <v>4038</v>
      </c>
      <c r="B3342" t="s">
        <v>10283</v>
      </c>
    </row>
    <row r="3343" spans="1:2">
      <c r="A3343" s="1" t="s">
        <v>4039</v>
      </c>
      <c r="B3343" t="s">
        <v>10260</v>
      </c>
    </row>
    <row r="3344" spans="1:2">
      <c r="A3344" s="1" t="s">
        <v>4040</v>
      </c>
      <c r="B3344" t="s">
        <v>10304</v>
      </c>
    </row>
    <row r="3345" spans="1:2">
      <c r="A3345" s="1" t="s">
        <v>4041</v>
      </c>
      <c r="B3345" t="s">
        <v>10307</v>
      </c>
    </row>
    <row r="3346" spans="1:2">
      <c r="A3346" s="1" t="s">
        <v>271</v>
      </c>
      <c r="B3346" t="s">
        <v>10288</v>
      </c>
    </row>
    <row r="3347" spans="1:2">
      <c r="A3347" s="1" t="s">
        <v>116</v>
      </c>
      <c r="B3347" t="s">
        <v>10497</v>
      </c>
    </row>
    <row r="3348" spans="1:2">
      <c r="A3348" s="1" t="s">
        <v>4042</v>
      </c>
      <c r="B3348" t="s">
        <v>10297</v>
      </c>
    </row>
    <row r="3349" spans="1:2">
      <c r="A3349" s="1" t="s">
        <v>4043</v>
      </c>
      <c r="B3349" t="s">
        <v>10366</v>
      </c>
    </row>
    <row r="3350" spans="1:2">
      <c r="A3350" s="1" t="s">
        <v>4044</v>
      </c>
      <c r="B3350" t="s">
        <v>10410</v>
      </c>
    </row>
    <row r="3351" spans="1:2">
      <c r="A3351" s="1" t="s">
        <v>4045</v>
      </c>
      <c r="B3351" t="s">
        <v>10446</v>
      </c>
    </row>
    <row r="3352" spans="1:2">
      <c r="A3352" s="1" t="s">
        <v>4046</v>
      </c>
      <c r="B3352" t="s">
        <v>10378</v>
      </c>
    </row>
    <row r="3353" spans="1:2">
      <c r="A3353" s="1" t="s">
        <v>4047</v>
      </c>
      <c r="B3353" t="s">
        <v>10403</v>
      </c>
    </row>
    <row r="3354" spans="1:2">
      <c r="A3354" s="1" t="s">
        <v>4048</v>
      </c>
      <c r="B3354" t="s">
        <v>10368</v>
      </c>
    </row>
    <row r="3355" spans="1:2">
      <c r="A3355" s="1" t="s">
        <v>4049</v>
      </c>
      <c r="B3355" t="s">
        <v>903</v>
      </c>
    </row>
    <row r="3356" spans="1:2">
      <c r="A3356" s="1" t="s">
        <v>4050</v>
      </c>
      <c r="B3356" t="s">
        <v>10252</v>
      </c>
    </row>
    <row r="3357" spans="1:2">
      <c r="A3357" s="1" t="s">
        <v>4051</v>
      </c>
      <c r="B3357" t="s">
        <v>10305</v>
      </c>
    </row>
    <row r="3358" spans="1:2">
      <c r="A3358" s="1" t="s">
        <v>4052</v>
      </c>
      <c r="B3358" t="s">
        <v>903</v>
      </c>
    </row>
    <row r="3359" spans="1:2">
      <c r="A3359" s="1" t="s">
        <v>4053</v>
      </c>
      <c r="B3359" t="s">
        <v>10323</v>
      </c>
    </row>
    <row r="3360" spans="1:2">
      <c r="A3360" s="1" t="s">
        <v>4054</v>
      </c>
      <c r="B3360" t="s">
        <v>10245</v>
      </c>
    </row>
    <row r="3361" spans="1:2">
      <c r="A3361" s="1" t="s">
        <v>4055</v>
      </c>
      <c r="B3361" t="s">
        <v>10244</v>
      </c>
    </row>
    <row r="3362" spans="1:2">
      <c r="A3362" s="1" t="s">
        <v>4056</v>
      </c>
      <c r="B3362" t="s">
        <v>903</v>
      </c>
    </row>
    <row r="3363" spans="1:2">
      <c r="A3363" s="1" t="s">
        <v>4057</v>
      </c>
      <c r="B3363" t="s">
        <v>10378</v>
      </c>
    </row>
    <row r="3364" spans="1:2">
      <c r="A3364" s="1" t="s">
        <v>4058</v>
      </c>
      <c r="B3364" t="s">
        <v>10246</v>
      </c>
    </row>
    <row r="3365" spans="1:2">
      <c r="A3365" s="1" t="s">
        <v>4059</v>
      </c>
      <c r="B3365" t="s">
        <v>10260</v>
      </c>
    </row>
    <row r="3366" spans="1:2">
      <c r="A3366" s="1" t="s">
        <v>4060</v>
      </c>
      <c r="B3366" t="s">
        <v>10481</v>
      </c>
    </row>
    <row r="3367" spans="1:2">
      <c r="A3367" s="1" t="s">
        <v>4061</v>
      </c>
      <c r="B3367" t="s">
        <v>10246</v>
      </c>
    </row>
    <row r="3368" spans="1:2">
      <c r="A3368" s="1" t="s">
        <v>30</v>
      </c>
      <c r="B3368" t="s">
        <v>10343</v>
      </c>
    </row>
    <row r="3369" spans="1:2">
      <c r="A3369" s="1" t="s">
        <v>4062</v>
      </c>
      <c r="B3369" t="s">
        <v>10245</v>
      </c>
    </row>
    <row r="3370" spans="1:2">
      <c r="A3370" s="1" t="s">
        <v>4063</v>
      </c>
      <c r="B3370" t="s">
        <v>10255</v>
      </c>
    </row>
    <row r="3371" spans="1:2">
      <c r="A3371" s="1" t="s">
        <v>4064</v>
      </c>
      <c r="B3371" t="s">
        <v>10436</v>
      </c>
    </row>
    <row r="3372" spans="1:2">
      <c r="A3372" s="1" t="s">
        <v>125</v>
      </c>
      <c r="B3372" t="s">
        <v>10298</v>
      </c>
    </row>
    <row r="3373" spans="1:2">
      <c r="A3373" s="1" t="s">
        <v>699</v>
      </c>
      <c r="B3373" t="s">
        <v>10260</v>
      </c>
    </row>
    <row r="3374" spans="1:2">
      <c r="A3374" s="1" t="s">
        <v>391</v>
      </c>
      <c r="B3374" t="s">
        <v>10387</v>
      </c>
    </row>
    <row r="3375" spans="1:2">
      <c r="A3375" s="1" t="s">
        <v>4065</v>
      </c>
      <c r="B3375" t="s">
        <v>10287</v>
      </c>
    </row>
    <row r="3376" spans="1:2">
      <c r="A3376" s="1" t="s">
        <v>258</v>
      </c>
      <c r="B3376" t="s">
        <v>10283</v>
      </c>
    </row>
    <row r="3377" spans="1:2">
      <c r="A3377" s="1" t="s">
        <v>4066</v>
      </c>
      <c r="B3377" t="s">
        <v>10290</v>
      </c>
    </row>
    <row r="3378" spans="1:2">
      <c r="A3378" s="1" t="s">
        <v>4067</v>
      </c>
      <c r="B3378" t="s">
        <v>10261</v>
      </c>
    </row>
    <row r="3379" spans="1:2">
      <c r="A3379" s="1" t="s">
        <v>4068</v>
      </c>
      <c r="B3379" t="s">
        <v>10262</v>
      </c>
    </row>
    <row r="3380" spans="1:2">
      <c r="A3380" s="1" t="s">
        <v>4069</v>
      </c>
      <c r="B3380" t="s">
        <v>10312</v>
      </c>
    </row>
    <row r="3381" spans="1:2">
      <c r="A3381" s="1" t="s">
        <v>4070</v>
      </c>
      <c r="B3381" t="s">
        <v>10269</v>
      </c>
    </row>
    <row r="3382" spans="1:2">
      <c r="A3382" s="1" t="s">
        <v>589</v>
      </c>
      <c r="B3382" t="s">
        <v>10298</v>
      </c>
    </row>
    <row r="3383" spans="1:2">
      <c r="A3383" s="1" t="s">
        <v>4071</v>
      </c>
      <c r="B3383" t="s">
        <v>903</v>
      </c>
    </row>
    <row r="3384" spans="1:2">
      <c r="A3384" s="1" t="s">
        <v>4072</v>
      </c>
      <c r="B3384" t="s">
        <v>10298</v>
      </c>
    </row>
    <row r="3385" spans="1:2">
      <c r="A3385" s="1" t="s">
        <v>4073</v>
      </c>
      <c r="B3385" t="s">
        <v>10245</v>
      </c>
    </row>
    <row r="3386" spans="1:2">
      <c r="A3386" s="1" t="s">
        <v>619</v>
      </c>
      <c r="B3386" t="s">
        <v>10498</v>
      </c>
    </row>
    <row r="3387" spans="1:2">
      <c r="A3387" s="1" t="s">
        <v>4074</v>
      </c>
      <c r="B3387" t="s">
        <v>10473</v>
      </c>
    </row>
    <row r="3388" spans="1:2">
      <c r="A3388" s="1" t="s">
        <v>4075</v>
      </c>
      <c r="B3388" t="s">
        <v>10303</v>
      </c>
    </row>
    <row r="3389" spans="1:2">
      <c r="A3389" s="1" t="s">
        <v>4076</v>
      </c>
      <c r="B3389" t="s">
        <v>10344</v>
      </c>
    </row>
    <row r="3390" spans="1:2">
      <c r="A3390" s="1" t="s">
        <v>4077</v>
      </c>
      <c r="B3390" t="s">
        <v>10359</v>
      </c>
    </row>
    <row r="3391" spans="1:2">
      <c r="A3391" s="1" t="s">
        <v>4078</v>
      </c>
      <c r="B3391" t="s">
        <v>10311</v>
      </c>
    </row>
    <row r="3392" spans="1:2">
      <c r="A3392" s="1" t="s">
        <v>4079</v>
      </c>
      <c r="B3392" t="s">
        <v>10282</v>
      </c>
    </row>
    <row r="3393" spans="1:2">
      <c r="A3393" s="1" t="s">
        <v>4080</v>
      </c>
      <c r="B3393" t="s">
        <v>903</v>
      </c>
    </row>
    <row r="3394" spans="1:2">
      <c r="A3394" s="1" t="s">
        <v>4081</v>
      </c>
      <c r="B3394" t="s">
        <v>10382</v>
      </c>
    </row>
    <row r="3395" spans="1:2">
      <c r="A3395" s="1" t="s">
        <v>4082</v>
      </c>
      <c r="B3395" t="s">
        <v>10264</v>
      </c>
    </row>
    <row r="3396" spans="1:2">
      <c r="A3396" s="1" t="s">
        <v>407</v>
      </c>
      <c r="B3396" t="s">
        <v>10298</v>
      </c>
    </row>
    <row r="3397" spans="1:2">
      <c r="A3397" s="1" t="s">
        <v>4083</v>
      </c>
      <c r="B3397" t="s">
        <v>10244</v>
      </c>
    </row>
    <row r="3398" spans="1:2">
      <c r="A3398" s="1" t="s">
        <v>4084</v>
      </c>
      <c r="B3398" t="s">
        <v>10262</v>
      </c>
    </row>
    <row r="3399" spans="1:2">
      <c r="A3399" s="1" t="s">
        <v>4085</v>
      </c>
      <c r="B3399" t="s">
        <v>10261</v>
      </c>
    </row>
    <row r="3400" spans="1:2">
      <c r="A3400" s="1" t="s">
        <v>4086</v>
      </c>
      <c r="B3400" t="s">
        <v>903</v>
      </c>
    </row>
    <row r="3401" spans="1:2">
      <c r="A3401" s="1" t="s">
        <v>543</v>
      </c>
      <c r="B3401" t="s">
        <v>10299</v>
      </c>
    </row>
    <row r="3402" spans="1:2">
      <c r="A3402" s="1" t="s">
        <v>4087</v>
      </c>
      <c r="B3402" t="s">
        <v>10343</v>
      </c>
    </row>
    <row r="3403" spans="1:2">
      <c r="A3403" s="1" t="s">
        <v>650</v>
      </c>
      <c r="B3403" t="s">
        <v>10250</v>
      </c>
    </row>
    <row r="3404" spans="1:2">
      <c r="A3404" s="1" t="s">
        <v>4088</v>
      </c>
      <c r="B3404" t="s">
        <v>10366</v>
      </c>
    </row>
    <row r="3405" spans="1:2">
      <c r="A3405" s="1" t="s">
        <v>4089</v>
      </c>
      <c r="B3405" t="s">
        <v>10245</v>
      </c>
    </row>
    <row r="3406" spans="1:2">
      <c r="A3406" s="1" t="s">
        <v>4090</v>
      </c>
      <c r="B3406" t="s">
        <v>10253</v>
      </c>
    </row>
    <row r="3407" spans="1:2">
      <c r="A3407" s="1" t="s">
        <v>4091</v>
      </c>
      <c r="B3407" t="s">
        <v>10307</v>
      </c>
    </row>
    <row r="3408" spans="1:2">
      <c r="A3408" s="1" t="s">
        <v>4092</v>
      </c>
      <c r="B3408" t="s">
        <v>10261</v>
      </c>
    </row>
    <row r="3409" spans="1:2">
      <c r="A3409" s="1" t="s">
        <v>572</v>
      </c>
      <c r="B3409" t="s">
        <v>10307</v>
      </c>
    </row>
    <row r="3410" spans="1:2">
      <c r="A3410" s="1" t="s">
        <v>4093</v>
      </c>
      <c r="B3410" t="s">
        <v>903</v>
      </c>
    </row>
    <row r="3411" spans="1:2">
      <c r="A3411" s="1" t="s">
        <v>4094</v>
      </c>
      <c r="B3411" t="s">
        <v>10395</v>
      </c>
    </row>
    <row r="3412" spans="1:2">
      <c r="A3412" s="1" t="s">
        <v>4095</v>
      </c>
      <c r="B3412" t="s">
        <v>10244</v>
      </c>
    </row>
    <row r="3413" spans="1:2">
      <c r="A3413" s="1" t="s">
        <v>348</v>
      </c>
      <c r="B3413" t="s">
        <v>10243</v>
      </c>
    </row>
    <row r="3414" spans="1:2">
      <c r="A3414" s="1" t="s">
        <v>4096</v>
      </c>
      <c r="B3414" t="s">
        <v>10281</v>
      </c>
    </row>
    <row r="3415" spans="1:2">
      <c r="A3415" s="1" t="s">
        <v>4097</v>
      </c>
      <c r="B3415" t="s">
        <v>10245</v>
      </c>
    </row>
    <row r="3416" spans="1:2">
      <c r="A3416" s="1" t="s">
        <v>4098</v>
      </c>
      <c r="B3416" t="s">
        <v>10408</v>
      </c>
    </row>
    <row r="3417" spans="1:2">
      <c r="A3417" s="1" t="s">
        <v>4099</v>
      </c>
      <c r="B3417" t="s">
        <v>10245</v>
      </c>
    </row>
    <row r="3418" spans="1:2">
      <c r="A3418" s="1" t="s">
        <v>4100</v>
      </c>
      <c r="B3418" t="s">
        <v>10346</v>
      </c>
    </row>
    <row r="3419" spans="1:2">
      <c r="A3419" s="1" t="s">
        <v>4101</v>
      </c>
      <c r="B3419" t="s">
        <v>10260</v>
      </c>
    </row>
    <row r="3420" spans="1:2">
      <c r="A3420" s="1" t="s">
        <v>4102</v>
      </c>
      <c r="B3420" t="s">
        <v>10413</v>
      </c>
    </row>
    <row r="3421" spans="1:2">
      <c r="A3421" s="1" t="s">
        <v>4103</v>
      </c>
      <c r="B3421" t="s">
        <v>10261</v>
      </c>
    </row>
    <row r="3422" spans="1:2">
      <c r="A3422" s="1" t="s">
        <v>4104</v>
      </c>
      <c r="B3422" t="s">
        <v>10364</v>
      </c>
    </row>
    <row r="3423" spans="1:2">
      <c r="A3423" s="1" t="s">
        <v>4105</v>
      </c>
      <c r="B3423" t="s">
        <v>10245</v>
      </c>
    </row>
    <row r="3424" spans="1:2">
      <c r="A3424" s="1" t="s">
        <v>4106</v>
      </c>
      <c r="B3424" t="s">
        <v>10274</v>
      </c>
    </row>
    <row r="3425" spans="1:2">
      <c r="A3425" s="1" t="s">
        <v>4107</v>
      </c>
      <c r="B3425" t="s">
        <v>10245</v>
      </c>
    </row>
    <row r="3426" spans="1:2">
      <c r="A3426" s="1" t="s">
        <v>4108</v>
      </c>
      <c r="B3426" t="s">
        <v>10261</v>
      </c>
    </row>
    <row r="3427" spans="1:2">
      <c r="A3427" s="1" t="s">
        <v>209</v>
      </c>
      <c r="B3427" t="s">
        <v>10357</v>
      </c>
    </row>
    <row r="3428" spans="1:2">
      <c r="A3428" s="1" t="s">
        <v>103</v>
      </c>
      <c r="B3428" t="s">
        <v>10319</v>
      </c>
    </row>
    <row r="3429" spans="1:2">
      <c r="A3429" s="1" t="s">
        <v>4109</v>
      </c>
      <c r="B3429" t="s">
        <v>10255</v>
      </c>
    </row>
    <row r="3430" spans="1:2">
      <c r="A3430" s="1" t="s">
        <v>4110</v>
      </c>
      <c r="B3430" t="s">
        <v>10283</v>
      </c>
    </row>
    <row r="3431" spans="1:2">
      <c r="A3431" s="1" t="s">
        <v>64</v>
      </c>
      <c r="B3431" t="s">
        <v>10374</v>
      </c>
    </row>
    <row r="3432" spans="1:2">
      <c r="A3432" s="1" t="s">
        <v>4111</v>
      </c>
      <c r="B3432" t="s">
        <v>10266</v>
      </c>
    </row>
    <row r="3433" spans="1:2">
      <c r="A3433" s="1" t="s">
        <v>4112</v>
      </c>
      <c r="B3433" t="s">
        <v>10403</v>
      </c>
    </row>
    <row r="3434" spans="1:2">
      <c r="A3434" s="1" t="s">
        <v>4113</v>
      </c>
      <c r="B3434" t="s">
        <v>10326</v>
      </c>
    </row>
    <row r="3435" spans="1:2">
      <c r="A3435" s="1" t="s">
        <v>163</v>
      </c>
      <c r="B3435" t="s">
        <v>10298</v>
      </c>
    </row>
    <row r="3436" spans="1:2">
      <c r="A3436" s="1" t="s">
        <v>470</v>
      </c>
      <c r="B3436" t="s">
        <v>10264</v>
      </c>
    </row>
    <row r="3437" spans="1:2">
      <c r="A3437" s="1" t="s">
        <v>522</v>
      </c>
      <c r="B3437" t="s">
        <v>10355</v>
      </c>
    </row>
    <row r="3438" spans="1:2">
      <c r="A3438" s="1" t="s">
        <v>4114</v>
      </c>
      <c r="B3438" t="s">
        <v>10276</v>
      </c>
    </row>
    <row r="3439" spans="1:2">
      <c r="A3439" s="1" t="s">
        <v>4115</v>
      </c>
      <c r="B3439" t="s">
        <v>10290</v>
      </c>
    </row>
    <row r="3440" spans="1:2">
      <c r="A3440" s="1" t="s">
        <v>4116</v>
      </c>
      <c r="B3440" t="s">
        <v>10250</v>
      </c>
    </row>
    <row r="3441" spans="1:2">
      <c r="A3441" s="1" t="s">
        <v>4117</v>
      </c>
      <c r="B3441" t="s">
        <v>10282</v>
      </c>
    </row>
    <row r="3442" spans="1:2">
      <c r="A3442" s="1" t="s">
        <v>4118</v>
      </c>
      <c r="B3442" t="s">
        <v>10253</v>
      </c>
    </row>
    <row r="3443" spans="1:2">
      <c r="A3443" s="1" t="s">
        <v>4119</v>
      </c>
      <c r="B3443" t="s">
        <v>10250</v>
      </c>
    </row>
    <row r="3444" spans="1:2">
      <c r="A3444" s="1" t="s">
        <v>4120</v>
      </c>
      <c r="B3444" t="s">
        <v>10282</v>
      </c>
    </row>
    <row r="3445" spans="1:2">
      <c r="A3445" s="1" t="s">
        <v>4121</v>
      </c>
      <c r="B3445" t="s">
        <v>10255</v>
      </c>
    </row>
    <row r="3446" spans="1:2">
      <c r="A3446" s="1" t="s">
        <v>4122</v>
      </c>
      <c r="B3446" t="s">
        <v>10244</v>
      </c>
    </row>
    <row r="3447" spans="1:2">
      <c r="A3447" s="1" t="s">
        <v>4123</v>
      </c>
      <c r="B3447" t="s">
        <v>10298</v>
      </c>
    </row>
    <row r="3448" spans="1:2">
      <c r="A3448" s="1" t="s">
        <v>4124</v>
      </c>
      <c r="B3448" t="s">
        <v>10246</v>
      </c>
    </row>
    <row r="3449" spans="1:2">
      <c r="A3449" s="1" t="s">
        <v>4125</v>
      </c>
      <c r="B3449" t="s">
        <v>10404</v>
      </c>
    </row>
    <row r="3450" spans="1:2">
      <c r="A3450" s="1" t="s">
        <v>4126</v>
      </c>
      <c r="B3450" t="s">
        <v>10288</v>
      </c>
    </row>
    <row r="3451" spans="1:2">
      <c r="A3451" s="1" t="s">
        <v>4127</v>
      </c>
      <c r="B3451" t="s">
        <v>10307</v>
      </c>
    </row>
    <row r="3452" spans="1:2">
      <c r="A3452" s="1" t="s">
        <v>4128</v>
      </c>
      <c r="B3452" t="s">
        <v>10378</v>
      </c>
    </row>
    <row r="3453" spans="1:2">
      <c r="A3453" s="1" t="s">
        <v>4129</v>
      </c>
      <c r="B3453" t="s">
        <v>10251</v>
      </c>
    </row>
    <row r="3454" spans="1:2">
      <c r="A3454" s="1" t="s">
        <v>4130</v>
      </c>
      <c r="B3454" t="s">
        <v>10245</v>
      </c>
    </row>
    <row r="3455" spans="1:2">
      <c r="A3455" s="1" t="s">
        <v>4131</v>
      </c>
      <c r="B3455" t="s">
        <v>10313</v>
      </c>
    </row>
    <row r="3456" spans="1:2">
      <c r="A3456" s="1" t="s">
        <v>4132</v>
      </c>
      <c r="B3456" t="s">
        <v>10245</v>
      </c>
    </row>
    <row r="3457" spans="1:2">
      <c r="A3457" s="1" t="s">
        <v>4133</v>
      </c>
      <c r="B3457" t="s">
        <v>10293</v>
      </c>
    </row>
    <row r="3458" spans="1:2">
      <c r="A3458" s="1" t="s">
        <v>440</v>
      </c>
      <c r="B3458" t="s">
        <v>10391</v>
      </c>
    </row>
    <row r="3459" spans="1:2">
      <c r="A3459" s="1" t="s">
        <v>4134</v>
      </c>
      <c r="B3459" t="s">
        <v>10250</v>
      </c>
    </row>
    <row r="3460" spans="1:2">
      <c r="A3460" s="1" t="s">
        <v>4135</v>
      </c>
      <c r="B3460" t="s">
        <v>10298</v>
      </c>
    </row>
    <row r="3461" spans="1:2">
      <c r="A3461" s="1" t="s">
        <v>4136</v>
      </c>
      <c r="B3461" t="s">
        <v>10385</v>
      </c>
    </row>
    <row r="3462" spans="1:2">
      <c r="A3462" s="1" t="s">
        <v>4137</v>
      </c>
      <c r="B3462" t="s">
        <v>10307</v>
      </c>
    </row>
    <row r="3463" spans="1:2">
      <c r="A3463" s="1" t="s">
        <v>4138</v>
      </c>
      <c r="B3463" t="s">
        <v>10307</v>
      </c>
    </row>
    <row r="3464" spans="1:2">
      <c r="A3464" s="1" t="s">
        <v>4139</v>
      </c>
      <c r="B3464" t="s">
        <v>10255</v>
      </c>
    </row>
    <row r="3465" spans="1:2">
      <c r="A3465" s="1" t="s">
        <v>4140</v>
      </c>
      <c r="B3465" t="s">
        <v>10499</v>
      </c>
    </row>
    <row r="3466" spans="1:2">
      <c r="A3466" s="1" t="s">
        <v>4141</v>
      </c>
      <c r="B3466" t="s">
        <v>10282</v>
      </c>
    </row>
    <row r="3467" spans="1:2">
      <c r="A3467" s="1" t="s">
        <v>777</v>
      </c>
      <c r="B3467" t="s">
        <v>10271</v>
      </c>
    </row>
    <row r="3468" spans="1:2">
      <c r="A3468" s="1" t="s">
        <v>4142</v>
      </c>
      <c r="B3468" t="s">
        <v>10275</v>
      </c>
    </row>
    <row r="3469" spans="1:2">
      <c r="A3469" s="1" t="s">
        <v>77</v>
      </c>
      <c r="B3469" t="s">
        <v>10245</v>
      </c>
    </row>
    <row r="3470" spans="1:2">
      <c r="A3470" s="1" t="s">
        <v>4143</v>
      </c>
      <c r="B3470" t="s">
        <v>10378</v>
      </c>
    </row>
    <row r="3471" spans="1:2">
      <c r="A3471" s="1" t="s">
        <v>4144</v>
      </c>
      <c r="B3471" t="s">
        <v>10396</v>
      </c>
    </row>
    <row r="3472" spans="1:2">
      <c r="A3472" s="1" t="s">
        <v>4145</v>
      </c>
      <c r="B3472" t="s">
        <v>10436</v>
      </c>
    </row>
    <row r="3473" spans="1:2">
      <c r="A3473" s="1" t="s">
        <v>4146</v>
      </c>
      <c r="B3473" t="s">
        <v>10311</v>
      </c>
    </row>
    <row r="3474" spans="1:2">
      <c r="A3474" s="1" t="s">
        <v>4147</v>
      </c>
      <c r="B3474" t="s">
        <v>10309</v>
      </c>
    </row>
    <row r="3475" spans="1:2">
      <c r="A3475" s="1" t="s">
        <v>725</v>
      </c>
      <c r="B3475" t="s">
        <v>10246</v>
      </c>
    </row>
    <row r="3476" spans="1:2">
      <c r="A3476" s="1" t="s">
        <v>4148</v>
      </c>
      <c r="B3476" t="s">
        <v>10283</v>
      </c>
    </row>
    <row r="3477" spans="1:2">
      <c r="A3477" s="1" t="s">
        <v>4149</v>
      </c>
      <c r="B3477" t="s">
        <v>10340</v>
      </c>
    </row>
    <row r="3478" spans="1:2">
      <c r="A3478" s="1" t="s">
        <v>4150</v>
      </c>
      <c r="B3478" t="s">
        <v>10341</v>
      </c>
    </row>
    <row r="3479" spans="1:2">
      <c r="A3479" s="1" t="s">
        <v>4151</v>
      </c>
      <c r="B3479" t="s">
        <v>10304</v>
      </c>
    </row>
    <row r="3480" spans="1:2">
      <c r="A3480" s="1" t="s">
        <v>4152</v>
      </c>
      <c r="B3480" t="s">
        <v>10500</v>
      </c>
    </row>
    <row r="3481" spans="1:2">
      <c r="A3481" s="1" t="s">
        <v>4153</v>
      </c>
      <c r="B3481" t="s">
        <v>10261</v>
      </c>
    </row>
    <row r="3482" spans="1:2">
      <c r="A3482" s="1" t="s">
        <v>73</v>
      </c>
      <c r="B3482" t="s">
        <v>10250</v>
      </c>
    </row>
    <row r="3483" spans="1:2">
      <c r="A3483" s="1" t="s">
        <v>4154</v>
      </c>
      <c r="B3483" t="s">
        <v>10261</v>
      </c>
    </row>
    <row r="3484" spans="1:2">
      <c r="A3484" s="1" t="s">
        <v>4155</v>
      </c>
      <c r="B3484" t="s">
        <v>10294</v>
      </c>
    </row>
    <row r="3485" spans="1:2">
      <c r="A3485" s="1" t="s">
        <v>4156</v>
      </c>
      <c r="B3485" t="s">
        <v>10427</v>
      </c>
    </row>
    <row r="3486" spans="1:2">
      <c r="A3486" s="1" t="s">
        <v>4157</v>
      </c>
      <c r="B3486" t="s">
        <v>10287</v>
      </c>
    </row>
    <row r="3487" spans="1:2">
      <c r="A3487" s="1" t="s">
        <v>218</v>
      </c>
      <c r="B3487" t="s">
        <v>10343</v>
      </c>
    </row>
    <row r="3488" spans="1:2">
      <c r="A3488" s="1" t="s">
        <v>4158</v>
      </c>
      <c r="B3488" t="s">
        <v>10261</v>
      </c>
    </row>
    <row r="3489" spans="1:2">
      <c r="A3489" s="1" t="s">
        <v>4159</v>
      </c>
      <c r="B3489" t="s">
        <v>10261</v>
      </c>
    </row>
    <row r="3490" spans="1:2">
      <c r="A3490" s="1" t="s">
        <v>4160</v>
      </c>
      <c r="B3490" t="s">
        <v>10276</v>
      </c>
    </row>
    <row r="3491" spans="1:2">
      <c r="A3491" s="1" t="s">
        <v>4161</v>
      </c>
      <c r="B3491" t="s">
        <v>10451</v>
      </c>
    </row>
    <row r="3492" spans="1:2">
      <c r="A3492" s="1" t="s">
        <v>4162</v>
      </c>
      <c r="B3492" t="s">
        <v>10416</v>
      </c>
    </row>
    <row r="3493" spans="1:2">
      <c r="A3493" s="1" t="s">
        <v>4163</v>
      </c>
      <c r="B3493" t="s">
        <v>10304</v>
      </c>
    </row>
    <row r="3494" spans="1:2">
      <c r="A3494" s="1" t="s">
        <v>4164</v>
      </c>
      <c r="B3494" t="s">
        <v>10398</v>
      </c>
    </row>
    <row r="3495" spans="1:2">
      <c r="A3495" s="1" t="s">
        <v>4165</v>
      </c>
      <c r="B3495" t="s">
        <v>10261</v>
      </c>
    </row>
    <row r="3496" spans="1:2">
      <c r="A3496" s="1" t="s">
        <v>4166</v>
      </c>
      <c r="B3496" t="s">
        <v>10459</v>
      </c>
    </row>
    <row r="3497" spans="1:2">
      <c r="A3497" s="1" t="s">
        <v>4167</v>
      </c>
      <c r="B3497" t="s">
        <v>903</v>
      </c>
    </row>
    <row r="3498" spans="1:2">
      <c r="A3498" s="1" t="s">
        <v>330</v>
      </c>
      <c r="B3498" t="s">
        <v>10282</v>
      </c>
    </row>
    <row r="3499" spans="1:2">
      <c r="A3499" s="1" t="s">
        <v>4168</v>
      </c>
      <c r="B3499" t="s">
        <v>10245</v>
      </c>
    </row>
    <row r="3500" spans="1:2">
      <c r="A3500" s="1" t="s">
        <v>4169</v>
      </c>
      <c r="B3500" t="s">
        <v>10305</v>
      </c>
    </row>
    <row r="3501" spans="1:2">
      <c r="A3501" s="1" t="s">
        <v>540</v>
      </c>
      <c r="B3501" t="s">
        <v>10308</v>
      </c>
    </row>
    <row r="3502" spans="1:2">
      <c r="A3502" s="1" t="s">
        <v>75</v>
      </c>
      <c r="B3502" t="s">
        <v>10343</v>
      </c>
    </row>
    <row r="3503" spans="1:2">
      <c r="A3503" s="1" t="s">
        <v>4170</v>
      </c>
      <c r="B3503" t="s">
        <v>10272</v>
      </c>
    </row>
    <row r="3504" spans="1:2">
      <c r="A3504" s="1" t="s">
        <v>4171</v>
      </c>
      <c r="B3504" t="s">
        <v>10277</v>
      </c>
    </row>
    <row r="3505" spans="1:2">
      <c r="A3505" s="1" t="s">
        <v>280</v>
      </c>
      <c r="B3505" t="s">
        <v>10321</v>
      </c>
    </row>
    <row r="3506" spans="1:2">
      <c r="A3506" s="1" t="s">
        <v>4172</v>
      </c>
      <c r="B3506" t="s">
        <v>10287</v>
      </c>
    </row>
    <row r="3507" spans="1:2">
      <c r="A3507" s="1" t="s">
        <v>4173</v>
      </c>
      <c r="B3507" t="s">
        <v>10255</v>
      </c>
    </row>
    <row r="3508" spans="1:2">
      <c r="A3508" s="1" t="s">
        <v>244</v>
      </c>
      <c r="B3508" t="s">
        <v>10252</v>
      </c>
    </row>
    <row r="3509" spans="1:2">
      <c r="A3509" s="1" t="s">
        <v>383</v>
      </c>
      <c r="B3509" t="s">
        <v>10305</v>
      </c>
    </row>
    <row r="3510" spans="1:2">
      <c r="A3510" s="1" t="s">
        <v>4174</v>
      </c>
      <c r="B3510" t="s">
        <v>10434</v>
      </c>
    </row>
    <row r="3511" spans="1:2">
      <c r="A3511" s="1" t="s">
        <v>4175</v>
      </c>
      <c r="B3511" t="s">
        <v>10277</v>
      </c>
    </row>
    <row r="3512" spans="1:2">
      <c r="A3512" s="1" t="s">
        <v>4176</v>
      </c>
      <c r="B3512" t="s">
        <v>903</v>
      </c>
    </row>
    <row r="3513" spans="1:2">
      <c r="A3513" s="1" t="s">
        <v>4177</v>
      </c>
      <c r="B3513" t="s">
        <v>10491</v>
      </c>
    </row>
    <row r="3514" spans="1:2">
      <c r="A3514" s="1" t="s">
        <v>4178</v>
      </c>
      <c r="B3514" t="s">
        <v>10294</v>
      </c>
    </row>
    <row r="3515" spans="1:2">
      <c r="A3515" s="1" t="s">
        <v>376</v>
      </c>
      <c r="B3515" t="s">
        <v>10367</v>
      </c>
    </row>
    <row r="3516" spans="1:2">
      <c r="A3516" s="1" t="s">
        <v>4179</v>
      </c>
      <c r="B3516" t="s">
        <v>10246</v>
      </c>
    </row>
    <row r="3517" spans="1:2">
      <c r="A3517" s="1" t="s">
        <v>549</v>
      </c>
      <c r="B3517" t="s">
        <v>10298</v>
      </c>
    </row>
    <row r="3518" spans="1:2">
      <c r="A3518" s="1" t="s">
        <v>4180</v>
      </c>
      <c r="B3518" t="s">
        <v>903</v>
      </c>
    </row>
    <row r="3519" spans="1:2">
      <c r="A3519" s="1" t="s">
        <v>838</v>
      </c>
      <c r="B3519" t="s">
        <v>10373</v>
      </c>
    </row>
    <row r="3520" spans="1:2">
      <c r="A3520" s="1" t="s">
        <v>4181</v>
      </c>
      <c r="B3520" t="s">
        <v>10424</v>
      </c>
    </row>
    <row r="3521" spans="1:2">
      <c r="A3521" s="1" t="s">
        <v>4182</v>
      </c>
      <c r="B3521" t="s">
        <v>10326</v>
      </c>
    </row>
    <row r="3522" spans="1:2">
      <c r="A3522" s="1" t="s">
        <v>4183</v>
      </c>
      <c r="B3522" t="s">
        <v>10301</v>
      </c>
    </row>
    <row r="3523" spans="1:2">
      <c r="A3523" s="1" t="s">
        <v>238</v>
      </c>
      <c r="B3523" t="s">
        <v>10298</v>
      </c>
    </row>
    <row r="3524" spans="1:2">
      <c r="A3524" s="1" t="s">
        <v>4184</v>
      </c>
      <c r="B3524" t="s">
        <v>10349</v>
      </c>
    </row>
    <row r="3525" spans="1:2">
      <c r="A3525" s="1" t="s">
        <v>149</v>
      </c>
      <c r="B3525" t="s">
        <v>10343</v>
      </c>
    </row>
    <row r="3526" spans="1:2">
      <c r="A3526" s="1" t="s">
        <v>4185</v>
      </c>
      <c r="B3526" t="s">
        <v>10450</v>
      </c>
    </row>
    <row r="3527" spans="1:2">
      <c r="A3527" s="1" t="s">
        <v>4186</v>
      </c>
      <c r="B3527" t="s">
        <v>10277</v>
      </c>
    </row>
    <row r="3528" spans="1:2">
      <c r="A3528" s="1" t="s">
        <v>763</v>
      </c>
      <c r="B3528" t="s">
        <v>10353</v>
      </c>
    </row>
    <row r="3529" spans="1:2">
      <c r="A3529" s="1" t="s">
        <v>4187</v>
      </c>
      <c r="B3529" t="s">
        <v>10244</v>
      </c>
    </row>
    <row r="3530" spans="1:2">
      <c r="A3530" s="1" t="s">
        <v>630</v>
      </c>
      <c r="B3530" t="s">
        <v>10255</v>
      </c>
    </row>
    <row r="3531" spans="1:2">
      <c r="A3531" s="1" t="s">
        <v>4188</v>
      </c>
      <c r="B3531" t="s">
        <v>10501</v>
      </c>
    </row>
    <row r="3532" spans="1:2">
      <c r="A3532" s="1" t="s">
        <v>4189</v>
      </c>
      <c r="B3532" t="s">
        <v>10302</v>
      </c>
    </row>
    <row r="3533" spans="1:2">
      <c r="A3533" s="1" t="s">
        <v>4190</v>
      </c>
      <c r="B3533" t="s">
        <v>10294</v>
      </c>
    </row>
    <row r="3534" spans="1:2">
      <c r="A3534" s="1" t="s">
        <v>4191</v>
      </c>
      <c r="B3534" t="s">
        <v>10262</v>
      </c>
    </row>
    <row r="3535" spans="1:2">
      <c r="A3535" s="1" t="s">
        <v>4192</v>
      </c>
      <c r="B3535" t="s">
        <v>10431</v>
      </c>
    </row>
    <row r="3536" spans="1:2">
      <c r="A3536" s="1" t="s">
        <v>367</v>
      </c>
      <c r="B3536" t="s">
        <v>10255</v>
      </c>
    </row>
    <row r="3537" spans="1:2">
      <c r="A3537" s="1" t="s">
        <v>4193</v>
      </c>
      <c r="B3537" t="s">
        <v>10260</v>
      </c>
    </row>
    <row r="3538" spans="1:2">
      <c r="A3538" s="1" t="s">
        <v>4194</v>
      </c>
      <c r="B3538" t="s">
        <v>10311</v>
      </c>
    </row>
    <row r="3539" spans="1:2">
      <c r="A3539" s="1" t="s">
        <v>398</v>
      </c>
      <c r="B3539" t="s">
        <v>10391</v>
      </c>
    </row>
    <row r="3540" spans="1:2">
      <c r="A3540" s="1" t="s">
        <v>4195</v>
      </c>
      <c r="B3540" t="s">
        <v>10307</v>
      </c>
    </row>
    <row r="3541" spans="1:2">
      <c r="A3541" s="1" t="s">
        <v>4196</v>
      </c>
      <c r="B3541" t="s">
        <v>10335</v>
      </c>
    </row>
    <row r="3542" spans="1:2">
      <c r="A3542" s="1" t="s">
        <v>4197</v>
      </c>
      <c r="B3542" t="s">
        <v>10245</v>
      </c>
    </row>
    <row r="3543" spans="1:2">
      <c r="A3543" s="1" t="s">
        <v>701</v>
      </c>
      <c r="B3543" t="s">
        <v>10255</v>
      </c>
    </row>
    <row r="3544" spans="1:2">
      <c r="A3544" s="1" t="s">
        <v>580</v>
      </c>
      <c r="B3544" t="s">
        <v>10282</v>
      </c>
    </row>
    <row r="3545" spans="1:2">
      <c r="A3545" s="1" t="s">
        <v>32</v>
      </c>
      <c r="B3545" t="s">
        <v>10279</v>
      </c>
    </row>
    <row r="3546" spans="1:2">
      <c r="A3546" s="1" t="s">
        <v>4198</v>
      </c>
      <c r="B3546" t="s">
        <v>10327</v>
      </c>
    </row>
    <row r="3547" spans="1:2">
      <c r="A3547" s="1" t="s">
        <v>4199</v>
      </c>
      <c r="B3547" t="s">
        <v>10304</v>
      </c>
    </row>
    <row r="3548" spans="1:2">
      <c r="A3548" s="1" t="s">
        <v>4200</v>
      </c>
      <c r="B3548" t="s">
        <v>10252</v>
      </c>
    </row>
    <row r="3549" spans="1:2">
      <c r="A3549" s="1" t="s">
        <v>101</v>
      </c>
      <c r="B3549" t="s">
        <v>10305</v>
      </c>
    </row>
    <row r="3550" spans="1:2">
      <c r="A3550" s="1" t="s">
        <v>4201</v>
      </c>
      <c r="B3550" t="s">
        <v>10488</v>
      </c>
    </row>
    <row r="3551" spans="1:2">
      <c r="A3551" s="1" t="s">
        <v>4202</v>
      </c>
      <c r="B3551" t="s">
        <v>10250</v>
      </c>
    </row>
    <row r="3552" spans="1:2">
      <c r="A3552" s="1" t="s">
        <v>4203</v>
      </c>
      <c r="B3552" t="s">
        <v>10253</v>
      </c>
    </row>
    <row r="3553" spans="1:2">
      <c r="A3553" s="1" t="s">
        <v>4204</v>
      </c>
      <c r="B3553" t="s">
        <v>10431</v>
      </c>
    </row>
    <row r="3554" spans="1:2">
      <c r="A3554" s="1" t="s">
        <v>4205</v>
      </c>
      <c r="B3554" t="s">
        <v>10304</v>
      </c>
    </row>
    <row r="3555" spans="1:2">
      <c r="A3555" s="1" t="s">
        <v>494</v>
      </c>
      <c r="B3555" t="s">
        <v>10271</v>
      </c>
    </row>
    <row r="3556" spans="1:2">
      <c r="A3556" s="1" t="s">
        <v>4206</v>
      </c>
      <c r="B3556" t="s">
        <v>10426</v>
      </c>
    </row>
    <row r="3557" spans="1:2">
      <c r="A3557" s="1" t="s">
        <v>4207</v>
      </c>
      <c r="B3557" t="s">
        <v>10245</v>
      </c>
    </row>
    <row r="3558" spans="1:2">
      <c r="A3558" s="1" t="s">
        <v>575</v>
      </c>
      <c r="B3558" t="s">
        <v>10298</v>
      </c>
    </row>
    <row r="3559" spans="1:2">
      <c r="A3559" s="1" t="s">
        <v>4208</v>
      </c>
      <c r="B3559" t="s">
        <v>10283</v>
      </c>
    </row>
    <row r="3560" spans="1:2">
      <c r="A3560" s="1" t="s">
        <v>4209</v>
      </c>
      <c r="B3560" t="s">
        <v>10390</v>
      </c>
    </row>
    <row r="3561" spans="1:2">
      <c r="A3561" s="1" t="s">
        <v>592</v>
      </c>
      <c r="B3561" t="s">
        <v>10255</v>
      </c>
    </row>
    <row r="3562" spans="1:2">
      <c r="A3562" s="1" t="s">
        <v>4210</v>
      </c>
      <c r="B3562" t="s">
        <v>10251</v>
      </c>
    </row>
    <row r="3563" spans="1:2">
      <c r="A3563" s="1" t="s">
        <v>4211</v>
      </c>
      <c r="B3563" t="s">
        <v>10282</v>
      </c>
    </row>
    <row r="3564" spans="1:2">
      <c r="A3564" s="1" t="s">
        <v>4212</v>
      </c>
      <c r="B3564" t="s">
        <v>10246</v>
      </c>
    </row>
    <row r="3565" spans="1:2">
      <c r="A3565" s="1" t="s">
        <v>4213</v>
      </c>
      <c r="B3565" t="s">
        <v>10327</v>
      </c>
    </row>
    <row r="3566" spans="1:2">
      <c r="A3566" s="1" t="s">
        <v>4214</v>
      </c>
      <c r="B3566" t="s">
        <v>10323</v>
      </c>
    </row>
    <row r="3567" spans="1:2">
      <c r="A3567" s="1" t="s">
        <v>385</v>
      </c>
      <c r="B3567" t="s">
        <v>10287</v>
      </c>
    </row>
    <row r="3568" spans="1:2">
      <c r="A3568" s="1" t="s">
        <v>4215</v>
      </c>
      <c r="B3568" t="s">
        <v>10403</v>
      </c>
    </row>
    <row r="3569" spans="1:2">
      <c r="A3569" s="1" t="s">
        <v>4216</v>
      </c>
      <c r="B3569" t="s">
        <v>10359</v>
      </c>
    </row>
    <row r="3570" spans="1:2">
      <c r="A3570" s="1" t="s">
        <v>4217</v>
      </c>
      <c r="B3570" t="s">
        <v>903</v>
      </c>
    </row>
    <row r="3571" spans="1:2">
      <c r="A3571" s="1" t="s">
        <v>4218</v>
      </c>
      <c r="B3571" t="s">
        <v>10261</v>
      </c>
    </row>
    <row r="3572" spans="1:2">
      <c r="A3572" s="1" t="s">
        <v>4219</v>
      </c>
      <c r="B3572" t="s">
        <v>10293</v>
      </c>
    </row>
    <row r="3573" spans="1:2">
      <c r="A3573" s="1" t="s">
        <v>4220</v>
      </c>
      <c r="B3573" t="s">
        <v>10263</v>
      </c>
    </row>
    <row r="3574" spans="1:2">
      <c r="A3574" s="1" t="s">
        <v>4221</v>
      </c>
      <c r="B3574" t="s">
        <v>10261</v>
      </c>
    </row>
    <row r="3575" spans="1:2">
      <c r="A3575" s="1" t="s">
        <v>4222</v>
      </c>
      <c r="B3575" t="s">
        <v>10263</v>
      </c>
    </row>
    <row r="3576" spans="1:2">
      <c r="A3576" s="1" t="s">
        <v>4223</v>
      </c>
      <c r="B3576" t="s">
        <v>10265</v>
      </c>
    </row>
    <row r="3577" spans="1:2">
      <c r="A3577" s="1" t="s">
        <v>213</v>
      </c>
      <c r="B3577" t="s">
        <v>10255</v>
      </c>
    </row>
    <row r="3578" spans="1:2">
      <c r="A3578" s="1" t="s">
        <v>4224</v>
      </c>
      <c r="B3578" t="s">
        <v>10293</v>
      </c>
    </row>
    <row r="3579" spans="1:2">
      <c r="A3579" s="1" t="s">
        <v>443</v>
      </c>
      <c r="B3579" t="s">
        <v>10374</v>
      </c>
    </row>
    <row r="3580" spans="1:2">
      <c r="A3580" s="1" t="s">
        <v>4225</v>
      </c>
      <c r="B3580" t="s">
        <v>10245</v>
      </c>
    </row>
    <row r="3581" spans="1:2">
      <c r="A3581" s="1" t="s">
        <v>393</v>
      </c>
      <c r="B3581" t="s">
        <v>10326</v>
      </c>
    </row>
    <row r="3582" spans="1:2">
      <c r="A3582" s="1" t="s">
        <v>4226</v>
      </c>
      <c r="B3582" t="s">
        <v>10253</v>
      </c>
    </row>
    <row r="3583" spans="1:2">
      <c r="A3583" s="1" t="s">
        <v>4227</v>
      </c>
      <c r="B3583" t="s">
        <v>10251</v>
      </c>
    </row>
    <row r="3584" spans="1:2">
      <c r="A3584" s="1" t="s">
        <v>365</v>
      </c>
      <c r="B3584" t="s">
        <v>10387</v>
      </c>
    </row>
    <row r="3585" spans="1:2">
      <c r="A3585" s="1" t="s">
        <v>4228</v>
      </c>
      <c r="B3585" t="s">
        <v>10264</v>
      </c>
    </row>
    <row r="3586" spans="1:2">
      <c r="A3586" s="1" t="s">
        <v>4229</v>
      </c>
      <c r="B3586" t="s">
        <v>10255</v>
      </c>
    </row>
    <row r="3587" spans="1:2">
      <c r="A3587" s="1" t="s">
        <v>464</v>
      </c>
      <c r="B3587" t="s">
        <v>10245</v>
      </c>
    </row>
    <row r="3588" spans="1:2">
      <c r="A3588" s="1" t="s">
        <v>261</v>
      </c>
      <c r="B3588" t="s">
        <v>10305</v>
      </c>
    </row>
    <row r="3589" spans="1:2">
      <c r="A3589" s="1" t="s">
        <v>247</v>
      </c>
      <c r="B3589" t="s">
        <v>10298</v>
      </c>
    </row>
    <row r="3590" spans="1:2">
      <c r="A3590" s="1" t="s">
        <v>4230</v>
      </c>
      <c r="B3590" t="s">
        <v>10255</v>
      </c>
    </row>
    <row r="3591" spans="1:2">
      <c r="A3591" s="1" t="s">
        <v>4231</v>
      </c>
      <c r="B3591" t="s">
        <v>10261</v>
      </c>
    </row>
    <row r="3592" spans="1:2">
      <c r="A3592" s="1" t="s">
        <v>4232</v>
      </c>
      <c r="B3592" t="s">
        <v>10244</v>
      </c>
    </row>
    <row r="3593" spans="1:2">
      <c r="A3593" s="1" t="s">
        <v>4233</v>
      </c>
      <c r="B3593" t="s">
        <v>10260</v>
      </c>
    </row>
    <row r="3594" spans="1:2">
      <c r="A3594" s="1" t="s">
        <v>260</v>
      </c>
      <c r="B3594" t="s">
        <v>10387</v>
      </c>
    </row>
    <row r="3595" spans="1:2">
      <c r="A3595" s="1" t="s">
        <v>4234</v>
      </c>
      <c r="B3595" t="s">
        <v>903</v>
      </c>
    </row>
    <row r="3596" spans="1:2">
      <c r="A3596" s="1" t="s">
        <v>4235</v>
      </c>
      <c r="B3596" t="s">
        <v>10346</v>
      </c>
    </row>
    <row r="3597" spans="1:2">
      <c r="A3597" s="1" t="s">
        <v>720</v>
      </c>
      <c r="B3597" t="s">
        <v>10260</v>
      </c>
    </row>
    <row r="3598" spans="1:2">
      <c r="A3598" s="1" t="s">
        <v>4236</v>
      </c>
      <c r="B3598" t="s">
        <v>10264</v>
      </c>
    </row>
    <row r="3599" spans="1:2">
      <c r="A3599" s="1" t="s">
        <v>4237</v>
      </c>
      <c r="B3599" t="s">
        <v>10264</v>
      </c>
    </row>
    <row r="3600" spans="1:2">
      <c r="A3600" s="1" t="s">
        <v>4238</v>
      </c>
      <c r="B3600" t="s">
        <v>10244</v>
      </c>
    </row>
    <row r="3601" spans="1:2">
      <c r="A3601" s="1" t="s">
        <v>4239</v>
      </c>
      <c r="B3601" t="s">
        <v>10326</v>
      </c>
    </row>
    <row r="3602" spans="1:2">
      <c r="A3602" s="1" t="s">
        <v>4240</v>
      </c>
      <c r="B3602" t="s">
        <v>10436</v>
      </c>
    </row>
    <row r="3603" spans="1:2">
      <c r="A3603" s="1" t="s">
        <v>4241</v>
      </c>
      <c r="B3603" t="s">
        <v>10432</v>
      </c>
    </row>
    <row r="3604" spans="1:2">
      <c r="A3604" s="1" t="s">
        <v>4242</v>
      </c>
      <c r="B3604" t="s">
        <v>10245</v>
      </c>
    </row>
    <row r="3605" spans="1:2">
      <c r="A3605" s="1" t="s">
        <v>4243</v>
      </c>
      <c r="B3605" t="s">
        <v>903</v>
      </c>
    </row>
    <row r="3606" spans="1:2">
      <c r="A3606" s="1" t="s">
        <v>4244</v>
      </c>
      <c r="B3606" t="s">
        <v>10323</v>
      </c>
    </row>
    <row r="3607" spans="1:2">
      <c r="A3607" s="1" t="s">
        <v>4245</v>
      </c>
      <c r="B3607" t="s">
        <v>10364</v>
      </c>
    </row>
    <row r="3608" spans="1:2">
      <c r="A3608" s="1" t="s">
        <v>596</v>
      </c>
      <c r="B3608" t="s">
        <v>10299</v>
      </c>
    </row>
    <row r="3609" spans="1:2">
      <c r="A3609" s="1" t="s">
        <v>4246</v>
      </c>
      <c r="B3609" t="s">
        <v>10435</v>
      </c>
    </row>
    <row r="3610" spans="1:2">
      <c r="A3610" s="1" t="s">
        <v>204</v>
      </c>
      <c r="B3610" t="s">
        <v>10255</v>
      </c>
    </row>
    <row r="3611" spans="1:2">
      <c r="A3611" s="1" t="s">
        <v>4247</v>
      </c>
      <c r="B3611" t="s">
        <v>10291</v>
      </c>
    </row>
    <row r="3612" spans="1:2">
      <c r="A3612" s="1" t="s">
        <v>4248</v>
      </c>
      <c r="B3612" t="s">
        <v>10330</v>
      </c>
    </row>
    <row r="3613" spans="1:2">
      <c r="A3613" s="1" t="s">
        <v>4249</v>
      </c>
      <c r="B3613" t="s">
        <v>10293</v>
      </c>
    </row>
    <row r="3614" spans="1:2">
      <c r="A3614" s="1" t="s">
        <v>4250</v>
      </c>
      <c r="B3614" t="s">
        <v>903</v>
      </c>
    </row>
    <row r="3615" spans="1:2">
      <c r="A3615" s="1" t="s">
        <v>4251</v>
      </c>
      <c r="B3615" t="s">
        <v>10265</v>
      </c>
    </row>
    <row r="3616" spans="1:2">
      <c r="A3616" s="1" t="s">
        <v>4252</v>
      </c>
      <c r="B3616" t="s">
        <v>903</v>
      </c>
    </row>
    <row r="3617" spans="1:2">
      <c r="A3617" s="1" t="s">
        <v>4253</v>
      </c>
      <c r="B3617" t="s">
        <v>10261</v>
      </c>
    </row>
    <row r="3618" spans="1:2">
      <c r="A3618" s="1" t="s">
        <v>4254</v>
      </c>
      <c r="B3618" t="s">
        <v>10391</v>
      </c>
    </row>
    <row r="3619" spans="1:2">
      <c r="A3619" s="1" t="s">
        <v>4255</v>
      </c>
      <c r="B3619" t="s">
        <v>10478</v>
      </c>
    </row>
    <row r="3620" spans="1:2">
      <c r="A3620" s="1" t="s">
        <v>4256</v>
      </c>
      <c r="B3620" t="s">
        <v>10296</v>
      </c>
    </row>
    <row r="3621" spans="1:2">
      <c r="A3621" s="1" t="s">
        <v>4257</v>
      </c>
      <c r="B3621" t="s">
        <v>10255</v>
      </c>
    </row>
    <row r="3622" spans="1:2">
      <c r="A3622" s="1" t="s">
        <v>303</v>
      </c>
      <c r="B3622" t="s">
        <v>10451</v>
      </c>
    </row>
    <row r="3623" spans="1:2">
      <c r="A3623" s="1" t="s">
        <v>91</v>
      </c>
      <c r="B3623" t="s">
        <v>10255</v>
      </c>
    </row>
    <row r="3624" spans="1:2">
      <c r="A3624" s="1" t="s">
        <v>4258</v>
      </c>
      <c r="B3624" t="s">
        <v>10309</v>
      </c>
    </row>
    <row r="3625" spans="1:2">
      <c r="A3625" s="1" t="s">
        <v>4259</v>
      </c>
      <c r="B3625" t="s">
        <v>10246</v>
      </c>
    </row>
    <row r="3626" spans="1:2">
      <c r="A3626" s="1" t="s">
        <v>226</v>
      </c>
      <c r="B3626" t="s">
        <v>10283</v>
      </c>
    </row>
    <row r="3627" spans="1:2">
      <c r="A3627" s="1" t="s">
        <v>4260</v>
      </c>
      <c r="B3627" t="s">
        <v>10440</v>
      </c>
    </row>
    <row r="3628" spans="1:2">
      <c r="A3628" s="1" t="s">
        <v>4261</v>
      </c>
      <c r="B3628" t="s">
        <v>10349</v>
      </c>
    </row>
    <row r="3629" spans="1:2">
      <c r="A3629" s="1" t="s">
        <v>408</v>
      </c>
      <c r="B3629" t="s">
        <v>10255</v>
      </c>
    </row>
    <row r="3630" spans="1:2">
      <c r="A3630" s="1" t="s">
        <v>4262</v>
      </c>
      <c r="B3630" t="s">
        <v>10434</v>
      </c>
    </row>
    <row r="3631" spans="1:2">
      <c r="A3631" s="1" t="s">
        <v>4263</v>
      </c>
      <c r="B3631" t="s">
        <v>10261</v>
      </c>
    </row>
    <row r="3632" spans="1:2">
      <c r="A3632" s="1" t="s">
        <v>4264</v>
      </c>
      <c r="B3632" t="s">
        <v>10245</v>
      </c>
    </row>
    <row r="3633" spans="1:2">
      <c r="A3633" s="1" t="s">
        <v>164</v>
      </c>
      <c r="B3633" t="s">
        <v>10260</v>
      </c>
    </row>
    <row r="3634" spans="1:2">
      <c r="A3634" s="1" t="s">
        <v>4265</v>
      </c>
      <c r="B3634" t="s">
        <v>10251</v>
      </c>
    </row>
    <row r="3635" spans="1:2">
      <c r="A3635" s="1" t="s">
        <v>4266</v>
      </c>
      <c r="B3635" t="s">
        <v>10286</v>
      </c>
    </row>
    <row r="3636" spans="1:2">
      <c r="A3636" s="1" t="s">
        <v>4267</v>
      </c>
      <c r="B3636" t="s">
        <v>10458</v>
      </c>
    </row>
    <row r="3637" spans="1:2">
      <c r="A3637" s="1" t="s">
        <v>4268</v>
      </c>
      <c r="B3637" t="s">
        <v>10325</v>
      </c>
    </row>
    <row r="3638" spans="1:2">
      <c r="A3638" s="1" t="s">
        <v>4269</v>
      </c>
      <c r="B3638" t="s">
        <v>10502</v>
      </c>
    </row>
    <row r="3639" spans="1:2">
      <c r="A3639" s="1" t="s">
        <v>4270</v>
      </c>
      <c r="B3639" t="s">
        <v>10463</v>
      </c>
    </row>
    <row r="3640" spans="1:2">
      <c r="A3640" s="1" t="s">
        <v>4271</v>
      </c>
      <c r="B3640" t="s">
        <v>10245</v>
      </c>
    </row>
    <row r="3641" spans="1:2">
      <c r="A3641" s="1" t="s">
        <v>4272</v>
      </c>
      <c r="B3641" t="s">
        <v>10251</v>
      </c>
    </row>
    <row r="3642" spans="1:2">
      <c r="A3642" s="1" t="s">
        <v>4273</v>
      </c>
      <c r="B3642" t="s">
        <v>10264</v>
      </c>
    </row>
    <row r="3643" spans="1:2">
      <c r="A3643" s="1" t="s">
        <v>4274</v>
      </c>
      <c r="B3643" t="s">
        <v>10254</v>
      </c>
    </row>
    <row r="3644" spans="1:2">
      <c r="A3644" s="1" t="s">
        <v>4275</v>
      </c>
      <c r="B3644" t="s">
        <v>10246</v>
      </c>
    </row>
    <row r="3645" spans="1:2">
      <c r="A3645" s="1" t="s">
        <v>4276</v>
      </c>
      <c r="B3645" t="s">
        <v>10260</v>
      </c>
    </row>
    <row r="3646" spans="1:2">
      <c r="A3646" s="1" t="s">
        <v>4277</v>
      </c>
      <c r="B3646" t="s">
        <v>10245</v>
      </c>
    </row>
    <row r="3647" spans="1:2">
      <c r="A3647" s="1" t="s">
        <v>4278</v>
      </c>
      <c r="B3647" t="s">
        <v>10281</v>
      </c>
    </row>
    <row r="3648" spans="1:2">
      <c r="A3648" s="1" t="s">
        <v>4279</v>
      </c>
      <c r="B3648" t="s">
        <v>10374</v>
      </c>
    </row>
    <row r="3649" spans="1:2">
      <c r="A3649" s="1" t="s">
        <v>4280</v>
      </c>
      <c r="B3649" t="s">
        <v>10261</v>
      </c>
    </row>
    <row r="3650" spans="1:2">
      <c r="A3650" s="1" t="s">
        <v>4281</v>
      </c>
      <c r="B3650" t="s">
        <v>10251</v>
      </c>
    </row>
    <row r="3651" spans="1:2">
      <c r="A3651" s="1" t="s">
        <v>4282</v>
      </c>
      <c r="B3651" t="s">
        <v>10307</v>
      </c>
    </row>
    <row r="3652" spans="1:2">
      <c r="A3652" s="1" t="s">
        <v>4283</v>
      </c>
      <c r="B3652" t="s">
        <v>10357</v>
      </c>
    </row>
    <row r="3653" spans="1:2">
      <c r="A3653" s="1" t="s">
        <v>4284</v>
      </c>
      <c r="B3653" t="s">
        <v>10261</v>
      </c>
    </row>
    <row r="3654" spans="1:2">
      <c r="A3654" s="1" t="s">
        <v>4285</v>
      </c>
      <c r="B3654" t="s">
        <v>903</v>
      </c>
    </row>
    <row r="3655" spans="1:2">
      <c r="A3655" s="1" t="s">
        <v>4286</v>
      </c>
      <c r="B3655" t="s">
        <v>10244</v>
      </c>
    </row>
    <row r="3656" spans="1:2">
      <c r="A3656" s="1" t="s">
        <v>4287</v>
      </c>
      <c r="B3656" t="s">
        <v>10281</v>
      </c>
    </row>
    <row r="3657" spans="1:2">
      <c r="A3657" s="1" t="s">
        <v>396</v>
      </c>
      <c r="B3657" t="s">
        <v>10326</v>
      </c>
    </row>
    <row r="3658" spans="1:2">
      <c r="A3658" s="1" t="s">
        <v>286</v>
      </c>
      <c r="B3658" t="s">
        <v>10265</v>
      </c>
    </row>
    <row r="3659" spans="1:2">
      <c r="A3659" s="1" t="s">
        <v>4288</v>
      </c>
      <c r="B3659" t="s">
        <v>10491</v>
      </c>
    </row>
    <row r="3660" spans="1:2">
      <c r="A3660" s="1" t="s">
        <v>4289</v>
      </c>
      <c r="B3660" t="s">
        <v>10245</v>
      </c>
    </row>
    <row r="3661" spans="1:2">
      <c r="A3661" s="1" t="s">
        <v>4290</v>
      </c>
      <c r="B3661" t="s">
        <v>10244</v>
      </c>
    </row>
    <row r="3662" spans="1:2">
      <c r="A3662" s="1" t="s">
        <v>87</v>
      </c>
      <c r="B3662" t="s">
        <v>10250</v>
      </c>
    </row>
    <row r="3663" spans="1:2">
      <c r="A3663" s="1" t="s">
        <v>4291</v>
      </c>
      <c r="B3663" t="s">
        <v>10364</v>
      </c>
    </row>
    <row r="3664" spans="1:2">
      <c r="A3664" s="1" t="s">
        <v>4292</v>
      </c>
      <c r="B3664" t="s">
        <v>10252</v>
      </c>
    </row>
    <row r="3665" spans="1:2">
      <c r="A3665" s="1" t="s">
        <v>4293</v>
      </c>
      <c r="B3665" t="s">
        <v>10245</v>
      </c>
    </row>
    <row r="3666" spans="1:2">
      <c r="A3666" s="1" t="s">
        <v>4294</v>
      </c>
      <c r="B3666" t="s">
        <v>10260</v>
      </c>
    </row>
    <row r="3667" spans="1:2">
      <c r="A3667" s="1" t="s">
        <v>241</v>
      </c>
      <c r="B3667" t="s">
        <v>10415</v>
      </c>
    </row>
    <row r="3668" spans="1:2">
      <c r="A3668" s="1" t="s">
        <v>4295</v>
      </c>
      <c r="B3668" t="s">
        <v>10344</v>
      </c>
    </row>
    <row r="3669" spans="1:2">
      <c r="A3669" s="1" t="s">
        <v>346</v>
      </c>
      <c r="B3669" t="s">
        <v>10343</v>
      </c>
    </row>
    <row r="3670" spans="1:2">
      <c r="A3670" s="1" t="s">
        <v>4296</v>
      </c>
      <c r="B3670" t="s">
        <v>10277</v>
      </c>
    </row>
    <row r="3671" spans="1:2">
      <c r="A3671" s="1" t="s">
        <v>4297</v>
      </c>
      <c r="B3671" t="s">
        <v>10260</v>
      </c>
    </row>
    <row r="3672" spans="1:2">
      <c r="A3672" s="1" t="s">
        <v>4298</v>
      </c>
      <c r="B3672" t="s">
        <v>10304</v>
      </c>
    </row>
    <row r="3673" spans="1:2">
      <c r="A3673" s="1" t="s">
        <v>4299</v>
      </c>
      <c r="B3673" t="s">
        <v>10382</v>
      </c>
    </row>
    <row r="3674" spans="1:2">
      <c r="A3674" s="1" t="s">
        <v>4300</v>
      </c>
      <c r="B3674" t="s">
        <v>903</v>
      </c>
    </row>
    <row r="3675" spans="1:2">
      <c r="A3675" s="1" t="s">
        <v>4301</v>
      </c>
      <c r="B3675" t="s">
        <v>903</v>
      </c>
    </row>
    <row r="3676" spans="1:2">
      <c r="A3676" s="1" t="s">
        <v>4302</v>
      </c>
      <c r="B3676" t="s">
        <v>10261</v>
      </c>
    </row>
    <row r="3677" spans="1:2">
      <c r="A3677" s="1" t="s">
        <v>4303</v>
      </c>
      <c r="B3677" t="s">
        <v>903</v>
      </c>
    </row>
    <row r="3678" spans="1:2">
      <c r="A3678" s="1" t="s">
        <v>4304</v>
      </c>
      <c r="B3678" t="s">
        <v>10261</v>
      </c>
    </row>
    <row r="3679" spans="1:2">
      <c r="A3679" s="1" t="s">
        <v>4305</v>
      </c>
      <c r="B3679" t="s">
        <v>10251</v>
      </c>
    </row>
    <row r="3680" spans="1:2">
      <c r="A3680" s="1" t="s">
        <v>4306</v>
      </c>
      <c r="B3680" t="s">
        <v>10266</v>
      </c>
    </row>
    <row r="3681" spans="1:2">
      <c r="A3681" s="1" t="s">
        <v>4307</v>
      </c>
      <c r="B3681" t="s">
        <v>10408</v>
      </c>
    </row>
    <row r="3682" spans="1:2">
      <c r="A3682" s="1" t="s">
        <v>4308</v>
      </c>
      <c r="B3682" t="s">
        <v>10373</v>
      </c>
    </row>
    <row r="3683" spans="1:2">
      <c r="A3683" s="1" t="s">
        <v>4309</v>
      </c>
      <c r="B3683" t="s">
        <v>10261</v>
      </c>
    </row>
    <row r="3684" spans="1:2">
      <c r="A3684" s="1" t="s">
        <v>4310</v>
      </c>
      <c r="B3684" t="s">
        <v>10273</v>
      </c>
    </row>
    <row r="3685" spans="1:2">
      <c r="A3685" s="1" t="s">
        <v>4311</v>
      </c>
      <c r="B3685" t="s">
        <v>10276</v>
      </c>
    </row>
    <row r="3686" spans="1:2">
      <c r="A3686" s="1" t="s">
        <v>4312</v>
      </c>
      <c r="B3686" t="s">
        <v>10331</v>
      </c>
    </row>
    <row r="3687" spans="1:2">
      <c r="A3687" s="1" t="s">
        <v>4313</v>
      </c>
      <c r="B3687" t="s">
        <v>10251</v>
      </c>
    </row>
    <row r="3688" spans="1:2">
      <c r="A3688" s="1" t="s">
        <v>4314</v>
      </c>
      <c r="B3688" t="s">
        <v>10311</v>
      </c>
    </row>
    <row r="3689" spans="1:2">
      <c r="A3689" s="1" t="s">
        <v>4315</v>
      </c>
      <c r="B3689" t="s">
        <v>10307</v>
      </c>
    </row>
    <row r="3690" spans="1:2">
      <c r="A3690" s="1" t="s">
        <v>313</v>
      </c>
      <c r="B3690" t="s">
        <v>10304</v>
      </c>
    </row>
    <row r="3691" spans="1:2">
      <c r="A3691" s="1" t="s">
        <v>4316</v>
      </c>
      <c r="B3691" t="s">
        <v>10266</v>
      </c>
    </row>
    <row r="3692" spans="1:2">
      <c r="A3692" s="1" t="s">
        <v>4317</v>
      </c>
      <c r="B3692" t="s">
        <v>10245</v>
      </c>
    </row>
    <row r="3693" spans="1:2">
      <c r="A3693" s="1" t="s">
        <v>4318</v>
      </c>
      <c r="B3693" t="s">
        <v>10251</v>
      </c>
    </row>
    <row r="3694" spans="1:2">
      <c r="A3694" s="1" t="s">
        <v>4319</v>
      </c>
      <c r="B3694" t="s">
        <v>10264</v>
      </c>
    </row>
    <row r="3695" spans="1:2">
      <c r="A3695" s="1" t="s">
        <v>4320</v>
      </c>
      <c r="B3695" t="s">
        <v>10344</v>
      </c>
    </row>
    <row r="3696" spans="1:2">
      <c r="A3696" s="1" t="s">
        <v>4321</v>
      </c>
      <c r="B3696" t="s">
        <v>10366</v>
      </c>
    </row>
    <row r="3697" spans="1:2">
      <c r="A3697" s="1" t="s">
        <v>4322</v>
      </c>
      <c r="B3697" t="s">
        <v>10299</v>
      </c>
    </row>
    <row r="3698" spans="1:2">
      <c r="A3698" s="1" t="s">
        <v>4323</v>
      </c>
      <c r="B3698" t="s">
        <v>10277</v>
      </c>
    </row>
    <row r="3699" spans="1:2">
      <c r="A3699" s="1" t="s">
        <v>4324</v>
      </c>
      <c r="B3699" t="s">
        <v>10287</v>
      </c>
    </row>
    <row r="3700" spans="1:2">
      <c r="A3700" s="1" t="s">
        <v>256</v>
      </c>
      <c r="B3700" t="s">
        <v>10299</v>
      </c>
    </row>
    <row r="3701" spans="1:2">
      <c r="A3701" s="1" t="s">
        <v>451</v>
      </c>
      <c r="B3701" t="s">
        <v>10308</v>
      </c>
    </row>
    <row r="3702" spans="1:2">
      <c r="A3702" s="1" t="s">
        <v>4325</v>
      </c>
      <c r="B3702" t="s">
        <v>10261</v>
      </c>
    </row>
    <row r="3703" spans="1:2">
      <c r="A3703" s="1" t="s">
        <v>4326</v>
      </c>
      <c r="B3703" t="s">
        <v>10343</v>
      </c>
    </row>
    <row r="3704" spans="1:2">
      <c r="A3704" s="1" t="s">
        <v>4327</v>
      </c>
      <c r="B3704" t="s">
        <v>10255</v>
      </c>
    </row>
    <row r="3705" spans="1:2">
      <c r="A3705" s="1" t="s">
        <v>4328</v>
      </c>
      <c r="B3705" t="s">
        <v>10321</v>
      </c>
    </row>
    <row r="3706" spans="1:2">
      <c r="A3706" s="1" t="s">
        <v>4329</v>
      </c>
      <c r="B3706" t="s">
        <v>10305</v>
      </c>
    </row>
    <row r="3707" spans="1:2">
      <c r="A3707" s="1" t="s">
        <v>4330</v>
      </c>
      <c r="B3707" t="s">
        <v>10308</v>
      </c>
    </row>
    <row r="3708" spans="1:2">
      <c r="A3708" s="1" t="s">
        <v>4331</v>
      </c>
      <c r="B3708" t="s">
        <v>10434</v>
      </c>
    </row>
    <row r="3709" spans="1:2">
      <c r="A3709" s="1" t="s">
        <v>4332</v>
      </c>
      <c r="B3709" t="s">
        <v>10270</v>
      </c>
    </row>
    <row r="3710" spans="1:2">
      <c r="A3710" s="1" t="s">
        <v>4333</v>
      </c>
      <c r="B3710" t="s">
        <v>10261</v>
      </c>
    </row>
    <row r="3711" spans="1:2">
      <c r="A3711" s="1" t="s">
        <v>4334</v>
      </c>
      <c r="B3711" t="s">
        <v>10273</v>
      </c>
    </row>
    <row r="3712" spans="1:2">
      <c r="A3712" s="1" t="s">
        <v>4335</v>
      </c>
      <c r="B3712" t="s">
        <v>10264</v>
      </c>
    </row>
    <row r="3713" spans="1:2">
      <c r="A3713" s="1" t="s">
        <v>4336</v>
      </c>
      <c r="B3713" t="s">
        <v>10246</v>
      </c>
    </row>
    <row r="3714" spans="1:2">
      <c r="A3714" s="1" t="s">
        <v>4337</v>
      </c>
      <c r="B3714" t="s">
        <v>10279</v>
      </c>
    </row>
    <row r="3715" spans="1:2">
      <c r="A3715" s="1" t="s">
        <v>4338</v>
      </c>
      <c r="B3715" t="s">
        <v>10432</v>
      </c>
    </row>
    <row r="3716" spans="1:2">
      <c r="A3716" s="1" t="s">
        <v>4339</v>
      </c>
      <c r="B3716" t="s">
        <v>10303</v>
      </c>
    </row>
    <row r="3717" spans="1:2">
      <c r="A3717" s="1" t="s">
        <v>4340</v>
      </c>
      <c r="B3717" t="s">
        <v>10303</v>
      </c>
    </row>
    <row r="3718" spans="1:2">
      <c r="A3718" s="1" t="s">
        <v>4341</v>
      </c>
      <c r="B3718" t="s">
        <v>10261</v>
      </c>
    </row>
    <row r="3719" spans="1:2">
      <c r="A3719" s="1" t="s">
        <v>4342</v>
      </c>
      <c r="B3719" t="s">
        <v>10261</v>
      </c>
    </row>
    <row r="3720" spans="1:2">
      <c r="A3720" s="1" t="s">
        <v>4343</v>
      </c>
      <c r="B3720" t="s">
        <v>10307</v>
      </c>
    </row>
    <row r="3721" spans="1:2">
      <c r="A3721" s="1" t="s">
        <v>4344</v>
      </c>
      <c r="B3721" t="s">
        <v>10255</v>
      </c>
    </row>
    <row r="3722" spans="1:2">
      <c r="A3722" s="1" t="s">
        <v>4345</v>
      </c>
      <c r="B3722" t="s">
        <v>10343</v>
      </c>
    </row>
    <row r="3723" spans="1:2">
      <c r="A3723" s="1" t="s">
        <v>4346</v>
      </c>
      <c r="B3723" t="s">
        <v>10271</v>
      </c>
    </row>
    <row r="3724" spans="1:2">
      <c r="A3724" s="1" t="s">
        <v>4347</v>
      </c>
      <c r="B3724" t="s">
        <v>10246</v>
      </c>
    </row>
    <row r="3725" spans="1:2">
      <c r="A3725" s="1" t="s">
        <v>4348</v>
      </c>
      <c r="B3725" t="s">
        <v>10246</v>
      </c>
    </row>
    <row r="3726" spans="1:2">
      <c r="A3726" s="1" t="s">
        <v>335</v>
      </c>
      <c r="B3726" t="s">
        <v>10264</v>
      </c>
    </row>
    <row r="3727" spans="1:2">
      <c r="A3727" s="1" t="s">
        <v>4349</v>
      </c>
      <c r="B3727" t="s">
        <v>10382</v>
      </c>
    </row>
    <row r="3728" spans="1:2">
      <c r="A3728" s="1" t="s">
        <v>4350</v>
      </c>
      <c r="B3728" t="s">
        <v>903</v>
      </c>
    </row>
    <row r="3729" spans="1:2">
      <c r="A3729" s="1" t="s">
        <v>4351</v>
      </c>
      <c r="B3729" t="s">
        <v>10503</v>
      </c>
    </row>
    <row r="3730" spans="1:2">
      <c r="A3730" s="1" t="s">
        <v>4352</v>
      </c>
      <c r="B3730" t="s">
        <v>10368</v>
      </c>
    </row>
    <row r="3731" spans="1:2">
      <c r="A3731" s="1" t="s">
        <v>4353</v>
      </c>
      <c r="B3731" t="s">
        <v>10245</v>
      </c>
    </row>
    <row r="3732" spans="1:2">
      <c r="A3732" s="1" t="s">
        <v>4354</v>
      </c>
      <c r="B3732" t="s">
        <v>903</v>
      </c>
    </row>
    <row r="3733" spans="1:2">
      <c r="A3733" s="1" t="s">
        <v>4355</v>
      </c>
      <c r="B3733" t="s">
        <v>903</v>
      </c>
    </row>
    <row r="3734" spans="1:2">
      <c r="A3734" s="1" t="s">
        <v>4356</v>
      </c>
      <c r="B3734" t="s">
        <v>903</v>
      </c>
    </row>
    <row r="3735" spans="1:2">
      <c r="A3735" s="1" t="s">
        <v>4357</v>
      </c>
      <c r="B3735" t="s">
        <v>10364</v>
      </c>
    </row>
    <row r="3736" spans="1:2">
      <c r="A3736" s="1" t="s">
        <v>4358</v>
      </c>
      <c r="B3736" t="s">
        <v>10246</v>
      </c>
    </row>
    <row r="3737" spans="1:2">
      <c r="A3737" s="1" t="s">
        <v>4359</v>
      </c>
      <c r="B3737" t="s">
        <v>10260</v>
      </c>
    </row>
    <row r="3738" spans="1:2">
      <c r="A3738" s="1" t="s">
        <v>4360</v>
      </c>
      <c r="B3738" t="s">
        <v>10255</v>
      </c>
    </row>
    <row r="3739" spans="1:2">
      <c r="A3739" s="1" t="s">
        <v>4361</v>
      </c>
      <c r="B3739" t="s">
        <v>10287</v>
      </c>
    </row>
    <row r="3740" spans="1:2">
      <c r="A3740" s="1" t="s">
        <v>4362</v>
      </c>
      <c r="B3740" t="s">
        <v>10251</v>
      </c>
    </row>
    <row r="3741" spans="1:2">
      <c r="A3741" s="1" t="s">
        <v>4363</v>
      </c>
      <c r="B3741" t="s">
        <v>10293</v>
      </c>
    </row>
    <row r="3742" spans="1:2">
      <c r="A3742" s="1" t="s">
        <v>4364</v>
      </c>
      <c r="B3742" t="s">
        <v>10378</v>
      </c>
    </row>
    <row r="3743" spans="1:2">
      <c r="A3743" s="1" t="s">
        <v>4365</v>
      </c>
      <c r="B3743" t="s">
        <v>10255</v>
      </c>
    </row>
    <row r="3744" spans="1:2">
      <c r="A3744" s="1" t="s">
        <v>168</v>
      </c>
      <c r="B3744" t="s">
        <v>10260</v>
      </c>
    </row>
    <row r="3745" spans="1:2">
      <c r="A3745" s="1" t="s">
        <v>4366</v>
      </c>
      <c r="B3745" t="s">
        <v>10333</v>
      </c>
    </row>
    <row r="3746" spans="1:2">
      <c r="A3746" s="1" t="s">
        <v>4367</v>
      </c>
      <c r="B3746" t="s">
        <v>10261</v>
      </c>
    </row>
    <row r="3747" spans="1:2">
      <c r="A3747" s="1" t="s">
        <v>339</v>
      </c>
      <c r="B3747" t="s">
        <v>10303</v>
      </c>
    </row>
    <row r="3748" spans="1:2">
      <c r="A3748" s="1" t="s">
        <v>4368</v>
      </c>
      <c r="B3748" t="s">
        <v>10251</v>
      </c>
    </row>
    <row r="3749" spans="1:2">
      <c r="A3749" s="1" t="s">
        <v>4369</v>
      </c>
      <c r="B3749" t="s">
        <v>10311</v>
      </c>
    </row>
    <row r="3750" spans="1:2">
      <c r="A3750" s="1" t="s">
        <v>681</v>
      </c>
      <c r="B3750" t="s">
        <v>10385</v>
      </c>
    </row>
    <row r="3751" spans="1:2">
      <c r="A3751" s="1" t="s">
        <v>4370</v>
      </c>
      <c r="B3751" t="s">
        <v>10297</v>
      </c>
    </row>
    <row r="3752" spans="1:2">
      <c r="A3752" s="1" t="s">
        <v>4371</v>
      </c>
      <c r="B3752" t="s">
        <v>10273</v>
      </c>
    </row>
    <row r="3753" spans="1:2">
      <c r="A3753" s="1" t="s">
        <v>4372</v>
      </c>
      <c r="B3753" t="s">
        <v>10255</v>
      </c>
    </row>
    <row r="3754" spans="1:2">
      <c r="A3754" s="1" t="s">
        <v>4373</v>
      </c>
      <c r="B3754" t="s">
        <v>10280</v>
      </c>
    </row>
    <row r="3755" spans="1:2">
      <c r="A3755" s="1" t="s">
        <v>4374</v>
      </c>
      <c r="B3755" t="s">
        <v>10294</v>
      </c>
    </row>
    <row r="3756" spans="1:2">
      <c r="A3756" s="1" t="s">
        <v>4375</v>
      </c>
      <c r="B3756" t="s">
        <v>10346</v>
      </c>
    </row>
    <row r="3757" spans="1:2">
      <c r="A3757" s="1" t="s">
        <v>4376</v>
      </c>
      <c r="B3757" t="s">
        <v>10380</v>
      </c>
    </row>
    <row r="3758" spans="1:2">
      <c r="A3758" s="1" t="s">
        <v>386</v>
      </c>
      <c r="B3758" t="s">
        <v>10254</v>
      </c>
    </row>
    <row r="3759" spans="1:2">
      <c r="A3759" s="1" t="s">
        <v>4377</v>
      </c>
      <c r="B3759" t="s">
        <v>10345</v>
      </c>
    </row>
    <row r="3760" spans="1:2">
      <c r="A3760" s="1" t="s">
        <v>4378</v>
      </c>
      <c r="B3760" t="s">
        <v>10291</v>
      </c>
    </row>
    <row r="3761" spans="1:2">
      <c r="A3761" s="1" t="s">
        <v>4379</v>
      </c>
      <c r="B3761" t="s">
        <v>10266</v>
      </c>
    </row>
    <row r="3762" spans="1:2">
      <c r="A3762" s="1" t="s">
        <v>235</v>
      </c>
      <c r="B3762" t="s">
        <v>10504</v>
      </c>
    </row>
    <row r="3763" spans="1:2">
      <c r="A3763" s="1" t="s">
        <v>4380</v>
      </c>
      <c r="B3763" t="s">
        <v>10378</v>
      </c>
    </row>
    <row r="3764" spans="1:2">
      <c r="A3764" s="1" t="s">
        <v>4381</v>
      </c>
      <c r="B3764" t="s">
        <v>10378</v>
      </c>
    </row>
    <row r="3765" spans="1:2">
      <c r="A3765" s="1" t="s">
        <v>390</v>
      </c>
      <c r="B3765" t="s">
        <v>10290</v>
      </c>
    </row>
    <row r="3766" spans="1:2">
      <c r="A3766" s="1" t="s">
        <v>4382</v>
      </c>
      <c r="B3766" t="s">
        <v>10251</v>
      </c>
    </row>
    <row r="3767" spans="1:2">
      <c r="A3767" s="1" t="s">
        <v>4383</v>
      </c>
      <c r="B3767" t="s">
        <v>10505</v>
      </c>
    </row>
    <row r="3768" spans="1:2">
      <c r="A3768" s="1" t="s">
        <v>42</v>
      </c>
      <c r="B3768" t="s">
        <v>10260</v>
      </c>
    </row>
    <row r="3769" spans="1:2">
      <c r="A3769" s="1" t="s">
        <v>267</v>
      </c>
      <c r="B3769" t="s">
        <v>10308</v>
      </c>
    </row>
    <row r="3770" spans="1:2">
      <c r="A3770" s="1" t="s">
        <v>4384</v>
      </c>
      <c r="B3770" t="s">
        <v>10251</v>
      </c>
    </row>
    <row r="3771" spans="1:2">
      <c r="A3771" s="1" t="s">
        <v>667</v>
      </c>
      <c r="B3771" t="s">
        <v>10255</v>
      </c>
    </row>
    <row r="3772" spans="1:2">
      <c r="A3772" s="1" t="s">
        <v>4385</v>
      </c>
      <c r="B3772" t="s">
        <v>10304</v>
      </c>
    </row>
    <row r="3773" spans="1:2">
      <c r="A3773" s="1" t="s">
        <v>4386</v>
      </c>
      <c r="B3773" t="s">
        <v>903</v>
      </c>
    </row>
    <row r="3774" spans="1:2">
      <c r="A3774" s="1" t="s">
        <v>4387</v>
      </c>
      <c r="B3774" t="s">
        <v>10378</v>
      </c>
    </row>
    <row r="3775" spans="1:2">
      <c r="A3775" s="1" t="s">
        <v>4388</v>
      </c>
      <c r="B3775" t="s">
        <v>10287</v>
      </c>
    </row>
    <row r="3776" spans="1:2">
      <c r="A3776" s="1" t="s">
        <v>4389</v>
      </c>
      <c r="B3776" t="s">
        <v>10255</v>
      </c>
    </row>
    <row r="3777" spans="1:2">
      <c r="A3777" s="1" t="s">
        <v>4390</v>
      </c>
      <c r="B3777" t="s">
        <v>10277</v>
      </c>
    </row>
    <row r="3778" spans="1:2">
      <c r="A3778" s="1" t="s">
        <v>4391</v>
      </c>
      <c r="B3778" t="s">
        <v>10307</v>
      </c>
    </row>
    <row r="3779" spans="1:2">
      <c r="A3779" s="1" t="s">
        <v>4392</v>
      </c>
      <c r="B3779" t="s">
        <v>10261</v>
      </c>
    </row>
    <row r="3780" spans="1:2">
      <c r="A3780" s="1" t="s">
        <v>4393</v>
      </c>
      <c r="B3780" t="s">
        <v>10265</v>
      </c>
    </row>
    <row r="3781" spans="1:2">
      <c r="A3781" s="1" t="s">
        <v>4394</v>
      </c>
      <c r="B3781" t="s">
        <v>10293</v>
      </c>
    </row>
    <row r="3782" spans="1:2">
      <c r="A3782" s="1" t="s">
        <v>4395</v>
      </c>
      <c r="B3782" t="s">
        <v>10283</v>
      </c>
    </row>
    <row r="3783" spans="1:2">
      <c r="A3783" s="1" t="s">
        <v>4396</v>
      </c>
      <c r="B3783" t="s">
        <v>10260</v>
      </c>
    </row>
    <row r="3784" spans="1:2">
      <c r="A3784" s="1" t="s">
        <v>4397</v>
      </c>
      <c r="B3784" t="s">
        <v>10491</v>
      </c>
    </row>
    <row r="3785" spans="1:2">
      <c r="A3785" s="1" t="s">
        <v>4398</v>
      </c>
      <c r="B3785" t="s">
        <v>903</v>
      </c>
    </row>
    <row r="3786" spans="1:2">
      <c r="A3786" s="1" t="s">
        <v>4399</v>
      </c>
      <c r="B3786" t="s">
        <v>10251</v>
      </c>
    </row>
    <row r="3787" spans="1:2">
      <c r="A3787" s="1" t="s">
        <v>4400</v>
      </c>
      <c r="B3787" t="s">
        <v>10251</v>
      </c>
    </row>
    <row r="3788" spans="1:2">
      <c r="A3788" s="1" t="s">
        <v>4401</v>
      </c>
      <c r="B3788" t="s">
        <v>10265</v>
      </c>
    </row>
    <row r="3789" spans="1:2">
      <c r="A3789" s="1" t="s">
        <v>4402</v>
      </c>
      <c r="B3789" t="s">
        <v>10255</v>
      </c>
    </row>
    <row r="3790" spans="1:2">
      <c r="A3790" s="1" t="s">
        <v>4403</v>
      </c>
      <c r="B3790" t="s">
        <v>10385</v>
      </c>
    </row>
    <row r="3791" spans="1:2">
      <c r="A3791" s="1" t="s">
        <v>4404</v>
      </c>
      <c r="B3791" t="s">
        <v>10293</v>
      </c>
    </row>
    <row r="3792" spans="1:2">
      <c r="A3792" s="1" t="s">
        <v>265</v>
      </c>
      <c r="B3792" t="s">
        <v>10255</v>
      </c>
    </row>
    <row r="3793" spans="1:2">
      <c r="A3793" s="1" t="s">
        <v>4405</v>
      </c>
      <c r="B3793" t="s">
        <v>10261</v>
      </c>
    </row>
    <row r="3794" spans="1:2">
      <c r="A3794" s="1" t="s">
        <v>4406</v>
      </c>
      <c r="B3794" t="s">
        <v>10287</v>
      </c>
    </row>
    <row r="3795" spans="1:2">
      <c r="A3795" s="1" t="s">
        <v>4407</v>
      </c>
      <c r="B3795" t="s">
        <v>10251</v>
      </c>
    </row>
    <row r="3796" spans="1:2">
      <c r="A3796" s="1" t="s">
        <v>4408</v>
      </c>
      <c r="B3796" t="s">
        <v>10251</v>
      </c>
    </row>
    <row r="3797" spans="1:2">
      <c r="A3797" s="1" t="s">
        <v>4409</v>
      </c>
      <c r="B3797" t="s">
        <v>10387</v>
      </c>
    </row>
    <row r="3798" spans="1:2">
      <c r="A3798" s="1" t="s">
        <v>4410</v>
      </c>
      <c r="B3798" t="s">
        <v>10250</v>
      </c>
    </row>
    <row r="3799" spans="1:2">
      <c r="A3799" s="1" t="s">
        <v>4411</v>
      </c>
      <c r="B3799" t="s">
        <v>10244</v>
      </c>
    </row>
    <row r="3800" spans="1:2">
      <c r="A3800" s="1" t="s">
        <v>34</v>
      </c>
      <c r="B3800" t="s">
        <v>10250</v>
      </c>
    </row>
    <row r="3801" spans="1:2">
      <c r="A3801" s="1" t="s">
        <v>329</v>
      </c>
      <c r="B3801" t="s">
        <v>10335</v>
      </c>
    </row>
    <row r="3802" spans="1:2">
      <c r="A3802" s="1" t="s">
        <v>4412</v>
      </c>
      <c r="B3802" t="s">
        <v>10307</v>
      </c>
    </row>
    <row r="3803" spans="1:2">
      <c r="A3803" s="1" t="s">
        <v>4413</v>
      </c>
      <c r="B3803" t="s">
        <v>10420</v>
      </c>
    </row>
    <row r="3804" spans="1:2">
      <c r="A3804" s="1" t="s">
        <v>4414</v>
      </c>
      <c r="B3804" t="s">
        <v>10261</v>
      </c>
    </row>
    <row r="3805" spans="1:2">
      <c r="A3805" s="1" t="s">
        <v>4415</v>
      </c>
      <c r="B3805" t="s">
        <v>10378</v>
      </c>
    </row>
    <row r="3806" spans="1:2">
      <c r="A3806" s="1" t="s">
        <v>4416</v>
      </c>
      <c r="B3806" t="s">
        <v>10428</v>
      </c>
    </row>
    <row r="3807" spans="1:2">
      <c r="A3807" s="1" t="s">
        <v>4417</v>
      </c>
      <c r="B3807" t="s">
        <v>10261</v>
      </c>
    </row>
    <row r="3808" spans="1:2">
      <c r="A3808" s="1" t="s">
        <v>4418</v>
      </c>
      <c r="B3808" t="s">
        <v>10307</v>
      </c>
    </row>
    <row r="3809" spans="1:2">
      <c r="A3809" s="1" t="s">
        <v>136</v>
      </c>
      <c r="B3809" t="s">
        <v>10255</v>
      </c>
    </row>
    <row r="3810" spans="1:2">
      <c r="A3810" s="1" t="s">
        <v>4419</v>
      </c>
      <c r="B3810" t="s">
        <v>10483</v>
      </c>
    </row>
    <row r="3811" spans="1:2">
      <c r="A3811" s="1" t="s">
        <v>154</v>
      </c>
      <c r="B3811" t="s">
        <v>10298</v>
      </c>
    </row>
    <row r="3812" spans="1:2">
      <c r="A3812" s="1" t="s">
        <v>4420</v>
      </c>
      <c r="B3812" t="s">
        <v>10380</v>
      </c>
    </row>
    <row r="3813" spans="1:2">
      <c r="A3813" s="1" t="s">
        <v>4421</v>
      </c>
      <c r="B3813" t="s">
        <v>10261</v>
      </c>
    </row>
    <row r="3814" spans="1:2">
      <c r="A3814" s="1" t="s">
        <v>4422</v>
      </c>
      <c r="B3814" t="s">
        <v>10261</v>
      </c>
    </row>
    <row r="3815" spans="1:2">
      <c r="A3815" s="1" t="s">
        <v>4423</v>
      </c>
      <c r="B3815" t="s">
        <v>10273</v>
      </c>
    </row>
    <row r="3816" spans="1:2">
      <c r="A3816" s="1" t="s">
        <v>338</v>
      </c>
      <c r="B3816" t="s">
        <v>10282</v>
      </c>
    </row>
    <row r="3817" spans="1:2">
      <c r="A3817" s="1" t="s">
        <v>4424</v>
      </c>
      <c r="B3817" t="s">
        <v>10245</v>
      </c>
    </row>
    <row r="3818" spans="1:2">
      <c r="A3818" s="1" t="s">
        <v>4425</v>
      </c>
      <c r="B3818" t="s">
        <v>10506</v>
      </c>
    </row>
    <row r="3819" spans="1:2">
      <c r="A3819" s="1" t="s">
        <v>4426</v>
      </c>
      <c r="B3819" t="s">
        <v>10451</v>
      </c>
    </row>
    <row r="3820" spans="1:2">
      <c r="A3820" s="1" t="s">
        <v>4427</v>
      </c>
      <c r="B3820" t="s">
        <v>10261</v>
      </c>
    </row>
    <row r="3821" spans="1:2">
      <c r="A3821" s="1" t="s">
        <v>4428</v>
      </c>
      <c r="B3821" t="s">
        <v>10427</v>
      </c>
    </row>
    <row r="3822" spans="1:2">
      <c r="A3822" s="1" t="s">
        <v>445</v>
      </c>
      <c r="B3822" t="s">
        <v>10253</v>
      </c>
    </row>
    <row r="3823" spans="1:2">
      <c r="A3823" s="1" t="s">
        <v>4429</v>
      </c>
      <c r="B3823" t="s">
        <v>10311</v>
      </c>
    </row>
    <row r="3824" spans="1:2">
      <c r="A3824" s="1" t="s">
        <v>4430</v>
      </c>
      <c r="B3824" t="s">
        <v>10290</v>
      </c>
    </row>
    <row r="3825" spans="1:2">
      <c r="A3825" s="1" t="s">
        <v>4431</v>
      </c>
      <c r="B3825" t="s">
        <v>10252</v>
      </c>
    </row>
    <row r="3826" spans="1:2">
      <c r="A3826" s="1" t="s">
        <v>172</v>
      </c>
      <c r="B3826" t="s">
        <v>10250</v>
      </c>
    </row>
    <row r="3827" spans="1:2">
      <c r="A3827" s="1" t="s">
        <v>4432</v>
      </c>
      <c r="B3827" t="s">
        <v>10350</v>
      </c>
    </row>
    <row r="3828" spans="1:2">
      <c r="A3828" s="1" t="s">
        <v>532</v>
      </c>
      <c r="B3828" t="s">
        <v>10298</v>
      </c>
    </row>
    <row r="3829" spans="1:2">
      <c r="A3829" s="1" t="s">
        <v>4433</v>
      </c>
      <c r="B3829" t="s">
        <v>10364</v>
      </c>
    </row>
    <row r="3830" spans="1:2">
      <c r="A3830" s="1" t="s">
        <v>4434</v>
      </c>
      <c r="B3830" t="s">
        <v>903</v>
      </c>
    </row>
    <row r="3831" spans="1:2">
      <c r="A3831" s="1" t="s">
        <v>4435</v>
      </c>
      <c r="B3831" t="s">
        <v>10246</v>
      </c>
    </row>
    <row r="3832" spans="1:2">
      <c r="A3832" s="1" t="s">
        <v>4436</v>
      </c>
      <c r="B3832" t="s">
        <v>10287</v>
      </c>
    </row>
    <row r="3833" spans="1:2">
      <c r="A3833" s="1" t="s">
        <v>4437</v>
      </c>
      <c r="B3833" t="s">
        <v>10299</v>
      </c>
    </row>
    <row r="3834" spans="1:2">
      <c r="A3834" s="1" t="s">
        <v>4438</v>
      </c>
      <c r="B3834" t="s">
        <v>10250</v>
      </c>
    </row>
    <row r="3835" spans="1:2">
      <c r="A3835" s="1" t="s">
        <v>4439</v>
      </c>
      <c r="B3835" t="s">
        <v>10305</v>
      </c>
    </row>
    <row r="3836" spans="1:2">
      <c r="A3836" s="1" t="s">
        <v>4440</v>
      </c>
      <c r="B3836" t="s">
        <v>10288</v>
      </c>
    </row>
    <row r="3837" spans="1:2">
      <c r="A3837" s="1" t="s">
        <v>4441</v>
      </c>
      <c r="B3837" t="s">
        <v>10392</v>
      </c>
    </row>
    <row r="3838" spans="1:2">
      <c r="A3838" s="1" t="s">
        <v>4442</v>
      </c>
      <c r="B3838" t="s">
        <v>10245</v>
      </c>
    </row>
    <row r="3839" spans="1:2">
      <c r="A3839" s="1" t="s">
        <v>857</v>
      </c>
      <c r="B3839" t="s">
        <v>10279</v>
      </c>
    </row>
    <row r="3840" spans="1:2">
      <c r="A3840" s="1" t="s">
        <v>4443</v>
      </c>
      <c r="B3840" t="s">
        <v>10273</v>
      </c>
    </row>
    <row r="3841" spans="1:2">
      <c r="A3841" s="1" t="s">
        <v>406</v>
      </c>
      <c r="B3841" t="s">
        <v>10300</v>
      </c>
    </row>
    <row r="3842" spans="1:2">
      <c r="A3842" s="1" t="s">
        <v>4444</v>
      </c>
      <c r="B3842" t="s">
        <v>10244</v>
      </c>
    </row>
    <row r="3843" spans="1:2">
      <c r="A3843" s="1" t="s">
        <v>395</v>
      </c>
      <c r="B3843" t="s">
        <v>10367</v>
      </c>
    </row>
    <row r="3844" spans="1:2">
      <c r="A3844" s="1" t="s">
        <v>4445</v>
      </c>
      <c r="B3844" t="s">
        <v>10304</v>
      </c>
    </row>
    <row r="3845" spans="1:2">
      <c r="A3845" s="1" t="s">
        <v>4446</v>
      </c>
      <c r="B3845" t="s">
        <v>10261</v>
      </c>
    </row>
    <row r="3846" spans="1:2">
      <c r="A3846" s="1" t="s">
        <v>4447</v>
      </c>
      <c r="B3846" t="s">
        <v>10253</v>
      </c>
    </row>
    <row r="3847" spans="1:2">
      <c r="A3847" s="1" t="s">
        <v>4448</v>
      </c>
      <c r="B3847" t="s">
        <v>10277</v>
      </c>
    </row>
    <row r="3848" spans="1:2">
      <c r="A3848" s="1" t="s">
        <v>4449</v>
      </c>
      <c r="B3848" t="s">
        <v>10260</v>
      </c>
    </row>
    <row r="3849" spans="1:2">
      <c r="A3849" s="1" t="s">
        <v>4450</v>
      </c>
      <c r="B3849" t="s">
        <v>10255</v>
      </c>
    </row>
    <row r="3850" spans="1:2">
      <c r="A3850" s="1" t="s">
        <v>4451</v>
      </c>
      <c r="B3850" t="s">
        <v>10288</v>
      </c>
    </row>
    <row r="3851" spans="1:2">
      <c r="A3851" s="1" t="s">
        <v>4452</v>
      </c>
      <c r="B3851" t="s">
        <v>903</v>
      </c>
    </row>
    <row r="3852" spans="1:2">
      <c r="A3852" s="1" t="s">
        <v>4453</v>
      </c>
      <c r="B3852" t="s">
        <v>10303</v>
      </c>
    </row>
    <row r="3853" spans="1:2">
      <c r="A3853" s="1" t="s">
        <v>4454</v>
      </c>
      <c r="B3853" t="s">
        <v>10308</v>
      </c>
    </row>
    <row r="3854" spans="1:2">
      <c r="A3854" s="1" t="s">
        <v>605</v>
      </c>
      <c r="B3854" t="s">
        <v>10298</v>
      </c>
    </row>
    <row r="3855" spans="1:2">
      <c r="A3855" s="1" t="s">
        <v>4455</v>
      </c>
      <c r="B3855" t="s">
        <v>10345</v>
      </c>
    </row>
    <row r="3856" spans="1:2">
      <c r="A3856" s="1" t="s">
        <v>4456</v>
      </c>
      <c r="B3856" t="s">
        <v>10333</v>
      </c>
    </row>
    <row r="3857" spans="1:2">
      <c r="A3857" s="1" t="s">
        <v>4457</v>
      </c>
      <c r="B3857" t="s">
        <v>10293</v>
      </c>
    </row>
    <row r="3858" spans="1:2">
      <c r="A3858" s="1" t="s">
        <v>4458</v>
      </c>
      <c r="B3858" t="s">
        <v>10396</v>
      </c>
    </row>
    <row r="3859" spans="1:2">
      <c r="A3859" s="1" t="s">
        <v>4459</v>
      </c>
      <c r="B3859" t="s">
        <v>10287</v>
      </c>
    </row>
    <row r="3860" spans="1:2">
      <c r="A3860" s="1" t="s">
        <v>4460</v>
      </c>
      <c r="B3860" t="s">
        <v>10308</v>
      </c>
    </row>
    <row r="3861" spans="1:2">
      <c r="A3861" s="1" t="s">
        <v>4461</v>
      </c>
      <c r="B3861" t="s">
        <v>10272</v>
      </c>
    </row>
    <row r="3862" spans="1:2">
      <c r="A3862" s="1" t="s">
        <v>4462</v>
      </c>
      <c r="B3862" t="s">
        <v>10288</v>
      </c>
    </row>
    <row r="3863" spans="1:2">
      <c r="A3863" s="1" t="s">
        <v>4463</v>
      </c>
      <c r="B3863" t="s">
        <v>10424</v>
      </c>
    </row>
    <row r="3864" spans="1:2">
      <c r="A3864" s="1" t="s">
        <v>634</v>
      </c>
      <c r="B3864" t="s">
        <v>10299</v>
      </c>
    </row>
    <row r="3865" spans="1:2">
      <c r="A3865" s="1" t="s">
        <v>4464</v>
      </c>
      <c r="B3865" t="s">
        <v>10255</v>
      </c>
    </row>
    <row r="3866" spans="1:2">
      <c r="A3866" s="1" t="s">
        <v>4465</v>
      </c>
      <c r="B3866" t="s">
        <v>903</v>
      </c>
    </row>
    <row r="3867" spans="1:2">
      <c r="A3867" s="1" t="s">
        <v>665</v>
      </c>
      <c r="B3867" t="s">
        <v>10342</v>
      </c>
    </row>
    <row r="3868" spans="1:2">
      <c r="A3868" s="1" t="s">
        <v>4466</v>
      </c>
      <c r="B3868" t="s">
        <v>10283</v>
      </c>
    </row>
    <row r="3869" spans="1:2">
      <c r="A3869" s="1" t="s">
        <v>4467</v>
      </c>
      <c r="B3869" t="s">
        <v>10408</v>
      </c>
    </row>
    <row r="3870" spans="1:2">
      <c r="A3870" s="1" t="s">
        <v>4468</v>
      </c>
      <c r="B3870" t="s">
        <v>10246</v>
      </c>
    </row>
    <row r="3871" spans="1:2">
      <c r="A3871" s="1" t="s">
        <v>4469</v>
      </c>
      <c r="B3871" t="s">
        <v>10307</v>
      </c>
    </row>
    <row r="3872" spans="1:2">
      <c r="A3872" s="1" t="s">
        <v>82</v>
      </c>
      <c r="B3872" t="s">
        <v>10303</v>
      </c>
    </row>
    <row r="3873" spans="1:2">
      <c r="A3873" s="1" t="s">
        <v>4470</v>
      </c>
      <c r="B3873" t="s">
        <v>10244</v>
      </c>
    </row>
    <row r="3874" spans="1:2">
      <c r="A3874" s="1" t="s">
        <v>4471</v>
      </c>
      <c r="B3874" t="s">
        <v>10245</v>
      </c>
    </row>
    <row r="3875" spans="1:2">
      <c r="A3875" s="1" t="s">
        <v>4472</v>
      </c>
      <c r="B3875" t="s">
        <v>10244</v>
      </c>
    </row>
    <row r="3876" spans="1:2">
      <c r="A3876" s="1" t="s">
        <v>4473</v>
      </c>
      <c r="B3876" t="s">
        <v>10348</v>
      </c>
    </row>
    <row r="3877" spans="1:2">
      <c r="A3877" s="1" t="s">
        <v>4474</v>
      </c>
      <c r="B3877" t="s">
        <v>10268</v>
      </c>
    </row>
    <row r="3878" spans="1:2">
      <c r="A3878" s="1" t="s">
        <v>4475</v>
      </c>
      <c r="B3878" t="s">
        <v>10379</v>
      </c>
    </row>
    <row r="3879" spans="1:2">
      <c r="A3879" s="1" t="s">
        <v>4476</v>
      </c>
      <c r="B3879" t="s">
        <v>10249</v>
      </c>
    </row>
    <row r="3880" spans="1:2">
      <c r="A3880" s="1" t="s">
        <v>277</v>
      </c>
      <c r="B3880" t="s">
        <v>10299</v>
      </c>
    </row>
    <row r="3881" spans="1:2">
      <c r="A3881" s="1" t="s">
        <v>4477</v>
      </c>
      <c r="B3881" t="s">
        <v>10304</v>
      </c>
    </row>
    <row r="3882" spans="1:2">
      <c r="A3882" s="1" t="s">
        <v>4478</v>
      </c>
      <c r="B3882" t="s">
        <v>10438</v>
      </c>
    </row>
    <row r="3883" spans="1:2">
      <c r="A3883" s="1" t="s">
        <v>4479</v>
      </c>
      <c r="B3883" t="s">
        <v>10293</v>
      </c>
    </row>
    <row r="3884" spans="1:2">
      <c r="A3884" s="1" t="s">
        <v>96</v>
      </c>
      <c r="B3884" t="s">
        <v>10250</v>
      </c>
    </row>
    <row r="3885" spans="1:2">
      <c r="A3885" s="1" t="s">
        <v>608</v>
      </c>
      <c r="B3885" t="s">
        <v>10255</v>
      </c>
    </row>
    <row r="3886" spans="1:2">
      <c r="A3886" s="1" t="s">
        <v>4480</v>
      </c>
      <c r="B3886" t="s">
        <v>10255</v>
      </c>
    </row>
    <row r="3887" spans="1:2">
      <c r="A3887" s="1" t="s">
        <v>4481</v>
      </c>
      <c r="B3887" t="s">
        <v>10251</v>
      </c>
    </row>
    <row r="3888" spans="1:2">
      <c r="A3888" s="1" t="s">
        <v>4482</v>
      </c>
      <c r="B3888" t="s">
        <v>10433</v>
      </c>
    </row>
    <row r="3889" spans="1:2">
      <c r="A3889" s="1" t="s">
        <v>4483</v>
      </c>
      <c r="B3889" t="s">
        <v>10333</v>
      </c>
    </row>
    <row r="3890" spans="1:2">
      <c r="A3890" s="1" t="s">
        <v>4484</v>
      </c>
      <c r="B3890" t="s">
        <v>10343</v>
      </c>
    </row>
    <row r="3891" spans="1:2">
      <c r="A3891" s="1" t="s">
        <v>4485</v>
      </c>
      <c r="B3891" t="s">
        <v>10283</v>
      </c>
    </row>
    <row r="3892" spans="1:2">
      <c r="A3892" s="1" t="s">
        <v>4486</v>
      </c>
      <c r="B3892" t="s">
        <v>10253</v>
      </c>
    </row>
    <row r="3893" spans="1:2">
      <c r="A3893" s="1" t="s">
        <v>4487</v>
      </c>
      <c r="B3893" t="s">
        <v>10283</v>
      </c>
    </row>
    <row r="3894" spans="1:2">
      <c r="A3894" s="1" t="s">
        <v>4488</v>
      </c>
      <c r="B3894" t="s">
        <v>10348</v>
      </c>
    </row>
    <row r="3895" spans="1:2">
      <c r="A3895" s="1" t="s">
        <v>4489</v>
      </c>
      <c r="B3895" t="s">
        <v>10325</v>
      </c>
    </row>
    <row r="3896" spans="1:2">
      <c r="A3896" s="1" t="s">
        <v>4490</v>
      </c>
      <c r="B3896" t="s">
        <v>10251</v>
      </c>
    </row>
    <row r="3897" spans="1:2">
      <c r="A3897" s="1" t="s">
        <v>4491</v>
      </c>
      <c r="B3897" t="s">
        <v>903</v>
      </c>
    </row>
    <row r="3898" spans="1:2">
      <c r="A3898" s="1" t="s">
        <v>4492</v>
      </c>
      <c r="B3898" t="s">
        <v>10301</v>
      </c>
    </row>
    <row r="3899" spans="1:2">
      <c r="A3899" s="1" t="s">
        <v>512</v>
      </c>
      <c r="B3899" t="s">
        <v>10299</v>
      </c>
    </row>
    <row r="3900" spans="1:2">
      <c r="A3900" s="1" t="s">
        <v>4493</v>
      </c>
      <c r="B3900" t="s">
        <v>10315</v>
      </c>
    </row>
    <row r="3901" spans="1:2">
      <c r="A3901" s="1" t="s">
        <v>4494</v>
      </c>
      <c r="B3901" t="s">
        <v>10307</v>
      </c>
    </row>
    <row r="3902" spans="1:2">
      <c r="A3902" s="1" t="s">
        <v>4495</v>
      </c>
      <c r="B3902" t="s">
        <v>10251</v>
      </c>
    </row>
    <row r="3903" spans="1:2">
      <c r="A3903" s="1" t="s">
        <v>4496</v>
      </c>
      <c r="B3903" t="s">
        <v>10255</v>
      </c>
    </row>
    <row r="3904" spans="1:2">
      <c r="A3904" s="1" t="s">
        <v>4497</v>
      </c>
      <c r="B3904" t="s">
        <v>10433</v>
      </c>
    </row>
    <row r="3905" spans="1:2">
      <c r="A3905" s="1" t="s">
        <v>4498</v>
      </c>
      <c r="B3905" t="s">
        <v>10433</v>
      </c>
    </row>
    <row r="3906" spans="1:2">
      <c r="A3906" s="1" t="s">
        <v>4499</v>
      </c>
      <c r="B3906" t="s">
        <v>10310</v>
      </c>
    </row>
    <row r="3907" spans="1:2">
      <c r="A3907" s="1" t="s">
        <v>418</v>
      </c>
      <c r="B3907" t="s">
        <v>10296</v>
      </c>
    </row>
    <row r="3908" spans="1:2">
      <c r="A3908" s="1" t="s">
        <v>4500</v>
      </c>
      <c r="B3908" t="s">
        <v>10291</v>
      </c>
    </row>
    <row r="3909" spans="1:2">
      <c r="A3909" s="1" t="s">
        <v>505</v>
      </c>
      <c r="B3909" t="s">
        <v>10291</v>
      </c>
    </row>
    <row r="3910" spans="1:2">
      <c r="A3910" s="1" t="s">
        <v>4501</v>
      </c>
      <c r="B3910" t="s">
        <v>10245</v>
      </c>
    </row>
    <row r="3911" spans="1:2">
      <c r="A3911" s="1" t="s">
        <v>310</v>
      </c>
      <c r="B3911" t="s">
        <v>10385</v>
      </c>
    </row>
    <row r="3912" spans="1:2">
      <c r="A3912" s="1" t="s">
        <v>4502</v>
      </c>
      <c r="B3912" t="s">
        <v>10362</v>
      </c>
    </row>
    <row r="3913" spans="1:2">
      <c r="A3913" s="1" t="s">
        <v>4503</v>
      </c>
      <c r="B3913" t="s">
        <v>10479</v>
      </c>
    </row>
    <row r="3914" spans="1:2">
      <c r="A3914" s="1" t="s">
        <v>4504</v>
      </c>
      <c r="B3914" t="s">
        <v>10340</v>
      </c>
    </row>
    <row r="3915" spans="1:2">
      <c r="A3915" s="1" t="s">
        <v>4505</v>
      </c>
      <c r="B3915" t="s">
        <v>10433</v>
      </c>
    </row>
    <row r="3916" spans="1:2">
      <c r="A3916" s="1" t="s">
        <v>4506</v>
      </c>
      <c r="B3916" t="s">
        <v>10244</v>
      </c>
    </row>
    <row r="3917" spans="1:2">
      <c r="A3917" s="1" t="s">
        <v>4507</v>
      </c>
      <c r="B3917" t="s">
        <v>10293</v>
      </c>
    </row>
    <row r="3918" spans="1:2">
      <c r="A3918" s="1" t="s">
        <v>4508</v>
      </c>
      <c r="B3918" t="s">
        <v>10261</v>
      </c>
    </row>
    <row r="3919" spans="1:2">
      <c r="A3919" s="1" t="s">
        <v>4509</v>
      </c>
      <c r="B3919" t="s">
        <v>10311</v>
      </c>
    </row>
    <row r="3920" spans="1:2">
      <c r="A3920" s="1" t="s">
        <v>877</v>
      </c>
      <c r="B3920" t="s">
        <v>10264</v>
      </c>
    </row>
    <row r="3921" spans="1:2">
      <c r="A3921" s="1" t="s">
        <v>4510</v>
      </c>
      <c r="B3921" t="s">
        <v>10243</v>
      </c>
    </row>
    <row r="3922" spans="1:2">
      <c r="A3922" s="1" t="s">
        <v>4511</v>
      </c>
      <c r="B3922" t="s">
        <v>10507</v>
      </c>
    </row>
    <row r="3923" spans="1:2">
      <c r="A3923" s="1" t="s">
        <v>4512</v>
      </c>
      <c r="B3923" t="s">
        <v>10265</v>
      </c>
    </row>
    <row r="3924" spans="1:2">
      <c r="A3924" s="1" t="s">
        <v>156</v>
      </c>
      <c r="B3924" t="s">
        <v>10410</v>
      </c>
    </row>
    <row r="3925" spans="1:2">
      <c r="A3925" s="1" t="s">
        <v>373</v>
      </c>
      <c r="B3925" t="s">
        <v>10289</v>
      </c>
    </row>
    <row r="3926" spans="1:2">
      <c r="A3926" s="1" t="s">
        <v>4513</v>
      </c>
      <c r="B3926" t="s">
        <v>10308</v>
      </c>
    </row>
    <row r="3927" spans="1:2">
      <c r="A3927" s="1" t="s">
        <v>4514</v>
      </c>
      <c r="B3927" t="s">
        <v>10285</v>
      </c>
    </row>
    <row r="3928" spans="1:2">
      <c r="A3928" s="1" t="s">
        <v>352</v>
      </c>
      <c r="B3928" t="s">
        <v>10250</v>
      </c>
    </row>
    <row r="3929" spans="1:2">
      <c r="A3929" s="1" t="s">
        <v>368</v>
      </c>
      <c r="B3929" t="s">
        <v>10440</v>
      </c>
    </row>
    <row r="3930" spans="1:2">
      <c r="A3930" s="1" t="s">
        <v>4515</v>
      </c>
      <c r="B3930" t="s">
        <v>10261</v>
      </c>
    </row>
    <row r="3931" spans="1:2">
      <c r="A3931" s="1" t="s">
        <v>4516</v>
      </c>
      <c r="B3931" t="s">
        <v>10244</v>
      </c>
    </row>
    <row r="3932" spans="1:2">
      <c r="A3932" s="1" t="s">
        <v>4517</v>
      </c>
      <c r="B3932" t="s">
        <v>10340</v>
      </c>
    </row>
    <row r="3933" spans="1:2">
      <c r="A3933" s="1" t="s">
        <v>4518</v>
      </c>
      <c r="B3933" t="s">
        <v>10378</v>
      </c>
    </row>
    <row r="3934" spans="1:2">
      <c r="A3934" s="1" t="s">
        <v>4519</v>
      </c>
      <c r="B3934" t="s">
        <v>10345</v>
      </c>
    </row>
    <row r="3935" spans="1:2">
      <c r="A3935" s="1" t="s">
        <v>648</v>
      </c>
      <c r="B3935" t="s">
        <v>10298</v>
      </c>
    </row>
    <row r="3936" spans="1:2">
      <c r="A3936" s="1" t="s">
        <v>644</v>
      </c>
      <c r="B3936" t="s">
        <v>10307</v>
      </c>
    </row>
    <row r="3937" spans="1:2">
      <c r="A3937" s="1" t="s">
        <v>4520</v>
      </c>
      <c r="B3937" t="s">
        <v>10297</v>
      </c>
    </row>
    <row r="3938" spans="1:2">
      <c r="A3938" s="1" t="s">
        <v>4521</v>
      </c>
      <c r="B3938" t="s">
        <v>10283</v>
      </c>
    </row>
    <row r="3939" spans="1:2">
      <c r="A3939" s="1" t="s">
        <v>4522</v>
      </c>
      <c r="B3939" t="s">
        <v>10277</v>
      </c>
    </row>
    <row r="3940" spans="1:2">
      <c r="A3940" s="1" t="s">
        <v>4523</v>
      </c>
      <c r="B3940" t="s">
        <v>10364</v>
      </c>
    </row>
    <row r="3941" spans="1:2">
      <c r="A3941" s="1" t="s">
        <v>4524</v>
      </c>
      <c r="B3941" t="s">
        <v>10265</v>
      </c>
    </row>
    <row r="3942" spans="1:2">
      <c r="A3942" s="1" t="s">
        <v>4525</v>
      </c>
      <c r="B3942" t="s">
        <v>10408</v>
      </c>
    </row>
    <row r="3943" spans="1:2">
      <c r="A3943" s="1" t="s">
        <v>4526</v>
      </c>
      <c r="B3943" t="s">
        <v>10255</v>
      </c>
    </row>
    <row r="3944" spans="1:2">
      <c r="A3944" s="1" t="s">
        <v>4527</v>
      </c>
      <c r="B3944" t="s">
        <v>10244</v>
      </c>
    </row>
    <row r="3945" spans="1:2">
      <c r="A3945" s="1" t="s">
        <v>4528</v>
      </c>
      <c r="B3945" t="s">
        <v>10252</v>
      </c>
    </row>
    <row r="3946" spans="1:2">
      <c r="A3946" s="1" t="s">
        <v>126</v>
      </c>
      <c r="B3946" t="s">
        <v>10259</v>
      </c>
    </row>
    <row r="3947" spans="1:2">
      <c r="A3947" s="1" t="s">
        <v>4529</v>
      </c>
      <c r="B3947" t="s">
        <v>10287</v>
      </c>
    </row>
    <row r="3948" spans="1:2">
      <c r="A3948" s="1" t="s">
        <v>4530</v>
      </c>
      <c r="B3948" t="s">
        <v>10287</v>
      </c>
    </row>
    <row r="3949" spans="1:2">
      <c r="A3949" s="1" t="s">
        <v>4531</v>
      </c>
      <c r="B3949" t="s">
        <v>10269</v>
      </c>
    </row>
    <row r="3950" spans="1:2">
      <c r="A3950" s="1" t="s">
        <v>4532</v>
      </c>
      <c r="B3950" t="s">
        <v>10282</v>
      </c>
    </row>
    <row r="3951" spans="1:2">
      <c r="A3951" s="1" t="s">
        <v>861</v>
      </c>
      <c r="B3951" t="s">
        <v>10307</v>
      </c>
    </row>
    <row r="3952" spans="1:2">
      <c r="A3952" s="1" t="s">
        <v>4533</v>
      </c>
      <c r="B3952" t="s">
        <v>10287</v>
      </c>
    </row>
    <row r="3953" spans="1:2">
      <c r="A3953" s="1" t="s">
        <v>4534</v>
      </c>
      <c r="B3953" t="s">
        <v>10313</v>
      </c>
    </row>
    <row r="3954" spans="1:2">
      <c r="A3954" s="1" t="s">
        <v>4535</v>
      </c>
      <c r="B3954" t="s">
        <v>10302</v>
      </c>
    </row>
    <row r="3955" spans="1:2">
      <c r="A3955" s="1" t="s">
        <v>4536</v>
      </c>
      <c r="B3955" t="s">
        <v>10301</v>
      </c>
    </row>
    <row r="3956" spans="1:2">
      <c r="A3956" s="1" t="s">
        <v>4537</v>
      </c>
      <c r="B3956" t="s">
        <v>903</v>
      </c>
    </row>
    <row r="3957" spans="1:2">
      <c r="A3957" s="1" t="s">
        <v>4538</v>
      </c>
      <c r="B3957" t="s">
        <v>10424</v>
      </c>
    </row>
    <row r="3958" spans="1:2">
      <c r="A3958" s="1" t="s">
        <v>65</v>
      </c>
      <c r="B3958" t="s">
        <v>10374</v>
      </c>
    </row>
    <row r="3959" spans="1:2">
      <c r="A3959" s="1" t="s">
        <v>4539</v>
      </c>
      <c r="B3959" t="s">
        <v>10251</v>
      </c>
    </row>
    <row r="3960" spans="1:2">
      <c r="A3960" s="1" t="s">
        <v>4540</v>
      </c>
      <c r="B3960" t="s">
        <v>10387</v>
      </c>
    </row>
    <row r="3961" spans="1:2">
      <c r="A3961" s="1" t="s">
        <v>4541</v>
      </c>
      <c r="B3961" t="s">
        <v>10381</v>
      </c>
    </row>
    <row r="3962" spans="1:2">
      <c r="A3962" s="1" t="s">
        <v>4542</v>
      </c>
      <c r="B3962" t="s">
        <v>10385</v>
      </c>
    </row>
    <row r="3963" spans="1:2">
      <c r="A3963" s="1" t="s">
        <v>4543</v>
      </c>
      <c r="B3963" t="s">
        <v>10486</v>
      </c>
    </row>
    <row r="3964" spans="1:2">
      <c r="A3964" s="1" t="s">
        <v>4544</v>
      </c>
      <c r="B3964" t="s">
        <v>10304</v>
      </c>
    </row>
    <row r="3965" spans="1:2">
      <c r="A3965" s="1" t="s">
        <v>4545</v>
      </c>
      <c r="B3965" t="s">
        <v>10338</v>
      </c>
    </row>
    <row r="3966" spans="1:2">
      <c r="A3966" s="1" t="s">
        <v>4546</v>
      </c>
      <c r="B3966" t="s">
        <v>10261</v>
      </c>
    </row>
    <row r="3967" spans="1:2">
      <c r="A3967" s="1" t="s">
        <v>4547</v>
      </c>
      <c r="B3967" t="s">
        <v>10261</v>
      </c>
    </row>
    <row r="3968" spans="1:2">
      <c r="A3968" s="1" t="s">
        <v>4548</v>
      </c>
      <c r="B3968" t="s">
        <v>10378</v>
      </c>
    </row>
    <row r="3969" spans="1:2">
      <c r="A3969" s="1" t="s">
        <v>4549</v>
      </c>
      <c r="B3969" t="s">
        <v>10261</v>
      </c>
    </row>
    <row r="3970" spans="1:2">
      <c r="A3970" s="1" t="s">
        <v>4550</v>
      </c>
      <c r="B3970" t="s">
        <v>10255</v>
      </c>
    </row>
    <row r="3971" spans="1:2">
      <c r="A3971" s="1" t="s">
        <v>115</v>
      </c>
      <c r="B3971" t="s">
        <v>10298</v>
      </c>
    </row>
    <row r="3972" spans="1:2">
      <c r="A3972" s="1" t="s">
        <v>382</v>
      </c>
      <c r="B3972" t="s">
        <v>10282</v>
      </c>
    </row>
    <row r="3973" spans="1:2">
      <c r="A3973" s="1" t="s">
        <v>4551</v>
      </c>
      <c r="B3973" t="s">
        <v>10261</v>
      </c>
    </row>
    <row r="3974" spans="1:2">
      <c r="A3974" s="1" t="s">
        <v>4552</v>
      </c>
      <c r="B3974" t="s">
        <v>10261</v>
      </c>
    </row>
    <row r="3975" spans="1:2">
      <c r="A3975" s="1" t="s">
        <v>4553</v>
      </c>
      <c r="B3975" t="s">
        <v>10250</v>
      </c>
    </row>
    <row r="3976" spans="1:2">
      <c r="A3976" s="1" t="s">
        <v>4554</v>
      </c>
      <c r="B3976" t="s">
        <v>10298</v>
      </c>
    </row>
    <row r="3977" spans="1:2">
      <c r="A3977" s="1" t="s">
        <v>4555</v>
      </c>
      <c r="B3977" t="s">
        <v>10307</v>
      </c>
    </row>
    <row r="3978" spans="1:2">
      <c r="A3978" s="1" t="s">
        <v>4556</v>
      </c>
      <c r="B3978" t="s">
        <v>10244</v>
      </c>
    </row>
    <row r="3979" spans="1:2">
      <c r="A3979" s="1" t="s">
        <v>4557</v>
      </c>
      <c r="B3979" t="s">
        <v>10277</v>
      </c>
    </row>
    <row r="3980" spans="1:2">
      <c r="A3980" s="1" t="s">
        <v>4558</v>
      </c>
      <c r="B3980" t="s">
        <v>10244</v>
      </c>
    </row>
    <row r="3981" spans="1:2">
      <c r="A3981" s="1" t="s">
        <v>4559</v>
      </c>
      <c r="B3981" t="s">
        <v>10461</v>
      </c>
    </row>
    <row r="3982" spans="1:2">
      <c r="A3982" s="1" t="s">
        <v>678</v>
      </c>
      <c r="B3982" t="s">
        <v>10481</v>
      </c>
    </row>
    <row r="3983" spans="1:2">
      <c r="A3983" s="1" t="s">
        <v>790</v>
      </c>
      <c r="B3983" t="s">
        <v>10343</v>
      </c>
    </row>
    <row r="3984" spans="1:2">
      <c r="A3984" s="1" t="s">
        <v>4560</v>
      </c>
      <c r="B3984" t="s">
        <v>10282</v>
      </c>
    </row>
    <row r="3985" spans="1:2">
      <c r="A3985" s="1" t="s">
        <v>4561</v>
      </c>
      <c r="B3985" t="s">
        <v>10255</v>
      </c>
    </row>
    <row r="3986" spans="1:2">
      <c r="A3986" s="1" t="s">
        <v>4562</v>
      </c>
      <c r="B3986" t="s">
        <v>10364</v>
      </c>
    </row>
    <row r="3987" spans="1:2">
      <c r="A3987" s="1" t="s">
        <v>4563</v>
      </c>
      <c r="B3987" t="s">
        <v>10252</v>
      </c>
    </row>
    <row r="3988" spans="1:2">
      <c r="A3988" s="1" t="s">
        <v>4564</v>
      </c>
      <c r="B3988" t="s">
        <v>10251</v>
      </c>
    </row>
    <row r="3989" spans="1:2">
      <c r="A3989" s="1" t="s">
        <v>4565</v>
      </c>
      <c r="B3989" t="s">
        <v>903</v>
      </c>
    </row>
    <row r="3990" spans="1:2">
      <c r="A3990" s="1" t="s">
        <v>4566</v>
      </c>
      <c r="B3990" t="s">
        <v>10437</v>
      </c>
    </row>
    <row r="3991" spans="1:2">
      <c r="A3991" s="1" t="s">
        <v>389</v>
      </c>
      <c r="B3991" t="s">
        <v>10307</v>
      </c>
    </row>
    <row r="3992" spans="1:2">
      <c r="A3992" s="1" t="s">
        <v>4567</v>
      </c>
      <c r="B3992" t="s">
        <v>10340</v>
      </c>
    </row>
    <row r="3993" spans="1:2">
      <c r="A3993" s="1" t="s">
        <v>4568</v>
      </c>
      <c r="B3993" t="s">
        <v>10463</v>
      </c>
    </row>
    <row r="3994" spans="1:2">
      <c r="A3994" s="1" t="s">
        <v>4569</v>
      </c>
      <c r="B3994" t="s">
        <v>10508</v>
      </c>
    </row>
    <row r="3995" spans="1:2">
      <c r="A3995" s="1" t="s">
        <v>4570</v>
      </c>
      <c r="B3995" t="s">
        <v>10245</v>
      </c>
    </row>
    <row r="3996" spans="1:2">
      <c r="A3996" s="1" t="s">
        <v>4571</v>
      </c>
      <c r="B3996" t="s">
        <v>10251</v>
      </c>
    </row>
    <row r="3997" spans="1:2">
      <c r="A3997" s="1" t="s">
        <v>4572</v>
      </c>
      <c r="B3997" t="s">
        <v>10261</v>
      </c>
    </row>
    <row r="3998" spans="1:2">
      <c r="A3998" s="1" t="s">
        <v>4573</v>
      </c>
      <c r="B3998" t="s">
        <v>10424</v>
      </c>
    </row>
    <row r="3999" spans="1:2">
      <c r="A3999" s="1" t="s">
        <v>4574</v>
      </c>
      <c r="B3999" t="s">
        <v>10326</v>
      </c>
    </row>
    <row r="4000" spans="1:2">
      <c r="A4000" s="1" t="s">
        <v>4575</v>
      </c>
      <c r="B4000" t="s">
        <v>10441</v>
      </c>
    </row>
    <row r="4001" spans="1:2">
      <c r="A4001" s="1" t="s">
        <v>4576</v>
      </c>
      <c r="B4001" t="s">
        <v>903</v>
      </c>
    </row>
    <row r="4002" spans="1:2">
      <c r="A4002" s="1" t="s">
        <v>4577</v>
      </c>
      <c r="B4002" t="s">
        <v>903</v>
      </c>
    </row>
    <row r="4003" spans="1:2">
      <c r="A4003" s="1" t="s">
        <v>4578</v>
      </c>
      <c r="B4003" t="s">
        <v>10260</v>
      </c>
    </row>
    <row r="4004" spans="1:2">
      <c r="A4004" s="1" t="s">
        <v>4579</v>
      </c>
      <c r="B4004" t="s">
        <v>903</v>
      </c>
    </row>
    <row r="4005" spans="1:2">
      <c r="A4005" s="1" t="s">
        <v>4580</v>
      </c>
      <c r="B4005" t="s">
        <v>10271</v>
      </c>
    </row>
    <row r="4006" spans="1:2">
      <c r="A4006" s="1" t="s">
        <v>4581</v>
      </c>
      <c r="B4006" t="s">
        <v>903</v>
      </c>
    </row>
    <row r="4007" spans="1:2">
      <c r="A4007" s="1" t="s">
        <v>4582</v>
      </c>
      <c r="B4007" t="s">
        <v>10249</v>
      </c>
    </row>
    <row r="4008" spans="1:2">
      <c r="A4008" s="1" t="s">
        <v>4583</v>
      </c>
      <c r="B4008" t="s">
        <v>10328</v>
      </c>
    </row>
    <row r="4009" spans="1:2">
      <c r="A4009" s="1" t="s">
        <v>528</v>
      </c>
      <c r="B4009" t="s">
        <v>10264</v>
      </c>
    </row>
    <row r="4010" spans="1:2">
      <c r="A4010" s="1" t="s">
        <v>4584</v>
      </c>
      <c r="B4010" t="s">
        <v>10250</v>
      </c>
    </row>
    <row r="4011" spans="1:2">
      <c r="A4011" s="1" t="s">
        <v>4585</v>
      </c>
      <c r="B4011" t="s">
        <v>10408</v>
      </c>
    </row>
    <row r="4012" spans="1:2">
      <c r="A4012" s="1" t="s">
        <v>4586</v>
      </c>
      <c r="B4012" t="s">
        <v>10344</v>
      </c>
    </row>
    <row r="4013" spans="1:2">
      <c r="A4013" s="1" t="s">
        <v>4587</v>
      </c>
      <c r="B4013" t="s">
        <v>10287</v>
      </c>
    </row>
    <row r="4014" spans="1:2">
      <c r="A4014" s="1" t="s">
        <v>4588</v>
      </c>
      <c r="B4014" t="s">
        <v>10246</v>
      </c>
    </row>
    <row r="4015" spans="1:2">
      <c r="A4015" s="1" t="s">
        <v>4589</v>
      </c>
      <c r="B4015" t="s">
        <v>10261</v>
      </c>
    </row>
    <row r="4016" spans="1:2">
      <c r="A4016" s="1" t="s">
        <v>852</v>
      </c>
      <c r="B4016" t="s">
        <v>10311</v>
      </c>
    </row>
    <row r="4017" spans="1:2">
      <c r="A4017" s="1" t="s">
        <v>4590</v>
      </c>
      <c r="B4017" t="s">
        <v>10261</v>
      </c>
    </row>
    <row r="4018" spans="1:2">
      <c r="A4018" s="1" t="s">
        <v>279</v>
      </c>
      <c r="B4018" t="s">
        <v>10249</v>
      </c>
    </row>
    <row r="4019" spans="1:2">
      <c r="A4019" s="1" t="s">
        <v>4591</v>
      </c>
      <c r="B4019" t="s">
        <v>10364</v>
      </c>
    </row>
    <row r="4020" spans="1:2">
      <c r="A4020" s="1" t="s">
        <v>4592</v>
      </c>
      <c r="B4020" t="s">
        <v>10261</v>
      </c>
    </row>
    <row r="4021" spans="1:2">
      <c r="A4021" s="1" t="s">
        <v>4593</v>
      </c>
      <c r="B4021" t="s">
        <v>10273</v>
      </c>
    </row>
    <row r="4022" spans="1:2">
      <c r="A4022" s="1" t="s">
        <v>4594</v>
      </c>
      <c r="B4022" t="s">
        <v>10293</v>
      </c>
    </row>
    <row r="4023" spans="1:2">
      <c r="A4023" s="1" t="s">
        <v>4595</v>
      </c>
      <c r="B4023" t="s">
        <v>10421</v>
      </c>
    </row>
    <row r="4024" spans="1:2">
      <c r="A4024" s="1" t="s">
        <v>4596</v>
      </c>
      <c r="B4024" t="s">
        <v>10298</v>
      </c>
    </row>
    <row r="4025" spans="1:2">
      <c r="A4025" s="1" t="s">
        <v>4597</v>
      </c>
      <c r="B4025" t="s">
        <v>10304</v>
      </c>
    </row>
    <row r="4026" spans="1:2">
      <c r="A4026" s="1" t="s">
        <v>4598</v>
      </c>
      <c r="B4026" t="s">
        <v>10365</v>
      </c>
    </row>
    <row r="4027" spans="1:2">
      <c r="A4027" s="1" t="s">
        <v>4599</v>
      </c>
      <c r="B4027" t="s">
        <v>10277</v>
      </c>
    </row>
    <row r="4028" spans="1:2">
      <c r="A4028" s="1" t="s">
        <v>4600</v>
      </c>
      <c r="B4028" t="s">
        <v>10255</v>
      </c>
    </row>
    <row r="4029" spans="1:2">
      <c r="A4029" s="1" t="s">
        <v>415</v>
      </c>
      <c r="B4029" t="s">
        <v>10358</v>
      </c>
    </row>
    <row r="4030" spans="1:2">
      <c r="A4030" s="1" t="s">
        <v>4601</v>
      </c>
      <c r="B4030" t="s">
        <v>10260</v>
      </c>
    </row>
    <row r="4031" spans="1:2">
      <c r="A4031" s="1" t="s">
        <v>4602</v>
      </c>
      <c r="B4031" t="s">
        <v>10304</v>
      </c>
    </row>
    <row r="4032" spans="1:2">
      <c r="A4032" s="1" t="s">
        <v>4603</v>
      </c>
      <c r="B4032" t="s">
        <v>903</v>
      </c>
    </row>
    <row r="4033" spans="1:2">
      <c r="A4033" s="1" t="s">
        <v>372</v>
      </c>
      <c r="B4033" t="s">
        <v>10374</v>
      </c>
    </row>
    <row r="4034" spans="1:2">
      <c r="A4034" s="1" t="s">
        <v>4604</v>
      </c>
      <c r="B4034" t="s">
        <v>10320</v>
      </c>
    </row>
    <row r="4035" spans="1:2">
      <c r="A4035" s="1" t="s">
        <v>4605</v>
      </c>
      <c r="B4035" t="s">
        <v>10261</v>
      </c>
    </row>
    <row r="4036" spans="1:2">
      <c r="A4036" s="1" t="s">
        <v>4606</v>
      </c>
      <c r="B4036" t="s">
        <v>10509</v>
      </c>
    </row>
    <row r="4037" spans="1:2">
      <c r="A4037" s="1" t="s">
        <v>4607</v>
      </c>
      <c r="B4037" t="s">
        <v>10250</v>
      </c>
    </row>
    <row r="4038" spans="1:2">
      <c r="A4038" s="1" t="s">
        <v>495</v>
      </c>
      <c r="B4038" t="s">
        <v>10309</v>
      </c>
    </row>
    <row r="4039" spans="1:2">
      <c r="A4039" s="1" t="s">
        <v>132</v>
      </c>
      <c r="B4039" t="s">
        <v>10255</v>
      </c>
    </row>
    <row r="4040" spans="1:2">
      <c r="A4040" s="1" t="s">
        <v>4608</v>
      </c>
      <c r="B4040" t="s">
        <v>10260</v>
      </c>
    </row>
    <row r="4041" spans="1:2">
      <c r="A4041" s="1" t="s">
        <v>4609</v>
      </c>
      <c r="B4041" t="s">
        <v>10261</v>
      </c>
    </row>
    <row r="4042" spans="1:2">
      <c r="A4042" s="1" t="s">
        <v>4610</v>
      </c>
      <c r="B4042" t="s">
        <v>10297</v>
      </c>
    </row>
    <row r="4043" spans="1:2">
      <c r="A4043" s="1" t="s">
        <v>4611</v>
      </c>
      <c r="B4043" t="s">
        <v>10375</v>
      </c>
    </row>
    <row r="4044" spans="1:2">
      <c r="A4044" s="1" t="s">
        <v>4612</v>
      </c>
      <c r="B4044" t="s">
        <v>903</v>
      </c>
    </row>
    <row r="4045" spans="1:2">
      <c r="A4045" s="1" t="s">
        <v>4613</v>
      </c>
      <c r="B4045" t="s">
        <v>10244</v>
      </c>
    </row>
    <row r="4046" spans="1:2">
      <c r="A4046" s="1" t="s">
        <v>4614</v>
      </c>
      <c r="B4046" t="s">
        <v>10420</v>
      </c>
    </row>
    <row r="4047" spans="1:2">
      <c r="A4047" s="1" t="s">
        <v>4615</v>
      </c>
      <c r="B4047" t="s">
        <v>10436</v>
      </c>
    </row>
    <row r="4048" spans="1:2">
      <c r="A4048" s="1" t="s">
        <v>4616</v>
      </c>
      <c r="B4048" t="s">
        <v>10244</v>
      </c>
    </row>
    <row r="4049" spans="1:2">
      <c r="A4049" s="1" t="s">
        <v>4617</v>
      </c>
      <c r="B4049" t="s">
        <v>10244</v>
      </c>
    </row>
    <row r="4050" spans="1:2">
      <c r="A4050" s="1" t="s">
        <v>4618</v>
      </c>
      <c r="B4050" t="s">
        <v>10510</v>
      </c>
    </row>
    <row r="4051" spans="1:2">
      <c r="A4051" s="1" t="s">
        <v>4619</v>
      </c>
      <c r="B4051" t="s">
        <v>10378</v>
      </c>
    </row>
    <row r="4052" spans="1:2">
      <c r="A4052" s="1" t="s">
        <v>4620</v>
      </c>
      <c r="B4052" t="s">
        <v>10281</v>
      </c>
    </row>
    <row r="4053" spans="1:2">
      <c r="A4053" s="1" t="s">
        <v>314</v>
      </c>
      <c r="B4053" t="s">
        <v>10264</v>
      </c>
    </row>
    <row r="4054" spans="1:2">
      <c r="A4054" s="1" t="s">
        <v>4621</v>
      </c>
      <c r="B4054" t="s">
        <v>10464</v>
      </c>
    </row>
    <row r="4055" spans="1:2">
      <c r="A4055" s="1" t="s">
        <v>4622</v>
      </c>
      <c r="B4055" t="s">
        <v>10290</v>
      </c>
    </row>
    <row r="4056" spans="1:2">
      <c r="A4056" s="1" t="s">
        <v>4623</v>
      </c>
      <c r="B4056" t="s">
        <v>10283</v>
      </c>
    </row>
    <row r="4057" spans="1:2">
      <c r="A4057" s="1" t="s">
        <v>4624</v>
      </c>
      <c r="B4057" t="s">
        <v>10340</v>
      </c>
    </row>
    <row r="4058" spans="1:2">
      <c r="A4058" s="1" t="s">
        <v>4625</v>
      </c>
      <c r="B4058" t="s">
        <v>10308</v>
      </c>
    </row>
    <row r="4059" spans="1:2">
      <c r="A4059" s="1" t="s">
        <v>180</v>
      </c>
      <c r="B4059" t="s">
        <v>10250</v>
      </c>
    </row>
    <row r="4060" spans="1:2">
      <c r="A4060" s="1" t="s">
        <v>4626</v>
      </c>
      <c r="B4060" t="s">
        <v>10255</v>
      </c>
    </row>
    <row r="4061" spans="1:2">
      <c r="A4061" s="1" t="s">
        <v>4627</v>
      </c>
      <c r="B4061" t="s">
        <v>10293</v>
      </c>
    </row>
    <row r="4062" spans="1:2">
      <c r="A4062" s="1" t="s">
        <v>4628</v>
      </c>
      <c r="B4062" t="s">
        <v>10511</v>
      </c>
    </row>
    <row r="4063" spans="1:2">
      <c r="A4063" s="1" t="s">
        <v>4629</v>
      </c>
      <c r="B4063" t="s">
        <v>10512</v>
      </c>
    </row>
    <row r="4064" spans="1:2">
      <c r="A4064" s="1" t="s">
        <v>4630</v>
      </c>
      <c r="B4064" t="s">
        <v>10260</v>
      </c>
    </row>
    <row r="4065" spans="1:2">
      <c r="A4065" s="1" t="s">
        <v>4631</v>
      </c>
      <c r="B4065" t="s">
        <v>10340</v>
      </c>
    </row>
    <row r="4066" spans="1:2">
      <c r="A4066" s="1" t="s">
        <v>4632</v>
      </c>
      <c r="B4066" t="s">
        <v>10455</v>
      </c>
    </row>
    <row r="4067" spans="1:2">
      <c r="A4067" s="1" t="s">
        <v>4633</v>
      </c>
      <c r="B4067" t="s">
        <v>10313</v>
      </c>
    </row>
    <row r="4068" spans="1:2">
      <c r="A4068" s="1" t="s">
        <v>68</v>
      </c>
      <c r="B4068" t="s">
        <v>10387</v>
      </c>
    </row>
    <row r="4069" spans="1:2">
      <c r="A4069" s="1" t="s">
        <v>4634</v>
      </c>
      <c r="B4069" t="s">
        <v>10249</v>
      </c>
    </row>
    <row r="4070" spans="1:2">
      <c r="A4070" s="1" t="s">
        <v>4635</v>
      </c>
      <c r="B4070" t="s">
        <v>10303</v>
      </c>
    </row>
    <row r="4071" spans="1:2">
      <c r="A4071" s="1" t="s">
        <v>4636</v>
      </c>
      <c r="B4071" t="s">
        <v>10261</v>
      </c>
    </row>
    <row r="4072" spans="1:2">
      <c r="A4072" s="1" t="s">
        <v>4637</v>
      </c>
      <c r="B4072" t="s">
        <v>10244</v>
      </c>
    </row>
    <row r="4073" spans="1:2">
      <c r="A4073" s="1" t="s">
        <v>4638</v>
      </c>
      <c r="B4073" t="s">
        <v>10340</v>
      </c>
    </row>
    <row r="4074" spans="1:2">
      <c r="A4074" s="1" t="s">
        <v>4639</v>
      </c>
      <c r="B4074" t="s">
        <v>10277</v>
      </c>
    </row>
    <row r="4075" spans="1:2">
      <c r="A4075" s="1" t="s">
        <v>4640</v>
      </c>
      <c r="B4075" t="s">
        <v>903</v>
      </c>
    </row>
    <row r="4076" spans="1:2">
      <c r="A4076" s="1" t="s">
        <v>4641</v>
      </c>
      <c r="B4076" t="s">
        <v>10307</v>
      </c>
    </row>
    <row r="4077" spans="1:2">
      <c r="A4077" s="1" t="s">
        <v>674</v>
      </c>
      <c r="B4077" t="s">
        <v>10250</v>
      </c>
    </row>
    <row r="4078" spans="1:2">
      <c r="A4078" s="1" t="s">
        <v>696</v>
      </c>
      <c r="B4078" t="s">
        <v>10264</v>
      </c>
    </row>
    <row r="4079" spans="1:2">
      <c r="A4079" s="1" t="s">
        <v>4642</v>
      </c>
      <c r="B4079" t="s">
        <v>10255</v>
      </c>
    </row>
    <row r="4080" spans="1:2">
      <c r="A4080" s="1" t="s">
        <v>4643</v>
      </c>
      <c r="B4080" t="s">
        <v>10259</v>
      </c>
    </row>
    <row r="4081" spans="1:2">
      <c r="A4081" s="1" t="s">
        <v>4644</v>
      </c>
      <c r="B4081" t="s">
        <v>10299</v>
      </c>
    </row>
    <row r="4082" spans="1:2">
      <c r="A4082" s="1" t="s">
        <v>4645</v>
      </c>
      <c r="B4082" t="s">
        <v>10283</v>
      </c>
    </row>
    <row r="4083" spans="1:2">
      <c r="A4083" s="1" t="s">
        <v>4646</v>
      </c>
      <c r="B4083" t="s">
        <v>10255</v>
      </c>
    </row>
    <row r="4084" spans="1:2">
      <c r="A4084" s="1" t="s">
        <v>4647</v>
      </c>
      <c r="B4084" t="s">
        <v>903</v>
      </c>
    </row>
    <row r="4085" spans="1:2">
      <c r="A4085" s="1" t="s">
        <v>4648</v>
      </c>
      <c r="B4085" t="s">
        <v>10284</v>
      </c>
    </row>
    <row r="4086" spans="1:2">
      <c r="A4086" s="1" t="s">
        <v>4649</v>
      </c>
      <c r="B4086" t="s">
        <v>10266</v>
      </c>
    </row>
    <row r="4087" spans="1:2">
      <c r="A4087" s="1" t="s">
        <v>4650</v>
      </c>
      <c r="B4087" t="s">
        <v>10424</v>
      </c>
    </row>
    <row r="4088" spans="1:2">
      <c r="A4088" s="1" t="s">
        <v>89</v>
      </c>
      <c r="B4088" t="s">
        <v>10323</v>
      </c>
    </row>
    <row r="4089" spans="1:2">
      <c r="A4089" s="1" t="s">
        <v>4651</v>
      </c>
      <c r="B4089" t="s">
        <v>10426</v>
      </c>
    </row>
    <row r="4090" spans="1:2">
      <c r="A4090" s="1" t="s">
        <v>121</v>
      </c>
      <c r="B4090" t="s">
        <v>10298</v>
      </c>
    </row>
    <row r="4091" spans="1:2">
      <c r="A4091" s="1" t="s">
        <v>4652</v>
      </c>
      <c r="B4091" t="s">
        <v>10282</v>
      </c>
    </row>
    <row r="4092" spans="1:2">
      <c r="A4092" s="1" t="s">
        <v>4653</v>
      </c>
      <c r="B4092" t="s">
        <v>10255</v>
      </c>
    </row>
    <row r="4093" spans="1:2">
      <c r="A4093" s="1" t="s">
        <v>4654</v>
      </c>
      <c r="B4093" t="s">
        <v>10251</v>
      </c>
    </row>
    <row r="4094" spans="1:2">
      <c r="A4094" s="1" t="s">
        <v>4655</v>
      </c>
      <c r="B4094" t="s">
        <v>10255</v>
      </c>
    </row>
    <row r="4095" spans="1:2">
      <c r="A4095" s="1" t="s">
        <v>4656</v>
      </c>
      <c r="B4095" t="s">
        <v>10261</v>
      </c>
    </row>
    <row r="4096" spans="1:2">
      <c r="A4096" s="1" t="s">
        <v>4657</v>
      </c>
      <c r="B4096" t="s">
        <v>10245</v>
      </c>
    </row>
    <row r="4097" spans="1:2">
      <c r="A4097" s="1" t="s">
        <v>4658</v>
      </c>
      <c r="B4097" t="s">
        <v>10288</v>
      </c>
    </row>
    <row r="4098" spans="1:2">
      <c r="A4098" s="1" t="s">
        <v>4659</v>
      </c>
      <c r="B4098" t="s">
        <v>10302</v>
      </c>
    </row>
    <row r="4099" spans="1:2">
      <c r="A4099" s="1" t="s">
        <v>4660</v>
      </c>
      <c r="B4099" t="s">
        <v>10283</v>
      </c>
    </row>
    <row r="4100" spans="1:2">
      <c r="A4100" s="1" t="s">
        <v>4661</v>
      </c>
      <c r="B4100" t="s">
        <v>10277</v>
      </c>
    </row>
    <row r="4101" spans="1:2">
      <c r="A4101" s="1" t="s">
        <v>4662</v>
      </c>
      <c r="B4101" t="s">
        <v>10434</v>
      </c>
    </row>
    <row r="4102" spans="1:2">
      <c r="A4102" s="1" t="s">
        <v>4663</v>
      </c>
      <c r="B4102" t="s">
        <v>10255</v>
      </c>
    </row>
    <row r="4103" spans="1:2">
      <c r="A4103" s="1" t="s">
        <v>4664</v>
      </c>
      <c r="B4103" t="s">
        <v>10277</v>
      </c>
    </row>
    <row r="4104" spans="1:2">
      <c r="A4104" s="1" t="s">
        <v>4665</v>
      </c>
      <c r="B4104" t="s">
        <v>903</v>
      </c>
    </row>
    <row r="4105" spans="1:2">
      <c r="A4105" s="1" t="s">
        <v>4666</v>
      </c>
      <c r="B4105" t="s">
        <v>10279</v>
      </c>
    </row>
    <row r="4106" spans="1:2">
      <c r="A4106" s="1" t="s">
        <v>4667</v>
      </c>
      <c r="B4106" t="s">
        <v>10255</v>
      </c>
    </row>
    <row r="4107" spans="1:2">
      <c r="A4107" s="1" t="s">
        <v>4668</v>
      </c>
      <c r="B4107" t="s">
        <v>10261</v>
      </c>
    </row>
    <row r="4108" spans="1:2">
      <c r="A4108" s="1" t="s">
        <v>4669</v>
      </c>
      <c r="B4108" t="s">
        <v>10361</v>
      </c>
    </row>
    <row r="4109" spans="1:2">
      <c r="A4109" s="1" t="s">
        <v>4670</v>
      </c>
      <c r="B4109" t="s">
        <v>10287</v>
      </c>
    </row>
    <row r="4110" spans="1:2">
      <c r="A4110" s="1" t="s">
        <v>4671</v>
      </c>
      <c r="B4110" t="s">
        <v>10307</v>
      </c>
    </row>
    <row r="4111" spans="1:2">
      <c r="A4111" s="1" t="s">
        <v>4672</v>
      </c>
      <c r="B4111" t="s">
        <v>10264</v>
      </c>
    </row>
    <row r="4112" spans="1:2">
      <c r="A4112" s="1" t="s">
        <v>729</v>
      </c>
      <c r="B4112" t="s">
        <v>10260</v>
      </c>
    </row>
    <row r="4113" spans="1:2">
      <c r="A4113" s="1" t="s">
        <v>4673</v>
      </c>
      <c r="B4113" t="s">
        <v>10277</v>
      </c>
    </row>
    <row r="4114" spans="1:2">
      <c r="A4114" s="1" t="s">
        <v>4674</v>
      </c>
      <c r="B4114" t="s">
        <v>10287</v>
      </c>
    </row>
    <row r="4115" spans="1:2">
      <c r="A4115" s="1" t="s">
        <v>4675</v>
      </c>
      <c r="B4115" t="s">
        <v>10359</v>
      </c>
    </row>
    <row r="4116" spans="1:2">
      <c r="A4116" s="1" t="s">
        <v>4676</v>
      </c>
      <c r="B4116" t="s">
        <v>10296</v>
      </c>
    </row>
    <row r="4117" spans="1:2">
      <c r="A4117" s="1" t="s">
        <v>4677</v>
      </c>
      <c r="B4117" t="s">
        <v>10246</v>
      </c>
    </row>
    <row r="4118" spans="1:2">
      <c r="A4118" s="1" t="s">
        <v>4678</v>
      </c>
      <c r="B4118" t="s">
        <v>10293</v>
      </c>
    </row>
    <row r="4119" spans="1:2">
      <c r="A4119" s="1" t="s">
        <v>4679</v>
      </c>
      <c r="B4119" t="s">
        <v>10243</v>
      </c>
    </row>
    <row r="4120" spans="1:2">
      <c r="A4120" s="1" t="s">
        <v>45</v>
      </c>
      <c r="B4120" t="s">
        <v>10286</v>
      </c>
    </row>
    <row r="4121" spans="1:2">
      <c r="A4121" s="1" t="s">
        <v>4680</v>
      </c>
      <c r="B4121" t="s">
        <v>10436</v>
      </c>
    </row>
    <row r="4122" spans="1:2">
      <c r="A4122" s="1" t="s">
        <v>4681</v>
      </c>
      <c r="B4122" t="s">
        <v>10287</v>
      </c>
    </row>
    <row r="4123" spans="1:2">
      <c r="A4123" s="1" t="s">
        <v>446</v>
      </c>
      <c r="B4123" t="s">
        <v>10308</v>
      </c>
    </row>
    <row r="4124" spans="1:2">
      <c r="A4124" s="1" t="s">
        <v>4682</v>
      </c>
      <c r="B4124" t="s">
        <v>10488</v>
      </c>
    </row>
    <row r="4125" spans="1:2">
      <c r="A4125" s="1" t="s">
        <v>4683</v>
      </c>
      <c r="B4125" t="s">
        <v>10251</v>
      </c>
    </row>
    <row r="4126" spans="1:2">
      <c r="A4126" s="1" t="s">
        <v>4684</v>
      </c>
      <c r="B4126" t="s">
        <v>903</v>
      </c>
    </row>
    <row r="4127" spans="1:2">
      <c r="A4127" s="1" t="s">
        <v>4685</v>
      </c>
      <c r="B4127" t="s">
        <v>10265</v>
      </c>
    </row>
    <row r="4128" spans="1:2">
      <c r="A4128" s="1" t="s">
        <v>4686</v>
      </c>
      <c r="B4128" t="s">
        <v>10251</v>
      </c>
    </row>
    <row r="4129" spans="1:2">
      <c r="A4129" s="1" t="s">
        <v>4687</v>
      </c>
      <c r="B4129" t="s">
        <v>10304</v>
      </c>
    </row>
    <row r="4130" spans="1:2">
      <c r="A4130" s="1" t="s">
        <v>4688</v>
      </c>
      <c r="B4130" t="s">
        <v>10296</v>
      </c>
    </row>
    <row r="4131" spans="1:2">
      <c r="A4131" s="1" t="s">
        <v>4689</v>
      </c>
      <c r="B4131" t="s">
        <v>10261</v>
      </c>
    </row>
    <row r="4132" spans="1:2">
      <c r="A4132" s="1" t="s">
        <v>27</v>
      </c>
      <c r="B4132" t="s">
        <v>10283</v>
      </c>
    </row>
    <row r="4133" spans="1:2">
      <c r="A4133" s="1" t="s">
        <v>4690</v>
      </c>
      <c r="B4133" t="s">
        <v>10478</v>
      </c>
    </row>
    <row r="4134" spans="1:2">
      <c r="A4134" s="1" t="s">
        <v>4691</v>
      </c>
      <c r="B4134" t="s">
        <v>903</v>
      </c>
    </row>
    <row r="4135" spans="1:2">
      <c r="A4135" s="1" t="s">
        <v>4692</v>
      </c>
      <c r="B4135" t="s">
        <v>10246</v>
      </c>
    </row>
    <row r="4136" spans="1:2">
      <c r="A4136" s="1" t="s">
        <v>4693</v>
      </c>
      <c r="B4136" t="s">
        <v>10387</v>
      </c>
    </row>
    <row r="4137" spans="1:2">
      <c r="A4137" s="1" t="s">
        <v>702</v>
      </c>
      <c r="B4137" t="s">
        <v>10250</v>
      </c>
    </row>
    <row r="4138" spans="1:2">
      <c r="A4138" s="1" t="s">
        <v>4694</v>
      </c>
      <c r="B4138" t="s">
        <v>10309</v>
      </c>
    </row>
    <row r="4139" spans="1:2">
      <c r="A4139" s="1" t="s">
        <v>4695</v>
      </c>
      <c r="B4139" t="s">
        <v>10392</v>
      </c>
    </row>
    <row r="4140" spans="1:2">
      <c r="A4140" s="1" t="s">
        <v>4696</v>
      </c>
      <c r="B4140" t="s">
        <v>10262</v>
      </c>
    </row>
    <row r="4141" spans="1:2">
      <c r="A4141" s="1" t="s">
        <v>4697</v>
      </c>
      <c r="B4141" t="s">
        <v>10294</v>
      </c>
    </row>
    <row r="4142" spans="1:2">
      <c r="A4142" s="1" t="s">
        <v>4698</v>
      </c>
      <c r="B4142" t="s">
        <v>10426</v>
      </c>
    </row>
    <row r="4143" spans="1:2">
      <c r="A4143" s="1" t="s">
        <v>4699</v>
      </c>
      <c r="B4143" t="s">
        <v>10250</v>
      </c>
    </row>
    <row r="4144" spans="1:2">
      <c r="A4144" s="1" t="s">
        <v>4700</v>
      </c>
      <c r="B4144" t="s">
        <v>10244</v>
      </c>
    </row>
    <row r="4145" spans="1:2">
      <c r="A4145" s="1" t="s">
        <v>4701</v>
      </c>
      <c r="B4145" t="s">
        <v>10463</v>
      </c>
    </row>
    <row r="4146" spans="1:2">
      <c r="A4146" s="1" t="s">
        <v>4702</v>
      </c>
      <c r="B4146" t="s">
        <v>10246</v>
      </c>
    </row>
    <row r="4147" spans="1:2">
      <c r="A4147" s="1" t="s">
        <v>4703</v>
      </c>
      <c r="B4147" t="s">
        <v>10364</v>
      </c>
    </row>
    <row r="4148" spans="1:2">
      <c r="A4148" s="1" t="s">
        <v>4704</v>
      </c>
      <c r="B4148" t="s">
        <v>10287</v>
      </c>
    </row>
    <row r="4149" spans="1:2">
      <c r="A4149" s="1" t="s">
        <v>4705</v>
      </c>
      <c r="B4149" t="s">
        <v>10436</v>
      </c>
    </row>
    <row r="4150" spans="1:2">
      <c r="A4150" s="1" t="s">
        <v>342</v>
      </c>
      <c r="B4150" t="s">
        <v>10260</v>
      </c>
    </row>
    <row r="4151" spans="1:2">
      <c r="A4151" s="1" t="s">
        <v>4706</v>
      </c>
      <c r="B4151" t="s">
        <v>10244</v>
      </c>
    </row>
    <row r="4152" spans="1:2">
      <c r="A4152" s="1" t="s">
        <v>4707</v>
      </c>
      <c r="B4152" t="s">
        <v>10250</v>
      </c>
    </row>
    <row r="4153" spans="1:2">
      <c r="A4153" s="1" t="s">
        <v>4708</v>
      </c>
      <c r="B4153" t="s">
        <v>10334</v>
      </c>
    </row>
    <row r="4154" spans="1:2">
      <c r="A4154" s="1" t="s">
        <v>4709</v>
      </c>
      <c r="B4154" t="s">
        <v>10249</v>
      </c>
    </row>
    <row r="4155" spans="1:2">
      <c r="A4155" s="1" t="s">
        <v>4710</v>
      </c>
      <c r="B4155" t="s">
        <v>10387</v>
      </c>
    </row>
    <row r="4156" spans="1:2">
      <c r="A4156" s="1" t="s">
        <v>4711</v>
      </c>
      <c r="B4156" t="s">
        <v>10277</v>
      </c>
    </row>
    <row r="4157" spans="1:2">
      <c r="A4157" s="1" t="s">
        <v>4712</v>
      </c>
      <c r="B4157" t="s">
        <v>10260</v>
      </c>
    </row>
    <row r="4158" spans="1:2">
      <c r="A4158" s="1" t="s">
        <v>4713</v>
      </c>
      <c r="B4158" t="s">
        <v>10340</v>
      </c>
    </row>
    <row r="4159" spans="1:2">
      <c r="A4159" s="1" t="s">
        <v>4714</v>
      </c>
      <c r="B4159" t="s">
        <v>10245</v>
      </c>
    </row>
    <row r="4160" spans="1:2">
      <c r="A4160" s="1" t="s">
        <v>4715</v>
      </c>
      <c r="B4160" t="s">
        <v>10250</v>
      </c>
    </row>
    <row r="4161" spans="1:2">
      <c r="A4161" s="1" t="s">
        <v>4716</v>
      </c>
      <c r="B4161" t="s">
        <v>10266</v>
      </c>
    </row>
    <row r="4162" spans="1:2">
      <c r="A4162" s="1" t="s">
        <v>4717</v>
      </c>
      <c r="B4162" t="s">
        <v>10251</v>
      </c>
    </row>
    <row r="4163" spans="1:2">
      <c r="A4163" s="1" t="s">
        <v>285</v>
      </c>
      <c r="B4163" t="s">
        <v>10463</v>
      </c>
    </row>
    <row r="4164" spans="1:2">
      <c r="A4164" s="1" t="s">
        <v>4718</v>
      </c>
      <c r="B4164" t="s">
        <v>10255</v>
      </c>
    </row>
    <row r="4165" spans="1:2">
      <c r="A4165" s="1" t="s">
        <v>4719</v>
      </c>
      <c r="B4165" t="s">
        <v>10255</v>
      </c>
    </row>
    <row r="4166" spans="1:2">
      <c r="A4166" s="1" t="s">
        <v>4720</v>
      </c>
      <c r="B4166" t="s">
        <v>10255</v>
      </c>
    </row>
    <row r="4167" spans="1:2">
      <c r="A4167" s="1" t="s">
        <v>4721</v>
      </c>
      <c r="B4167" t="s">
        <v>10391</v>
      </c>
    </row>
    <row r="4168" spans="1:2">
      <c r="A4168" s="1" t="s">
        <v>4722</v>
      </c>
      <c r="B4168" t="s">
        <v>10266</v>
      </c>
    </row>
    <row r="4169" spans="1:2">
      <c r="A4169" s="1" t="s">
        <v>4723</v>
      </c>
      <c r="B4169" t="s">
        <v>10261</v>
      </c>
    </row>
    <row r="4170" spans="1:2">
      <c r="A4170" s="1" t="s">
        <v>59</v>
      </c>
      <c r="B4170" t="s">
        <v>10307</v>
      </c>
    </row>
    <row r="4171" spans="1:2">
      <c r="A4171" s="1" t="s">
        <v>254</v>
      </c>
      <c r="B4171" t="s">
        <v>10323</v>
      </c>
    </row>
    <row r="4172" spans="1:2">
      <c r="A4172" s="1" t="s">
        <v>4724</v>
      </c>
      <c r="B4172" t="s">
        <v>10513</v>
      </c>
    </row>
    <row r="4173" spans="1:2">
      <c r="A4173" s="1" t="s">
        <v>4725</v>
      </c>
      <c r="B4173" t="s">
        <v>10307</v>
      </c>
    </row>
    <row r="4174" spans="1:2">
      <c r="A4174" s="1" t="s">
        <v>4726</v>
      </c>
      <c r="B4174" t="s">
        <v>10246</v>
      </c>
    </row>
    <row r="4175" spans="1:2">
      <c r="A4175" s="1" t="s">
        <v>4727</v>
      </c>
      <c r="B4175" t="s">
        <v>10265</v>
      </c>
    </row>
    <row r="4176" spans="1:2">
      <c r="A4176" s="1" t="s">
        <v>4728</v>
      </c>
      <c r="B4176" t="s">
        <v>10261</v>
      </c>
    </row>
    <row r="4177" spans="1:2">
      <c r="A4177" s="1" t="s">
        <v>4729</v>
      </c>
      <c r="B4177" t="s">
        <v>10315</v>
      </c>
    </row>
    <row r="4178" spans="1:2">
      <c r="A4178" s="1" t="s">
        <v>150</v>
      </c>
      <c r="B4178" t="s">
        <v>10353</v>
      </c>
    </row>
    <row r="4179" spans="1:2">
      <c r="A4179" s="1" t="s">
        <v>4730</v>
      </c>
      <c r="B4179" t="s">
        <v>10436</v>
      </c>
    </row>
    <row r="4180" spans="1:2">
      <c r="A4180" s="1" t="s">
        <v>4731</v>
      </c>
      <c r="B4180" t="s">
        <v>10251</v>
      </c>
    </row>
    <row r="4181" spans="1:2">
      <c r="A4181" s="1" t="s">
        <v>4732</v>
      </c>
      <c r="B4181" t="s">
        <v>903</v>
      </c>
    </row>
    <row r="4182" spans="1:2">
      <c r="A4182" s="1" t="s">
        <v>552</v>
      </c>
      <c r="B4182" t="s">
        <v>10514</v>
      </c>
    </row>
    <row r="4183" spans="1:2">
      <c r="A4183" s="1" t="s">
        <v>4733</v>
      </c>
      <c r="B4183" t="s">
        <v>10434</v>
      </c>
    </row>
    <row r="4184" spans="1:2">
      <c r="A4184" s="1" t="s">
        <v>4734</v>
      </c>
      <c r="B4184" t="s">
        <v>10408</v>
      </c>
    </row>
    <row r="4185" spans="1:2">
      <c r="A4185" s="1" t="s">
        <v>4735</v>
      </c>
      <c r="B4185" t="s">
        <v>10283</v>
      </c>
    </row>
    <row r="4186" spans="1:2">
      <c r="A4186" s="1" t="s">
        <v>4736</v>
      </c>
      <c r="B4186" t="s">
        <v>10261</v>
      </c>
    </row>
    <row r="4187" spans="1:2">
      <c r="A4187" s="1" t="s">
        <v>441</v>
      </c>
      <c r="B4187" t="s">
        <v>10264</v>
      </c>
    </row>
    <row r="4188" spans="1:2">
      <c r="A4188" s="1" t="s">
        <v>4737</v>
      </c>
      <c r="B4188" t="s">
        <v>10277</v>
      </c>
    </row>
    <row r="4189" spans="1:2">
      <c r="A4189" s="1" t="s">
        <v>108</v>
      </c>
      <c r="B4189" t="s">
        <v>10259</v>
      </c>
    </row>
    <row r="4190" spans="1:2">
      <c r="A4190" s="1" t="s">
        <v>4738</v>
      </c>
      <c r="B4190" t="s">
        <v>10311</v>
      </c>
    </row>
    <row r="4191" spans="1:2">
      <c r="A4191" s="1" t="s">
        <v>4739</v>
      </c>
      <c r="B4191" t="s">
        <v>10304</v>
      </c>
    </row>
    <row r="4192" spans="1:2">
      <c r="A4192" s="1" t="s">
        <v>4740</v>
      </c>
      <c r="B4192" t="s">
        <v>10245</v>
      </c>
    </row>
    <row r="4193" spans="1:2">
      <c r="A4193" s="1" t="s">
        <v>4741</v>
      </c>
      <c r="B4193" t="s">
        <v>903</v>
      </c>
    </row>
    <row r="4194" spans="1:2">
      <c r="A4194" s="1" t="s">
        <v>252</v>
      </c>
      <c r="B4194" t="s">
        <v>10260</v>
      </c>
    </row>
    <row r="4195" spans="1:2">
      <c r="A4195" s="1" t="s">
        <v>4742</v>
      </c>
      <c r="B4195" t="s">
        <v>10245</v>
      </c>
    </row>
    <row r="4196" spans="1:2">
      <c r="A4196" s="1" t="s">
        <v>4743</v>
      </c>
      <c r="B4196" t="s">
        <v>10346</v>
      </c>
    </row>
    <row r="4197" spans="1:2">
      <c r="A4197" s="1" t="s">
        <v>4744</v>
      </c>
      <c r="B4197" t="s">
        <v>10265</v>
      </c>
    </row>
    <row r="4198" spans="1:2">
      <c r="A4198" s="1" t="s">
        <v>4745</v>
      </c>
      <c r="B4198" t="s">
        <v>10515</v>
      </c>
    </row>
    <row r="4199" spans="1:2">
      <c r="A4199" s="1" t="s">
        <v>4746</v>
      </c>
      <c r="B4199" t="s">
        <v>10323</v>
      </c>
    </row>
    <row r="4200" spans="1:2">
      <c r="A4200" s="1" t="s">
        <v>4747</v>
      </c>
      <c r="B4200" t="s">
        <v>10424</v>
      </c>
    </row>
    <row r="4201" spans="1:2">
      <c r="A4201" s="1" t="s">
        <v>4748</v>
      </c>
      <c r="B4201" t="s">
        <v>10283</v>
      </c>
    </row>
    <row r="4202" spans="1:2">
      <c r="A4202" s="1" t="s">
        <v>714</v>
      </c>
      <c r="B4202" t="s">
        <v>10271</v>
      </c>
    </row>
    <row r="4203" spans="1:2">
      <c r="A4203" s="1" t="s">
        <v>4749</v>
      </c>
      <c r="B4203" t="s">
        <v>10286</v>
      </c>
    </row>
    <row r="4204" spans="1:2">
      <c r="A4204" s="1" t="s">
        <v>4750</v>
      </c>
      <c r="B4204" t="s">
        <v>10419</v>
      </c>
    </row>
    <row r="4205" spans="1:2">
      <c r="A4205" s="1" t="s">
        <v>556</v>
      </c>
      <c r="B4205" t="s">
        <v>10261</v>
      </c>
    </row>
    <row r="4206" spans="1:2">
      <c r="A4206" s="1" t="s">
        <v>4751</v>
      </c>
      <c r="B4206" t="s">
        <v>10251</v>
      </c>
    </row>
    <row r="4207" spans="1:2">
      <c r="A4207" s="1" t="s">
        <v>4752</v>
      </c>
      <c r="B4207" t="s">
        <v>10293</v>
      </c>
    </row>
    <row r="4208" spans="1:2">
      <c r="A4208" s="1" t="s">
        <v>4753</v>
      </c>
      <c r="B4208" t="s">
        <v>10340</v>
      </c>
    </row>
    <row r="4209" spans="1:2">
      <c r="A4209" s="1" t="s">
        <v>4754</v>
      </c>
      <c r="B4209" t="s">
        <v>903</v>
      </c>
    </row>
    <row r="4210" spans="1:2">
      <c r="A4210" s="1" t="s">
        <v>4755</v>
      </c>
      <c r="B4210" t="s">
        <v>10265</v>
      </c>
    </row>
    <row r="4211" spans="1:2">
      <c r="A4211" s="1" t="s">
        <v>4756</v>
      </c>
      <c r="B4211" t="s">
        <v>10378</v>
      </c>
    </row>
    <row r="4212" spans="1:2">
      <c r="A4212" s="1" t="s">
        <v>4757</v>
      </c>
      <c r="B4212" t="s">
        <v>10304</v>
      </c>
    </row>
    <row r="4213" spans="1:2">
      <c r="A4213" s="1" t="s">
        <v>4758</v>
      </c>
      <c r="B4213" t="s">
        <v>10283</v>
      </c>
    </row>
    <row r="4214" spans="1:2">
      <c r="A4214" s="1" t="s">
        <v>4759</v>
      </c>
      <c r="B4214" t="s">
        <v>10347</v>
      </c>
    </row>
    <row r="4215" spans="1:2">
      <c r="A4215" s="1" t="s">
        <v>4760</v>
      </c>
      <c r="B4215" t="s">
        <v>10262</v>
      </c>
    </row>
    <row r="4216" spans="1:2">
      <c r="A4216" s="1" t="s">
        <v>4761</v>
      </c>
      <c r="B4216" t="s">
        <v>10246</v>
      </c>
    </row>
    <row r="4217" spans="1:2">
      <c r="A4217" s="1" t="s">
        <v>4762</v>
      </c>
      <c r="B4217" t="s">
        <v>10297</v>
      </c>
    </row>
    <row r="4218" spans="1:2">
      <c r="A4218" s="1" t="s">
        <v>316</v>
      </c>
      <c r="B4218" t="s">
        <v>10287</v>
      </c>
    </row>
    <row r="4219" spans="1:2">
      <c r="A4219" s="1" t="s">
        <v>4763</v>
      </c>
      <c r="B4219" t="s">
        <v>10246</v>
      </c>
    </row>
    <row r="4220" spans="1:2">
      <c r="A4220" s="1" t="s">
        <v>4764</v>
      </c>
      <c r="B4220" t="s">
        <v>10246</v>
      </c>
    </row>
    <row r="4221" spans="1:2">
      <c r="A4221" s="1" t="s">
        <v>4765</v>
      </c>
      <c r="B4221" t="s">
        <v>10277</v>
      </c>
    </row>
    <row r="4222" spans="1:2">
      <c r="A4222" s="1" t="s">
        <v>4766</v>
      </c>
      <c r="B4222" t="s">
        <v>10319</v>
      </c>
    </row>
    <row r="4223" spans="1:2">
      <c r="A4223" s="1" t="s">
        <v>4767</v>
      </c>
      <c r="B4223" t="s">
        <v>10425</v>
      </c>
    </row>
    <row r="4224" spans="1:2">
      <c r="A4224" s="1" t="s">
        <v>4768</v>
      </c>
      <c r="B4224" t="s">
        <v>10309</v>
      </c>
    </row>
    <row r="4225" spans="1:2">
      <c r="A4225" s="1" t="s">
        <v>4769</v>
      </c>
      <c r="B4225" t="s">
        <v>10501</v>
      </c>
    </row>
    <row r="4226" spans="1:2">
      <c r="A4226" s="1" t="s">
        <v>4770</v>
      </c>
      <c r="B4226" t="s">
        <v>10458</v>
      </c>
    </row>
    <row r="4227" spans="1:2">
      <c r="A4227" s="1" t="s">
        <v>4771</v>
      </c>
      <c r="B4227" t="s">
        <v>10317</v>
      </c>
    </row>
    <row r="4228" spans="1:2">
      <c r="A4228" s="1" t="s">
        <v>52</v>
      </c>
      <c r="B4228" t="s">
        <v>10343</v>
      </c>
    </row>
    <row r="4229" spans="1:2">
      <c r="A4229" s="1" t="s">
        <v>4772</v>
      </c>
      <c r="B4229" t="s">
        <v>10360</v>
      </c>
    </row>
    <row r="4230" spans="1:2">
      <c r="A4230" s="1" t="s">
        <v>4773</v>
      </c>
      <c r="B4230" t="s">
        <v>10255</v>
      </c>
    </row>
    <row r="4231" spans="1:2">
      <c r="A4231" s="1" t="s">
        <v>4774</v>
      </c>
      <c r="B4231" t="s">
        <v>10340</v>
      </c>
    </row>
    <row r="4232" spans="1:2">
      <c r="A4232" s="1" t="s">
        <v>4775</v>
      </c>
      <c r="B4232" t="s">
        <v>10326</v>
      </c>
    </row>
    <row r="4233" spans="1:2">
      <c r="A4233" s="1" t="s">
        <v>140</v>
      </c>
      <c r="B4233" t="s">
        <v>10245</v>
      </c>
    </row>
    <row r="4234" spans="1:2">
      <c r="A4234" s="1" t="s">
        <v>4776</v>
      </c>
      <c r="B4234" t="s">
        <v>10307</v>
      </c>
    </row>
    <row r="4235" spans="1:2">
      <c r="A4235" s="1" t="s">
        <v>387</v>
      </c>
      <c r="B4235" t="s">
        <v>10265</v>
      </c>
    </row>
    <row r="4236" spans="1:2">
      <c r="A4236" s="1" t="s">
        <v>4777</v>
      </c>
      <c r="B4236" t="s">
        <v>10261</v>
      </c>
    </row>
    <row r="4237" spans="1:2">
      <c r="A4237" s="1" t="s">
        <v>4778</v>
      </c>
      <c r="B4237" t="s">
        <v>10374</v>
      </c>
    </row>
    <row r="4238" spans="1:2">
      <c r="A4238" s="1" t="s">
        <v>472</v>
      </c>
      <c r="B4238" t="s">
        <v>10327</v>
      </c>
    </row>
    <row r="4239" spans="1:2">
      <c r="A4239" s="1" t="s">
        <v>4779</v>
      </c>
      <c r="B4239" t="s">
        <v>10308</v>
      </c>
    </row>
    <row r="4240" spans="1:2">
      <c r="A4240" s="1" t="s">
        <v>130</v>
      </c>
      <c r="B4240" t="s">
        <v>10298</v>
      </c>
    </row>
    <row r="4241" spans="1:2">
      <c r="A4241" s="1" t="s">
        <v>4780</v>
      </c>
      <c r="B4241" t="s">
        <v>10277</v>
      </c>
    </row>
    <row r="4242" spans="1:2">
      <c r="A4242" s="1" t="s">
        <v>4781</v>
      </c>
      <c r="B4242" t="s">
        <v>10311</v>
      </c>
    </row>
    <row r="4243" spans="1:2">
      <c r="A4243" s="1" t="s">
        <v>4782</v>
      </c>
      <c r="B4243" t="s">
        <v>903</v>
      </c>
    </row>
    <row r="4244" spans="1:2">
      <c r="A4244" s="1" t="s">
        <v>4783</v>
      </c>
      <c r="B4244" t="s">
        <v>10290</v>
      </c>
    </row>
    <row r="4245" spans="1:2">
      <c r="A4245" s="1" t="s">
        <v>4784</v>
      </c>
      <c r="B4245" t="s">
        <v>10455</v>
      </c>
    </row>
    <row r="4246" spans="1:2">
      <c r="A4246" s="1" t="s">
        <v>4785</v>
      </c>
      <c r="B4246" t="s">
        <v>10277</v>
      </c>
    </row>
    <row r="4247" spans="1:2">
      <c r="A4247" s="1" t="s">
        <v>4786</v>
      </c>
      <c r="B4247" t="s">
        <v>10294</v>
      </c>
    </row>
    <row r="4248" spans="1:2">
      <c r="A4248" s="1" t="s">
        <v>186</v>
      </c>
      <c r="B4248" t="s">
        <v>10308</v>
      </c>
    </row>
    <row r="4249" spans="1:2">
      <c r="A4249" s="1" t="s">
        <v>4787</v>
      </c>
      <c r="B4249" t="s">
        <v>10299</v>
      </c>
    </row>
    <row r="4250" spans="1:2">
      <c r="A4250" s="1" t="s">
        <v>4788</v>
      </c>
      <c r="B4250" t="s">
        <v>10251</v>
      </c>
    </row>
    <row r="4251" spans="1:2">
      <c r="A4251" s="1" t="s">
        <v>4789</v>
      </c>
      <c r="B4251" t="s">
        <v>10251</v>
      </c>
    </row>
    <row r="4252" spans="1:2">
      <c r="A4252" s="1" t="s">
        <v>117</v>
      </c>
      <c r="B4252" t="s">
        <v>10250</v>
      </c>
    </row>
    <row r="4253" spans="1:2">
      <c r="A4253" s="1" t="s">
        <v>4790</v>
      </c>
      <c r="B4253" t="s">
        <v>10246</v>
      </c>
    </row>
    <row r="4254" spans="1:2">
      <c r="A4254" s="1" t="s">
        <v>4791</v>
      </c>
      <c r="B4254" t="s">
        <v>10281</v>
      </c>
    </row>
    <row r="4255" spans="1:2">
      <c r="A4255" s="1" t="s">
        <v>4792</v>
      </c>
      <c r="B4255" t="s">
        <v>10420</v>
      </c>
    </row>
    <row r="4256" spans="1:2">
      <c r="A4256" s="1" t="s">
        <v>404</v>
      </c>
      <c r="B4256" t="s">
        <v>10244</v>
      </c>
    </row>
    <row r="4257" spans="1:2">
      <c r="A4257" s="1" t="s">
        <v>4793</v>
      </c>
      <c r="B4257" t="s">
        <v>10246</v>
      </c>
    </row>
    <row r="4258" spans="1:2">
      <c r="A4258" s="1" t="s">
        <v>4794</v>
      </c>
      <c r="B4258" t="s">
        <v>10329</v>
      </c>
    </row>
    <row r="4259" spans="1:2">
      <c r="A4259" s="1" t="s">
        <v>4795</v>
      </c>
      <c r="B4259" t="s">
        <v>10315</v>
      </c>
    </row>
    <row r="4260" spans="1:2">
      <c r="A4260" s="1" t="s">
        <v>4796</v>
      </c>
      <c r="B4260" t="s">
        <v>10463</v>
      </c>
    </row>
    <row r="4261" spans="1:2">
      <c r="A4261" s="1" t="s">
        <v>4797</v>
      </c>
      <c r="B4261" t="s">
        <v>10283</v>
      </c>
    </row>
    <row r="4262" spans="1:2">
      <c r="A4262" s="1" t="s">
        <v>4798</v>
      </c>
      <c r="B4262" t="s">
        <v>10408</v>
      </c>
    </row>
    <row r="4263" spans="1:2">
      <c r="A4263" s="1" t="s">
        <v>4799</v>
      </c>
      <c r="B4263" t="s">
        <v>10382</v>
      </c>
    </row>
    <row r="4264" spans="1:2">
      <c r="A4264" s="1" t="s">
        <v>4800</v>
      </c>
      <c r="B4264" t="s">
        <v>10364</v>
      </c>
    </row>
    <row r="4265" spans="1:2">
      <c r="A4265" s="1" t="s">
        <v>4801</v>
      </c>
      <c r="B4265" t="s">
        <v>10307</v>
      </c>
    </row>
    <row r="4266" spans="1:2">
      <c r="A4266" s="1" t="s">
        <v>4802</v>
      </c>
      <c r="B4266" t="s">
        <v>10293</v>
      </c>
    </row>
    <row r="4267" spans="1:2">
      <c r="A4267" s="1" t="s">
        <v>141</v>
      </c>
      <c r="B4267" t="s">
        <v>10298</v>
      </c>
    </row>
    <row r="4268" spans="1:2">
      <c r="A4268" s="1" t="s">
        <v>4803</v>
      </c>
      <c r="B4268" t="s">
        <v>10244</v>
      </c>
    </row>
    <row r="4269" spans="1:2">
      <c r="A4269" s="1" t="s">
        <v>4804</v>
      </c>
      <c r="B4269" t="s">
        <v>10481</v>
      </c>
    </row>
    <row r="4270" spans="1:2">
      <c r="A4270" s="1" t="s">
        <v>4805</v>
      </c>
      <c r="B4270" t="s">
        <v>10298</v>
      </c>
    </row>
    <row r="4271" spans="1:2">
      <c r="A4271" s="1" t="s">
        <v>4806</v>
      </c>
      <c r="B4271" t="s">
        <v>10255</v>
      </c>
    </row>
    <row r="4272" spans="1:2">
      <c r="A4272" s="1" t="s">
        <v>4807</v>
      </c>
      <c r="B4272" t="s">
        <v>10435</v>
      </c>
    </row>
    <row r="4273" spans="1:2">
      <c r="A4273" s="1" t="s">
        <v>4808</v>
      </c>
      <c r="B4273" t="s">
        <v>903</v>
      </c>
    </row>
    <row r="4274" spans="1:2">
      <c r="A4274" s="1" t="s">
        <v>272</v>
      </c>
      <c r="B4274" t="s">
        <v>10265</v>
      </c>
    </row>
    <row r="4275" spans="1:2">
      <c r="A4275" s="1" t="s">
        <v>4809</v>
      </c>
      <c r="B4275" t="s">
        <v>10280</v>
      </c>
    </row>
    <row r="4276" spans="1:2">
      <c r="A4276" s="1" t="s">
        <v>4810</v>
      </c>
      <c r="B4276" t="s">
        <v>10432</v>
      </c>
    </row>
    <row r="4277" spans="1:2">
      <c r="A4277" s="1" t="s">
        <v>4811</v>
      </c>
      <c r="B4277" t="s">
        <v>903</v>
      </c>
    </row>
    <row r="4278" spans="1:2">
      <c r="A4278" s="1" t="s">
        <v>4812</v>
      </c>
      <c r="B4278" t="s">
        <v>10266</v>
      </c>
    </row>
    <row r="4279" spans="1:2">
      <c r="A4279" s="1" t="s">
        <v>375</v>
      </c>
      <c r="B4279" t="s">
        <v>10261</v>
      </c>
    </row>
    <row r="4280" spans="1:2">
      <c r="A4280" s="1" t="s">
        <v>4813</v>
      </c>
      <c r="B4280" t="s">
        <v>10304</v>
      </c>
    </row>
    <row r="4281" spans="1:2">
      <c r="A4281" s="1" t="s">
        <v>4814</v>
      </c>
      <c r="B4281" t="s">
        <v>10277</v>
      </c>
    </row>
    <row r="4282" spans="1:2">
      <c r="A4282" s="1" t="s">
        <v>4815</v>
      </c>
      <c r="B4282" t="s">
        <v>10345</v>
      </c>
    </row>
    <row r="4283" spans="1:2">
      <c r="A4283" s="1" t="s">
        <v>4816</v>
      </c>
      <c r="B4283" t="s">
        <v>10255</v>
      </c>
    </row>
    <row r="4284" spans="1:2">
      <c r="A4284" s="1" t="s">
        <v>4817</v>
      </c>
      <c r="B4284" t="s">
        <v>10250</v>
      </c>
    </row>
    <row r="4285" spans="1:2">
      <c r="A4285" s="1" t="s">
        <v>4818</v>
      </c>
      <c r="B4285" t="s">
        <v>10244</v>
      </c>
    </row>
    <row r="4286" spans="1:2">
      <c r="A4286" s="1" t="s">
        <v>4819</v>
      </c>
      <c r="B4286" t="s">
        <v>10261</v>
      </c>
    </row>
    <row r="4287" spans="1:2">
      <c r="A4287" s="1" t="s">
        <v>4820</v>
      </c>
      <c r="B4287" t="s">
        <v>10250</v>
      </c>
    </row>
    <row r="4288" spans="1:2">
      <c r="A4288" s="1" t="s">
        <v>4821</v>
      </c>
      <c r="B4288" t="s">
        <v>10390</v>
      </c>
    </row>
    <row r="4289" spans="1:2">
      <c r="A4289" s="1" t="s">
        <v>4822</v>
      </c>
      <c r="B4289" t="s">
        <v>10293</v>
      </c>
    </row>
    <row r="4290" spans="1:2">
      <c r="A4290" s="1" t="s">
        <v>4823</v>
      </c>
      <c r="B4290" t="s">
        <v>10253</v>
      </c>
    </row>
    <row r="4291" spans="1:2">
      <c r="A4291" s="1" t="s">
        <v>4824</v>
      </c>
      <c r="B4291" t="s">
        <v>10281</v>
      </c>
    </row>
    <row r="4292" spans="1:2">
      <c r="A4292" s="1" t="s">
        <v>4825</v>
      </c>
      <c r="B4292" t="s">
        <v>10349</v>
      </c>
    </row>
    <row r="4293" spans="1:2">
      <c r="A4293" s="1" t="s">
        <v>4826</v>
      </c>
      <c r="B4293" t="s">
        <v>10284</v>
      </c>
    </row>
    <row r="4294" spans="1:2">
      <c r="A4294" s="1" t="s">
        <v>4827</v>
      </c>
      <c r="B4294" t="s">
        <v>10298</v>
      </c>
    </row>
    <row r="4295" spans="1:2">
      <c r="A4295" s="1" t="s">
        <v>4828</v>
      </c>
      <c r="B4295" t="s">
        <v>10287</v>
      </c>
    </row>
    <row r="4296" spans="1:2">
      <c r="A4296" s="1" t="s">
        <v>4829</v>
      </c>
      <c r="B4296" t="s">
        <v>10415</v>
      </c>
    </row>
    <row r="4297" spans="1:2">
      <c r="A4297" s="1" t="s">
        <v>4830</v>
      </c>
      <c r="B4297" t="s">
        <v>10288</v>
      </c>
    </row>
    <row r="4298" spans="1:2">
      <c r="A4298" s="1" t="s">
        <v>4831</v>
      </c>
      <c r="B4298" t="s">
        <v>10330</v>
      </c>
    </row>
    <row r="4299" spans="1:2">
      <c r="A4299" s="1" t="s">
        <v>4832</v>
      </c>
      <c r="B4299" t="s">
        <v>10265</v>
      </c>
    </row>
    <row r="4300" spans="1:2">
      <c r="A4300" s="1" t="s">
        <v>4833</v>
      </c>
      <c r="B4300" t="s">
        <v>10390</v>
      </c>
    </row>
    <row r="4301" spans="1:2">
      <c r="A4301" s="1" t="s">
        <v>4834</v>
      </c>
      <c r="B4301" t="s">
        <v>10261</v>
      </c>
    </row>
    <row r="4302" spans="1:2">
      <c r="A4302" s="1" t="s">
        <v>478</v>
      </c>
      <c r="B4302" t="s">
        <v>10261</v>
      </c>
    </row>
    <row r="4303" spans="1:2">
      <c r="A4303" s="1" t="s">
        <v>4835</v>
      </c>
      <c r="B4303" t="s">
        <v>10266</v>
      </c>
    </row>
    <row r="4304" spans="1:2">
      <c r="A4304" s="1" t="s">
        <v>347</v>
      </c>
      <c r="B4304" t="s">
        <v>10343</v>
      </c>
    </row>
    <row r="4305" spans="1:2">
      <c r="A4305" s="1" t="s">
        <v>4836</v>
      </c>
      <c r="B4305" t="s">
        <v>10378</v>
      </c>
    </row>
    <row r="4306" spans="1:2">
      <c r="A4306" s="1" t="s">
        <v>4837</v>
      </c>
      <c r="B4306" t="s">
        <v>10305</v>
      </c>
    </row>
    <row r="4307" spans="1:2">
      <c r="A4307" s="1" t="s">
        <v>4838</v>
      </c>
      <c r="B4307" t="s">
        <v>10290</v>
      </c>
    </row>
    <row r="4308" spans="1:2">
      <c r="A4308" s="1" t="s">
        <v>4839</v>
      </c>
      <c r="B4308" t="s">
        <v>10255</v>
      </c>
    </row>
    <row r="4309" spans="1:2">
      <c r="A4309" s="1" t="s">
        <v>4840</v>
      </c>
      <c r="B4309" t="s">
        <v>903</v>
      </c>
    </row>
    <row r="4310" spans="1:2">
      <c r="A4310" s="1" t="s">
        <v>4841</v>
      </c>
      <c r="B4310" t="s">
        <v>10255</v>
      </c>
    </row>
    <row r="4311" spans="1:2">
      <c r="A4311" s="1" t="s">
        <v>4842</v>
      </c>
      <c r="B4311" t="s">
        <v>10378</v>
      </c>
    </row>
    <row r="4312" spans="1:2">
      <c r="A4312" s="1" t="s">
        <v>4843</v>
      </c>
      <c r="B4312" t="s">
        <v>10263</v>
      </c>
    </row>
    <row r="4313" spans="1:2">
      <c r="A4313" s="1" t="s">
        <v>298</v>
      </c>
      <c r="B4313" t="s">
        <v>10307</v>
      </c>
    </row>
    <row r="4314" spans="1:2">
      <c r="A4314" s="1" t="s">
        <v>183</v>
      </c>
      <c r="B4314" t="s">
        <v>10271</v>
      </c>
    </row>
    <row r="4315" spans="1:2">
      <c r="A4315" s="1" t="s">
        <v>4844</v>
      </c>
      <c r="B4315" t="s">
        <v>10261</v>
      </c>
    </row>
    <row r="4316" spans="1:2">
      <c r="A4316" s="1" t="s">
        <v>4845</v>
      </c>
      <c r="B4316" t="s">
        <v>10369</v>
      </c>
    </row>
    <row r="4317" spans="1:2">
      <c r="A4317" s="1" t="s">
        <v>4846</v>
      </c>
      <c r="B4317" t="s">
        <v>10267</v>
      </c>
    </row>
    <row r="4318" spans="1:2">
      <c r="A4318" s="1" t="s">
        <v>4847</v>
      </c>
      <c r="B4318" t="s">
        <v>10378</v>
      </c>
    </row>
    <row r="4319" spans="1:2">
      <c r="A4319" s="1" t="s">
        <v>4848</v>
      </c>
      <c r="B4319" t="s">
        <v>10245</v>
      </c>
    </row>
    <row r="4320" spans="1:2">
      <c r="A4320" s="1" t="s">
        <v>4849</v>
      </c>
      <c r="B4320" t="s">
        <v>10261</v>
      </c>
    </row>
    <row r="4321" spans="1:2">
      <c r="A4321" s="1" t="s">
        <v>4850</v>
      </c>
      <c r="B4321" t="s">
        <v>10293</v>
      </c>
    </row>
    <row r="4322" spans="1:2">
      <c r="A4322" s="1" t="s">
        <v>4851</v>
      </c>
      <c r="B4322" t="s">
        <v>10261</v>
      </c>
    </row>
    <row r="4323" spans="1:2">
      <c r="A4323" s="1" t="s">
        <v>359</v>
      </c>
      <c r="B4323" t="s">
        <v>10516</v>
      </c>
    </row>
    <row r="4324" spans="1:2">
      <c r="A4324" s="1" t="s">
        <v>4852</v>
      </c>
      <c r="B4324" t="s">
        <v>10251</v>
      </c>
    </row>
    <row r="4325" spans="1:2">
      <c r="A4325" s="1" t="s">
        <v>4853</v>
      </c>
      <c r="B4325" t="s">
        <v>10251</v>
      </c>
    </row>
    <row r="4326" spans="1:2">
      <c r="A4326" s="1" t="s">
        <v>4854</v>
      </c>
      <c r="B4326" t="s">
        <v>10277</v>
      </c>
    </row>
    <row r="4327" spans="1:2">
      <c r="A4327" s="1" t="s">
        <v>4855</v>
      </c>
      <c r="B4327" t="s">
        <v>10391</v>
      </c>
    </row>
    <row r="4328" spans="1:2">
      <c r="A4328" s="1" t="s">
        <v>4856</v>
      </c>
      <c r="B4328" t="s">
        <v>903</v>
      </c>
    </row>
    <row r="4329" spans="1:2">
      <c r="A4329" s="1" t="s">
        <v>4857</v>
      </c>
      <c r="B4329" t="s">
        <v>10455</v>
      </c>
    </row>
    <row r="4330" spans="1:2">
      <c r="A4330" s="1" t="s">
        <v>4858</v>
      </c>
      <c r="B4330" t="s">
        <v>10261</v>
      </c>
    </row>
    <row r="4331" spans="1:2">
      <c r="A4331" s="1" t="s">
        <v>4859</v>
      </c>
      <c r="B4331" t="s">
        <v>10246</v>
      </c>
    </row>
    <row r="4332" spans="1:2">
      <c r="A4332" s="1" t="s">
        <v>4860</v>
      </c>
      <c r="B4332" t="s">
        <v>10421</v>
      </c>
    </row>
    <row r="4333" spans="1:2">
      <c r="A4333" s="1" t="s">
        <v>511</v>
      </c>
      <c r="B4333" t="s">
        <v>10284</v>
      </c>
    </row>
    <row r="4334" spans="1:2">
      <c r="A4334" s="1" t="s">
        <v>4861</v>
      </c>
      <c r="B4334" t="s">
        <v>10246</v>
      </c>
    </row>
    <row r="4335" spans="1:2">
      <c r="A4335" s="1" t="s">
        <v>351</v>
      </c>
      <c r="B4335" t="s">
        <v>10260</v>
      </c>
    </row>
    <row r="4336" spans="1:2">
      <c r="A4336" s="1" t="s">
        <v>4862</v>
      </c>
      <c r="B4336" t="s">
        <v>10251</v>
      </c>
    </row>
    <row r="4337" spans="1:2">
      <c r="A4337" s="1" t="s">
        <v>4863</v>
      </c>
      <c r="B4337" t="s">
        <v>10343</v>
      </c>
    </row>
    <row r="4338" spans="1:2">
      <c r="A4338" s="1" t="s">
        <v>506</v>
      </c>
      <c r="B4338" t="s">
        <v>10334</v>
      </c>
    </row>
    <row r="4339" spans="1:2">
      <c r="A4339" s="1" t="s">
        <v>4864</v>
      </c>
      <c r="B4339" t="s">
        <v>10251</v>
      </c>
    </row>
    <row r="4340" spans="1:2">
      <c r="A4340" s="1" t="s">
        <v>251</v>
      </c>
      <c r="B4340" t="s">
        <v>10343</v>
      </c>
    </row>
    <row r="4341" spans="1:2">
      <c r="A4341" s="1" t="s">
        <v>4865</v>
      </c>
      <c r="B4341" t="s">
        <v>10409</v>
      </c>
    </row>
    <row r="4342" spans="1:2">
      <c r="A4342" s="1" t="s">
        <v>4866</v>
      </c>
      <c r="B4342" t="s">
        <v>10271</v>
      </c>
    </row>
    <row r="4343" spans="1:2">
      <c r="A4343" s="1" t="s">
        <v>392</v>
      </c>
      <c r="B4343" t="s">
        <v>10283</v>
      </c>
    </row>
    <row r="4344" spans="1:2">
      <c r="A4344" s="1" t="s">
        <v>4867</v>
      </c>
      <c r="B4344" t="s">
        <v>10255</v>
      </c>
    </row>
    <row r="4345" spans="1:2">
      <c r="A4345" s="1" t="s">
        <v>4868</v>
      </c>
      <c r="B4345" t="s">
        <v>10255</v>
      </c>
    </row>
    <row r="4346" spans="1:2">
      <c r="A4346" s="1" t="s">
        <v>291</v>
      </c>
      <c r="B4346" t="s">
        <v>10517</v>
      </c>
    </row>
    <row r="4347" spans="1:2">
      <c r="A4347" s="1" t="s">
        <v>4869</v>
      </c>
      <c r="B4347" t="s">
        <v>10245</v>
      </c>
    </row>
    <row r="4348" spans="1:2">
      <c r="A4348" s="1" t="s">
        <v>4870</v>
      </c>
      <c r="B4348" t="s">
        <v>10261</v>
      </c>
    </row>
    <row r="4349" spans="1:2">
      <c r="A4349" s="1" t="s">
        <v>46</v>
      </c>
      <c r="B4349" t="s">
        <v>10279</v>
      </c>
    </row>
    <row r="4350" spans="1:2">
      <c r="A4350" s="1" t="s">
        <v>4871</v>
      </c>
      <c r="B4350" t="s">
        <v>903</v>
      </c>
    </row>
    <row r="4351" spans="1:2">
      <c r="A4351" s="1" t="s">
        <v>4872</v>
      </c>
      <c r="B4351" t="s">
        <v>10277</v>
      </c>
    </row>
    <row r="4352" spans="1:2">
      <c r="A4352" s="1" t="s">
        <v>4873</v>
      </c>
      <c r="B4352" t="s">
        <v>10298</v>
      </c>
    </row>
    <row r="4353" spans="1:2">
      <c r="A4353" s="1" t="s">
        <v>4874</v>
      </c>
      <c r="B4353" t="s">
        <v>10255</v>
      </c>
    </row>
    <row r="4354" spans="1:2">
      <c r="A4354" s="1" t="s">
        <v>4875</v>
      </c>
      <c r="B4354" t="s">
        <v>903</v>
      </c>
    </row>
    <row r="4355" spans="1:2">
      <c r="A4355" s="1" t="s">
        <v>4876</v>
      </c>
      <c r="B4355" t="s">
        <v>10255</v>
      </c>
    </row>
    <row r="4356" spans="1:2">
      <c r="A4356" s="1" t="s">
        <v>4877</v>
      </c>
      <c r="B4356" t="s">
        <v>10479</v>
      </c>
    </row>
    <row r="4357" spans="1:2">
      <c r="A4357" s="1" t="s">
        <v>4878</v>
      </c>
      <c r="B4357" t="s">
        <v>10287</v>
      </c>
    </row>
    <row r="4358" spans="1:2">
      <c r="A4358" s="1" t="s">
        <v>4879</v>
      </c>
      <c r="B4358" t="s">
        <v>10264</v>
      </c>
    </row>
    <row r="4359" spans="1:2">
      <c r="A4359" s="1" t="s">
        <v>4880</v>
      </c>
      <c r="B4359" t="s">
        <v>10266</v>
      </c>
    </row>
    <row r="4360" spans="1:2">
      <c r="A4360" s="1" t="s">
        <v>4881</v>
      </c>
      <c r="B4360" t="s">
        <v>10439</v>
      </c>
    </row>
    <row r="4361" spans="1:2">
      <c r="A4361" s="1" t="s">
        <v>4882</v>
      </c>
      <c r="B4361" t="s">
        <v>10309</v>
      </c>
    </row>
    <row r="4362" spans="1:2">
      <c r="A4362" s="1" t="s">
        <v>4883</v>
      </c>
      <c r="B4362" t="s">
        <v>10251</v>
      </c>
    </row>
    <row r="4363" spans="1:2">
      <c r="A4363" s="1" t="s">
        <v>4884</v>
      </c>
      <c r="B4363" t="s">
        <v>10308</v>
      </c>
    </row>
    <row r="4364" spans="1:2">
      <c r="A4364" s="1" t="s">
        <v>4885</v>
      </c>
      <c r="B4364" t="s">
        <v>10277</v>
      </c>
    </row>
    <row r="4365" spans="1:2">
      <c r="A4365" s="1" t="s">
        <v>4886</v>
      </c>
      <c r="B4365" t="s">
        <v>10255</v>
      </c>
    </row>
    <row r="4366" spans="1:2">
      <c r="A4366" s="1" t="s">
        <v>4887</v>
      </c>
      <c r="B4366" t="s">
        <v>10269</v>
      </c>
    </row>
    <row r="4367" spans="1:2">
      <c r="A4367" s="1" t="s">
        <v>4888</v>
      </c>
      <c r="B4367" t="s">
        <v>10313</v>
      </c>
    </row>
    <row r="4368" spans="1:2">
      <c r="A4368" s="1" t="s">
        <v>4889</v>
      </c>
      <c r="B4368" t="s">
        <v>903</v>
      </c>
    </row>
    <row r="4369" spans="1:2">
      <c r="A4369" s="1" t="s">
        <v>4890</v>
      </c>
      <c r="B4369" t="s">
        <v>903</v>
      </c>
    </row>
    <row r="4370" spans="1:2">
      <c r="A4370" s="1" t="s">
        <v>4891</v>
      </c>
      <c r="B4370" t="s">
        <v>10254</v>
      </c>
    </row>
    <row r="4371" spans="1:2">
      <c r="A4371" s="1" t="s">
        <v>4892</v>
      </c>
      <c r="B4371" t="s">
        <v>10424</v>
      </c>
    </row>
    <row r="4372" spans="1:2">
      <c r="A4372" s="1" t="s">
        <v>269</v>
      </c>
      <c r="B4372" t="s">
        <v>10334</v>
      </c>
    </row>
    <row r="4373" spans="1:2">
      <c r="A4373" s="1" t="s">
        <v>4893</v>
      </c>
      <c r="B4373" t="s">
        <v>903</v>
      </c>
    </row>
    <row r="4374" spans="1:2">
      <c r="A4374" s="1" t="s">
        <v>4894</v>
      </c>
      <c r="B4374" t="s">
        <v>10281</v>
      </c>
    </row>
    <row r="4375" spans="1:2">
      <c r="A4375" s="1" t="s">
        <v>4895</v>
      </c>
      <c r="B4375" t="s">
        <v>10281</v>
      </c>
    </row>
    <row r="4376" spans="1:2">
      <c r="A4376" s="1" t="s">
        <v>4896</v>
      </c>
      <c r="B4376" t="s">
        <v>10251</v>
      </c>
    </row>
    <row r="4377" spans="1:2">
      <c r="A4377" s="1" t="s">
        <v>4897</v>
      </c>
      <c r="B4377" t="s">
        <v>10245</v>
      </c>
    </row>
    <row r="4378" spans="1:2">
      <c r="A4378" s="1" t="s">
        <v>4898</v>
      </c>
      <c r="B4378" t="s">
        <v>10266</v>
      </c>
    </row>
    <row r="4379" spans="1:2">
      <c r="A4379" s="1" t="s">
        <v>4899</v>
      </c>
      <c r="B4379" t="s">
        <v>10246</v>
      </c>
    </row>
    <row r="4380" spans="1:2">
      <c r="A4380" s="1" t="s">
        <v>178</v>
      </c>
      <c r="B4380" t="s">
        <v>10299</v>
      </c>
    </row>
    <row r="4381" spans="1:2">
      <c r="A4381" s="1" t="s">
        <v>504</v>
      </c>
      <c r="B4381" t="s">
        <v>10311</v>
      </c>
    </row>
    <row r="4382" spans="1:2">
      <c r="A4382" s="1" t="s">
        <v>4900</v>
      </c>
      <c r="B4382" t="s">
        <v>10260</v>
      </c>
    </row>
    <row r="4383" spans="1:2">
      <c r="A4383" s="1" t="s">
        <v>4901</v>
      </c>
      <c r="B4383" t="s">
        <v>10430</v>
      </c>
    </row>
    <row r="4384" spans="1:2">
      <c r="A4384" s="1" t="s">
        <v>4902</v>
      </c>
      <c r="B4384" t="s">
        <v>903</v>
      </c>
    </row>
    <row r="4385" spans="1:2">
      <c r="A4385" s="1" t="s">
        <v>4903</v>
      </c>
      <c r="B4385" t="s">
        <v>10251</v>
      </c>
    </row>
    <row r="4386" spans="1:2">
      <c r="A4386" s="1" t="s">
        <v>4904</v>
      </c>
      <c r="B4386" t="s">
        <v>10390</v>
      </c>
    </row>
    <row r="4387" spans="1:2">
      <c r="A4387" s="1" t="s">
        <v>4905</v>
      </c>
      <c r="B4387" t="s">
        <v>10364</v>
      </c>
    </row>
    <row r="4388" spans="1:2">
      <c r="A4388" s="1" t="s">
        <v>4906</v>
      </c>
      <c r="B4388" t="s">
        <v>10252</v>
      </c>
    </row>
    <row r="4389" spans="1:2">
      <c r="A4389" s="1" t="s">
        <v>4907</v>
      </c>
      <c r="B4389" t="s">
        <v>10509</v>
      </c>
    </row>
    <row r="4390" spans="1:2">
      <c r="A4390" s="1" t="s">
        <v>4908</v>
      </c>
      <c r="B4390" t="s">
        <v>10307</v>
      </c>
    </row>
    <row r="4391" spans="1:2">
      <c r="A4391" s="1" t="s">
        <v>4909</v>
      </c>
      <c r="B4391" t="s">
        <v>10266</v>
      </c>
    </row>
    <row r="4392" spans="1:2">
      <c r="A4392" s="1" t="s">
        <v>4910</v>
      </c>
      <c r="B4392" t="s">
        <v>10301</v>
      </c>
    </row>
    <row r="4393" spans="1:2">
      <c r="A4393" s="1" t="s">
        <v>4911</v>
      </c>
      <c r="B4393" t="s">
        <v>10266</v>
      </c>
    </row>
    <row r="4394" spans="1:2">
      <c r="A4394" s="1" t="s">
        <v>4912</v>
      </c>
      <c r="B4394" t="s">
        <v>10309</v>
      </c>
    </row>
    <row r="4395" spans="1:2">
      <c r="A4395" s="1" t="s">
        <v>4913</v>
      </c>
      <c r="B4395" t="s">
        <v>10266</v>
      </c>
    </row>
    <row r="4396" spans="1:2">
      <c r="A4396" s="1" t="s">
        <v>4914</v>
      </c>
      <c r="B4396" t="s">
        <v>10252</v>
      </c>
    </row>
    <row r="4397" spans="1:2">
      <c r="A4397" s="1" t="s">
        <v>459</v>
      </c>
      <c r="B4397" t="s">
        <v>10287</v>
      </c>
    </row>
    <row r="4398" spans="1:2">
      <c r="A4398" s="1" t="s">
        <v>4915</v>
      </c>
      <c r="B4398" t="s">
        <v>903</v>
      </c>
    </row>
    <row r="4399" spans="1:2">
      <c r="A4399" s="1" t="s">
        <v>4916</v>
      </c>
      <c r="B4399" t="s">
        <v>10398</v>
      </c>
    </row>
    <row r="4400" spans="1:2">
      <c r="A4400" s="1" t="s">
        <v>4917</v>
      </c>
      <c r="B4400" t="s">
        <v>903</v>
      </c>
    </row>
    <row r="4401" spans="1:2">
      <c r="A4401" s="1" t="s">
        <v>4918</v>
      </c>
      <c r="B4401" t="s">
        <v>10340</v>
      </c>
    </row>
    <row r="4402" spans="1:2">
      <c r="A4402" s="1" t="s">
        <v>718</v>
      </c>
      <c r="B4402" t="s">
        <v>10260</v>
      </c>
    </row>
    <row r="4403" spans="1:2">
      <c r="A4403" s="1" t="s">
        <v>4919</v>
      </c>
      <c r="B4403" t="s">
        <v>10246</v>
      </c>
    </row>
    <row r="4404" spans="1:2">
      <c r="A4404" s="1" t="s">
        <v>4920</v>
      </c>
      <c r="B4404" t="s">
        <v>10251</v>
      </c>
    </row>
    <row r="4405" spans="1:2">
      <c r="A4405" s="1" t="s">
        <v>4921</v>
      </c>
      <c r="B4405" t="s">
        <v>10387</v>
      </c>
    </row>
    <row r="4406" spans="1:2">
      <c r="A4406" s="1" t="s">
        <v>4922</v>
      </c>
      <c r="B4406" t="s">
        <v>10249</v>
      </c>
    </row>
    <row r="4407" spans="1:2">
      <c r="A4407" s="1" t="s">
        <v>4923</v>
      </c>
      <c r="B4407" t="s">
        <v>10363</v>
      </c>
    </row>
    <row r="4408" spans="1:2">
      <c r="A4408" s="1" t="s">
        <v>4924</v>
      </c>
      <c r="B4408" t="s">
        <v>10264</v>
      </c>
    </row>
    <row r="4409" spans="1:2">
      <c r="A4409" s="1" t="s">
        <v>4925</v>
      </c>
      <c r="B4409" t="s">
        <v>10261</v>
      </c>
    </row>
    <row r="4410" spans="1:2">
      <c r="A4410" s="1" t="s">
        <v>4926</v>
      </c>
      <c r="B4410" t="s">
        <v>10277</v>
      </c>
    </row>
    <row r="4411" spans="1:2">
      <c r="A4411" s="1" t="s">
        <v>4927</v>
      </c>
      <c r="B4411" t="s">
        <v>10281</v>
      </c>
    </row>
    <row r="4412" spans="1:2">
      <c r="A4412" s="1" t="s">
        <v>4928</v>
      </c>
      <c r="B4412" t="s">
        <v>10287</v>
      </c>
    </row>
    <row r="4413" spans="1:2">
      <c r="A4413" s="1" t="s">
        <v>4929</v>
      </c>
      <c r="B4413" t="s">
        <v>10255</v>
      </c>
    </row>
    <row r="4414" spans="1:2">
      <c r="A4414" s="1" t="s">
        <v>4930</v>
      </c>
      <c r="B4414" t="s">
        <v>10245</v>
      </c>
    </row>
    <row r="4415" spans="1:2">
      <c r="A4415" s="1" t="s">
        <v>4931</v>
      </c>
      <c r="B4415" t="s">
        <v>10245</v>
      </c>
    </row>
    <row r="4416" spans="1:2">
      <c r="A4416" s="1" t="s">
        <v>4932</v>
      </c>
      <c r="B4416" t="s">
        <v>10313</v>
      </c>
    </row>
    <row r="4417" spans="1:2">
      <c r="A4417" s="1" t="s">
        <v>4933</v>
      </c>
      <c r="B4417" t="s">
        <v>10308</v>
      </c>
    </row>
    <row r="4418" spans="1:2">
      <c r="A4418" s="1" t="s">
        <v>57</v>
      </c>
      <c r="B4418" t="s">
        <v>10260</v>
      </c>
    </row>
    <row r="4419" spans="1:2">
      <c r="A4419" s="1" t="s">
        <v>102</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41</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800</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67</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653</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866</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43</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227</v>
      </c>
      <c r="B4499" t="s">
        <v>10307</v>
      </c>
    </row>
    <row r="4500" spans="1:2">
      <c r="A4500" s="1" t="s">
        <v>5006</v>
      </c>
      <c r="B4500" t="s">
        <v>10493</v>
      </c>
    </row>
    <row r="4501" spans="1:2">
      <c r="A4501" s="1" t="s">
        <v>429</v>
      </c>
      <c r="B4501" t="s">
        <v>10245</v>
      </c>
    </row>
    <row r="4502" spans="1:2">
      <c r="A4502" s="1" t="s">
        <v>5007</v>
      </c>
      <c r="B4502" t="s">
        <v>10251</v>
      </c>
    </row>
    <row r="4503" spans="1:2">
      <c r="A4503" s="1" t="s">
        <v>5008</v>
      </c>
      <c r="B4503" t="s">
        <v>10245</v>
      </c>
    </row>
    <row r="4504" spans="1:2">
      <c r="A4504" s="1" t="s">
        <v>248</v>
      </c>
      <c r="B4504" t="s">
        <v>10519</v>
      </c>
    </row>
    <row r="4505" spans="1:2">
      <c r="A4505" s="1" t="s">
        <v>5009</v>
      </c>
      <c r="B4505" t="s">
        <v>903</v>
      </c>
    </row>
    <row r="4506" spans="1:2">
      <c r="A4506" s="1" t="s">
        <v>5010</v>
      </c>
      <c r="B4506" t="s">
        <v>10259</v>
      </c>
    </row>
    <row r="4507" spans="1:2">
      <c r="A4507" s="1" t="s">
        <v>5011</v>
      </c>
      <c r="B4507" t="s">
        <v>903</v>
      </c>
    </row>
    <row r="4508" spans="1:2">
      <c r="A4508" s="1" t="s">
        <v>400</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306</v>
      </c>
      <c r="B4515" t="s">
        <v>10309</v>
      </c>
    </row>
    <row r="4516" spans="1:2">
      <c r="A4516" s="1" t="s">
        <v>5018</v>
      </c>
      <c r="B4516" t="s">
        <v>10312</v>
      </c>
    </row>
    <row r="4517" spans="1:2">
      <c r="A4517" s="1" t="s">
        <v>5019</v>
      </c>
      <c r="B4517" t="s">
        <v>10520</v>
      </c>
    </row>
    <row r="4518" spans="1:2">
      <c r="A4518" s="1" t="s">
        <v>636</v>
      </c>
      <c r="B4518" t="s">
        <v>10307</v>
      </c>
    </row>
    <row r="4519" spans="1:2">
      <c r="A4519" s="1" t="s">
        <v>5020</v>
      </c>
      <c r="B4519" t="s">
        <v>10261</v>
      </c>
    </row>
    <row r="4520" spans="1:2">
      <c r="A4520" s="1" t="s">
        <v>55</v>
      </c>
      <c r="B4520" t="s">
        <v>10378</v>
      </c>
    </row>
    <row r="4521" spans="1:2">
      <c r="A4521" s="1" t="s">
        <v>5021</v>
      </c>
      <c r="B4521" t="s">
        <v>10323</v>
      </c>
    </row>
    <row r="4522" spans="1:2">
      <c r="A4522" s="1" t="s">
        <v>5022</v>
      </c>
      <c r="B4522" t="s">
        <v>10293</v>
      </c>
    </row>
    <row r="4523" spans="1:2">
      <c r="A4523" s="1" t="s">
        <v>5023</v>
      </c>
      <c r="B4523" t="s">
        <v>10251</v>
      </c>
    </row>
    <row r="4524" spans="1:2">
      <c r="A4524" s="1" t="s">
        <v>66</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56</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645</v>
      </c>
      <c r="B4557" t="s">
        <v>10283</v>
      </c>
    </row>
    <row r="4558" spans="1:2">
      <c r="A4558" s="1" t="s">
        <v>5055</v>
      </c>
      <c r="B4558" t="s">
        <v>10408</v>
      </c>
    </row>
    <row r="4559" spans="1:2">
      <c r="A4559" s="1" t="s">
        <v>5056</v>
      </c>
      <c r="B4559" t="s">
        <v>10364</v>
      </c>
    </row>
    <row r="4560" spans="1:2">
      <c r="A4560" s="1" t="s">
        <v>424</v>
      </c>
      <c r="B4560" t="s">
        <v>10290</v>
      </c>
    </row>
    <row r="4561" spans="1:2">
      <c r="A4561" s="1" t="s">
        <v>5057</v>
      </c>
      <c r="B4561" t="s">
        <v>903</v>
      </c>
    </row>
    <row r="4562" spans="1:2">
      <c r="A4562" s="1" t="s">
        <v>88</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531</v>
      </c>
      <c r="B4570" t="s">
        <v>10287</v>
      </c>
    </row>
    <row r="4571" spans="1:2">
      <c r="A4571" s="1" t="s">
        <v>166</v>
      </c>
      <c r="B4571" t="s">
        <v>10319</v>
      </c>
    </row>
    <row r="4572" spans="1:2">
      <c r="A4572" s="1" t="s">
        <v>5065</v>
      </c>
      <c r="B4572" t="s">
        <v>10340</v>
      </c>
    </row>
    <row r="4573" spans="1:2">
      <c r="A4573" s="1" t="s">
        <v>5066</v>
      </c>
      <c r="B4573" t="s">
        <v>10255</v>
      </c>
    </row>
    <row r="4574" spans="1:2">
      <c r="A4574" s="1" t="s">
        <v>328</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317</v>
      </c>
      <c r="B4591" t="s">
        <v>10298</v>
      </c>
    </row>
    <row r="4592" spans="1:2">
      <c r="A4592" s="1" t="s">
        <v>5083</v>
      </c>
      <c r="B4592" t="s">
        <v>10245</v>
      </c>
    </row>
    <row r="4593" spans="1:2">
      <c r="A4593" s="1" t="s">
        <v>5084</v>
      </c>
      <c r="B4593" t="s">
        <v>10261</v>
      </c>
    </row>
    <row r="4594" spans="1:2">
      <c r="A4594" s="1" t="s">
        <v>5085</v>
      </c>
      <c r="B4594" t="s">
        <v>10281</v>
      </c>
    </row>
    <row r="4595" spans="1:2">
      <c r="A4595" s="1" t="s">
        <v>862</v>
      </c>
      <c r="B4595" t="s">
        <v>10303</v>
      </c>
    </row>
    <row r="4596" spans="1:2">
      <c r="A4596" s="1" t="s">
        <v>5086</v>
      </c>
      <c r="B4596" t="s">
        <v>10269</v>
      </c>
    </row>
    <row r="4597" spans="1:2">
      <c r="A4597" s="1" t="s">
        <v>700</v>
      </c>
      <c r="B4597" t="s">
        <v>10347</v>
      </c>
    </row>
    <row r="4598" spans="1:2">
      <c r="A4598" s="1" t="s">
        <v>5087</v>
      </c>
      <c r="B4598" t="s">
        <v>10266</v>
      </c>
    </row>
    <row r="4599" spans="1:2">
      <c r="A4599" s="1" t="s">
        <v>362</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641</v>
      </c>
      <c r="B4619" t="s">
        <v>10309</v>
      </c>
    </row>
    <row r="4620" spans="1:2">
      <c r="A4620" s="1" t="s">
        <v>5106</v>
      </c>
      <c r="B4620" t="s">
        <v>10246</v>
      </c>
    </row>
    <row r="4621" spans="1:2">
      <c r="A4621" s="1" t="s">
        <v>663</v>
      </c>
      <c r="B4621" t="s">
        <v>10299</v>
      </c>
    </row>
    <row r="4622" spans="1:2">
      <c r="A4622" s="1" t="s">
        <v>5107</v>
      </c>
      <c r="B4622" t="s">
        <v>10244</v>
      </c>
    </row>
    <row r="4623" spans="1:2">
      <c r="A4623" s="1" t="s">
        <v>139</v>
      </c>
      <c r="B4623" t="s">
        <v>10263</v>
      </c>
    </row>
    <row r="4624" spans="1:2">
      <c r="A4624" s="1" t="s">
        <v>70</v>
      </c>
      <c r="B4624" t="s">
        <v>10255</v>
      </c>
    </row>
    <row r="4625" spans="1:2">
      <c r="A4625" s="1" t="s">
        <v>5108</v>
      </c>
      <c r="B4625" t="s">
        <v>10522</v>
      </c>
    </row>
    <row r="4626" spans="1:2">
      <c r="A4626" s="1" t="s">
        <v>5109</v>
      </c>
      <c r="B4626" t="s">
        <v>10304</v>
      </c>
    </row>
    <row r="4627" spans="1:2">
      <c r="A4627" s="1" t="s">
        <v>123</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331</v>
      </c>
      <c r="B4634" t="s">
        <v>10283</v>
      </c>
    </row>
    <row r="4635" spans="1:2">
      <c r="A4635" s="1" t="s">
        <v>5116</v>
      </c>
      <c r="B4635" t="s">
        <v>10340</v>
      </c>
    </row>
    <row r="4636" spans="1:2">
      <c r="A4636" s="1" t="s">
        <v>281</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293</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695</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81</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58</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160</v>
      </c>
      <c r="B4684" t="s">
        <v>10283</v>
      </c>
    </row>
    <row r="4685" spans="1:2">
      <c r="A4685" s="1" t="s">
        <v>5160</v>
      </c>
      <c r="B4685" t="s">
        <v>10245</v>
      </c>
    </row>
    <row r="4686" spans="1:2">
      <c r="A4686" s="1" t="s">
        <v>5161</v>
      </c>
      <c r="B4686" t="s">
        <v>10251</v>
      </c>
    </row>
    <row r="4687" spans="1:2">
      <c r="A4687" s="1" t="s">
        <v>320</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482</v>
      </c>
      <c r="B4692" t="s">
        <v>10345</v>
      </c>
    </row>
    <row r="4693" spans="1:2">
      <c r="A4693" s="1" t="s">
        <v>5166</v>
      </c>
      <c r="B4693" t="s">
        <v>10252</v>
      </c>
    </row>
    <row r="4694" spans="1:2">
      <c r="A4694" s="1" t="s">
        <v>300</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143</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104</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76</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90</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453</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776</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250</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184</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147</v>
      </c>
      <c r="B4778" t="s">
        <v>10410</v>
      </c>
    </row>
    <row r="4779" spans="1:2">
      <c r="A4779" s="1" t="s">
        <v>5242</v>
      </c>
      <c r="B4779" t="s">
        <v>10298</v>
      </c>
    </row>
    <row r="4780" spans="1:2">
      <c r="A4780" s="1" t="s">
        <v>48</v>
      </c>
      <c r="B4780" t="s">
        <v>10378</v>
      </c>
    </row>
    <row r="4781" spans="1:2">
      <c r="A4781" s="1" t="s">
        <v>426</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355</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170</v>
      </c>
      <c r="B4801" t="s">
        <v>10335</v>
      </c>
    </row>
    <row r="4802" spans="1:2">
      <c r="A4802" s="1" t="s">
        <v>5261</v>
      </c>
      <c r="B4802" t="s">
        <v>10244</v>
      </c>
    </row>
    <row r="4803" spans="1:2">
      <c r="A4803" s="1" t="s">
        <v>5262</v>
      </c>
      <c r="B4803" t="s">
        <v>10337</v>
      </c>
    </row>
    <row r="4804" spans="1:2">
      <c r="A4804" s="1" t="s">
        <v>5263</v>
      </c>
      <c r="B4804" t="s">
        <v>10347</v>
      </c>
    </row>
    <row r="4805" spans="1:2">
      <c r="A4805" s="1" t="s">
        <v>309</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461</v>
      </c>
      <c r="B4816" t="s">
        <v>10282</v>
      </c>
    </row>
    <row r="4817" spans="1:2">
      <c r="A4817" s="1" t="s">
        <v>5274</v>
      </c>
      <c r="B4817" t="s">
        <v>10261</v>
      </c>
    </row>
    <row r="4818" spans="1:2">
      <c r="A4818" s="1" t="s">
        <v>488</v>
      </c>
      <c r="B4818" t="s">
        <v>10282</v>
      </c>
    </row>
    <row r="4819" spans="1:2">
      <c r="A4819" s="1" t="s">
        <v>5275</v>
      </c>
      <c r="B4819" t="s">
        <v>903</v>
      </c>
    </row>
    <row r="4820" spans="1:2">
      <c r="A4820" s="1" t="s">
        <v>327</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36</v>
      </c>
      <c r="B4833" t="s">
        <v>10288</v>
      </c>
    </row>
    <row r="4834" spans="1:2">
      <c r="A4834" s="1" t="s">
        <v>490</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153</v>
      </c>
      <c r="B4839" t="s">
        <v>10308</v>
      </c>
    </row>
    <row r="4840" spans="1:2">
      <c r="A4840" s="1" t="s">
        <v>84</v>
      </c>
      <c r="B4840" t="s">
        <v>10332</v>
      </c>
    </row>
    <row r="4841" spans="1:2">
      <c r="A4841" s="1" t="s">
        <v>555</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430</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436</v>
      </c>
      <c r="B4868" t="s">
        <v>10304</v>
      </c>
    </row>
    <row r="4869" spans="1:2">
      <c r="A4869" s="1" t="s">
        <v>5317</v>
      </c>
      <c r="B4869" t="s">
        <v>10366</v>
      </c>
    </row>
    <row r="4870" spans="1:2">
      <c r="A4870" s="1" t="s">
        <v>526</v>
      </c>
      <c r="B4870" t="s">
        <v>10243</v>
      </c>
    </row>
    <row r="4871" spans="1:2">
      <c r="A4871" s="1" t="s">
        <v>219</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381</v>
      </c>
      <c r="B4898" t="s">
        <v>10286</v>
      </c>
    </row>
    <row r="4899" spans="1:2">
      <c r="A4899" s="1" t="s">
        <v>5344</v>
      </c>
      <c r="B4899" t="s">
        <v>10476</v>
      </c>
    </row>
    <row r="4900" spans="1:2">
      <c r="A4900" s="1" t="s">
        <v>257</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640</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259</v>
      </c>
      <c r="B4912" t="s">
        <v>10261</v>
      </c>
    </row>
    <row r="4913" spans="1:2">
      <c r="A4913" s="1" t="s">
        <v>5355</v>
      </c>
      <c r="B4913" t="s">
        <v>10364</v>
      </c>
    </row>
    <row r="4914" spans="1:2">
      <c r="A4914" s="1" t="s">
        <v>5356</v>
      </c>
      <c r="B4914" t="s">
        <v>10245</v>
      </c>
    </row>
    <row r="4915" spans="1:2">
      <c r="A4915" s="1" t="s">
        <v>5357</v>
      </c>
      <c r="B4915" t="s">
        <v>10313</v>
      </c>
    </row>
    <row r="4916" spans="1:2">
      <c r="A4916" s="1" t="s">
        <v>364</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452</v>
      </c>
      <c r="B4937" t="s">
        <v>10489</v>
      </c>
    </row>
    <row r="4938" spans="1:2">
      <c r="A4938" s="1" t="s">
        <v>533</v>
      </c>
      <c r="B4938" t="s">
        <v>10283</v>
      </c>
    </row>
    <row r="4939" spans="1:2">
      <c r="A4939" s="1" t="s">
        <v>5378</v>
      </c>
      <c r="B4939" t="s">
        <v>10340</v>
      </c>
    </row>
    <row r="4940" spans="1:2">
      <c r="A4940" s="1" t="s">
        <v>266</v>
      </c>
      <c r="B4940" t="s">
        <v>10408</v>
      </c>
    </row>
    <row r="4941" spans="1:2">
      <c r="A4941" s="1" t="s">
        <v>255</v>
      </c>
      <c r="B4941" t="s">
        <v>10378</v>
      </c>
    </row>
    <row r="4942" spans="1:2">
      <c r="A4942" s="1" t="s">
        <v>5379</v>
      </c>
      <c r="B4942" t="s">
        <v>10307</v>
      </c>
    </row>
    <row r="4943" spans="1:2">
      <c r="A4943" s="1" t="s">
        <v>5380</v>
      </c>
      <c r="B4943" t="s">
        <v>10245</v>
      </c>
    </row>
    <row r="4944" spans="1:2">
      <c r="A4944" s="1" t="s">
        <v>5381</v>
      </c>
      <c r="B4944" t="s">
        <v>10406</v>
      </c>
    </row>
    <row r="4945" spans="1:2">
      <c r="A4945" s="1" t="s">
        <v>474</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333</v>
      </c>
      <c r="B4952" t="s">
        <v>10308</v>
      </c>
    </row>
    <row r="4953" spans="1:2">
      <c r="A4953" s="1" t="s">
        <v>5388</v>
      </c>
      <c r="B4953" t="s">
        <v>10265</v>
      </c>
    </row>
    <row r="4954" spans="1:2">
      <c r="A4954" s="1" t="s">
        <v>5389</v>
      </c>
      <c r="B4954" t="s">
        <v>10251</v>
      </c>
    </row>
    <row r="4955" spans="1:2">
      <c r="A4955" s="1" t="s">
        <v>350</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182</v>
      </c>
      <c r="B4961" t="s">
        <v>10282</v>
      </c>
    </row>
    <row r="4962" spans="1:2">
      <c r="A4962" s="1" t="s">
        <v>541</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133</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535</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74</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253</v>
      </c>
      <c r="B4989" t="s">
        <v>10245</v>
      </c>
    </row>
    <row r="4990" spans="1:2">
      <c r="A4990" s="1" t="s">
        <v>142</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680</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49</v>
      </c>
      <c r="B5006" t="s">
        <v>10287</v>
      </c>
    </row>
    <row r="5007" spans="1:2">
      <c r="A5007" s="1" t="s">
        <v>5432</v>
      </c>
      <c r="B5007" t="s">
        <v>10390</v>
      </c>
    </row>
    <row r="5008" spans="1:2">
      <c r="A5008" s="1" t="s">
        <v>5433</v>
      </c>
      <c r="B5008" t="s">
        <v>10245</v>
      </c>
    </row>
    <row r="5009" spans="1:2">
      <c r="A5009" s="1" t="s">
        <v>651</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50</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169</v>
      </c>
      <c r="B5019" t="s">
        <v>10343</v>
      </c>
    </row>
    <row r="5020" spans="1:2">
      <c r="A5020" s="1" t="s">
        <v>5442</v>
      </c>
      <c r="B5020" t="s">
        <v>10304</v>
      </c>
    </row>
    <row r="5021" spans="1:2">
      <c r="A5021" s="1" t="s">
        <v>5443</v>
      </c>
      <c r="B5021" t="s">
        <v>10513</v>
      </c>
    </row>
    <row r="5022" spans="1:2">
      <c r="A5022" s="1" t="s">
        <v>493</v>
      </c>
      <c r="B5022" t="s">
        <v>10260</v>
      </c>
    </row>
    <row r="5023" spans="1:2">
      <c r="A5023" s="1" t="s">
        <v>5444</v>
      </c>
      <c r="B5023" t="s">
        <v>10441</v>
      </c>
    </row>
    <row r="5024" spans="1:2">
      <c r="A5024" s="1" t="s">
        <v>106</v>
      </c>
      <c r="B5024" t="s">
        <v>10343</v>
      </c>
    </row>
    <row r="5025" spans="1:2">
      <c r="A5025" s="1" t="s">
        <v>5445</v>
      </c>
      <c r="B5025" t="s">
        <v>10245</v>
      </c>
    </row>
    <row r="5026" spans="1:2">
      <c r="A5026" s="1" t="s">
        <v>5446</v>
      </c>
      <c r="B5026" t="s">
        <v>10298</v>
      </c>
    </row>
    <row r="5027" spans="1:2">
      <c r="A5027" s="1" t="s">
        <v>304</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341</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72</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131</v>
      </c>
      <c r="B5077" t="s">
        <v>10336</v>
      </c>
    </row>
    <row r="5078" spans="1:2">
      <c r="A5078" s="1" t="s">
        <v>5493</v>
      </c>
      <c r="B5078" t="s">
        <v>10366</v>
      </c>
    </row>
    <row r="5079" spans="1:2">
      <c r="A5079" s="1" t="s">
        <v>545</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544</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100</v>
      </c>
      <c r="B5107" t="s">
        <v>10260</v>
      </c>
    </row>
    <row r="5108" spans="1:2">
      <c r="A5108" s="1" t="s">
        <v>284</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416</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378</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607</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155</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191</v>
      </c>
      <c r="B5170" t="s">
        <v>10529</v>
      </c>
    </row>
    <row r="5171" spans="1:2">
      <c r="A5171" s="1" t="s">
        <v>5577</v>
      </c>
      <c r="B5171" t="s">
        <v>10251</v>
      </c>
    </row>
    <row r="5172" spans="1:2">
      <c r="A5172" s="1" t="s">
        <v>711</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276</v>
      </c>
      <c r="B5178" t="s">
        <v>10516</v>
      </c>
    </row>
    <row r="5179" spans="1:2">
      <c r="A5179" s="1" t="s">
        <v>840</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233</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86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161</v>
      </c>
      <c r="B5245" t="s">
        <v>10308</v>
      </c>
    </row>
    <row r="5246" spans="1:2">
      <c r="A5246" s="1" t="s">
        <v>491</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322</v>
      </c>
      <c r="B5254" t="s">
        <v>10418</v>
      </c>
    </row>
    <row r="5255" spans="1:2">
      <c r="A5255" s="1" t="s">
        <v>5653</v>
      </c>
      <c r="B5255" t="s">
        <v>10340</v>
      </c>
    </row>
    <row r="5256" spans="1:2">
      <c r="A5256" s="1" t="s">
        <v>5654</v>
      </c>
      <c r="B5256" t="s">
        <v>10408</v>
      </c>
    </row>
    <row r="5257" spans="1:2">
      <c r="A5257" s="1" t="s">
        <v>174</v>
      </c>
      <c r="B5257" t="s">
        <v>10343</v>
      </c>
    </row>
    <row r="5258" spans="1:2">
      <c r="A5258" s="1" t="s">
        <v>152</v>
      </c>
      <c r="B5258" t="s">
        <v>10531</v>
      </c>
    </row>
    <row r="5259" spans="1:2">
      <c r="A5259" s="1" t="s">
        <v>614</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95</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193</v>
      </c>
      <c r="B5286" t="s">
        <v>10260</v>
      </c>
    </row>
    <row r="5287" spans="1:2">
      <c r="A5287" s="1" t="s">
        <v>5679</v>
      </c>
      <c r="B5287" t="s">
        <v>10249</v>
      </c>
    </row>
    <row r="5288" spans="1:2">
      <c r="A5288" s="1" t="s">
        <v>79</v>
      </c>
      <c r="B5288" t="s">
        <v>10245</v>
      </c>
    </row>
    <row r="5289" spans="1:2">
      <c r="A5289" s="1" t="s">
        <v>5680</v>
      </c>
      <c r="B5289" t="s">
        <v>10307</v>
      </c>
    </row>
    <row r="5290" spans="1:2">
      <c r="A5290" s="1" t="s">
        <v>5681</v>
      </c>
      <c r="B5290" t="s">
        <v>10307</v>
      </c>
    </row>
    <row r="5291" spans="1:2">
      <c r="A5291" s="1" t="s">
        <v>514</v>
      </c>
      <c r="B5291" t="s">
        <v>10298</v>
      </c>
    </row>
    <row r="5292" spans="1:2">
      <c r="A5292" s="1" t="s">
        <v>435</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498</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282</v>
      </c>
      <c r="B5309" t="s">
        <v>10245</v>
      </c>
    </row>
    <row r="5310" spans="1:2">
      <c r="A5310" s="1" t="s">
        <v>499</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185</v>
      </c>
      <c r="B5319" t="s">
        <v>10281</v>
      </c>
    </row>
    <row r="5320" spans="1:2">
      <c r="A5320" s="1" t="s">
        <v>5705</v>
      </c>
      <c r="B5320" t="s">
        <v>903</v>
      </c>
    </row>
    <row r="5321" spans="1:2">
      <c r="A5321" s="1" t="s">
        <v>755</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366</v>
      </c>
      <c r="B5343" t="s">
        <v>10373</v>
      </c>
    </row>
    <row r="5344" spans="1:2">
      <c r="A5344" s="1" t="s">
        <v>5727</v>
      </c>
      <c r="B5344" t="s">
        <v>10250</v>
      </c>
    </row>
    <row r="5345" spans="1:2">
      <c r="A5345" s="1" t="s">
        <v>114</v>
      </c>
      <c r="B5345" t="s">
        <v>10261</v>
      </c>
    </row>
    <row r="5346" spans="1:2">
      <c r="A5346" s="1" t="s">
        <v>137</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689</v>
      </c>
      <c r="B5351" t="s">
        <v>10385</v>
      </c>
    </row>
    <row r="5352" spans="1:2">
      <c r="A5352" s="1" t="s">
        <v>5732</v>
      </c>
      <c r="B5352" t="s">
        <v>10420</v>
      </c>
    </row>
    <row r="5353" spans="1:2">
      <c r="A5353" s="1" t="s">
        <v>5733</v>
      </c>
      <c r="B5353" t="s">
        <v>10287</v>
      </c>
    </row>
    <row r="5354" spans="1:2">
      <c r="A5354" s="1" t="s">
        <v>496</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144</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61</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817</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40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323</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707</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500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270</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120</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431</v>
      </c>
      <c r="B5465" t="s">
        <v>10278</v>
      </c>
    </row>
    <row r="5466" spans="1:2">
      <c r="A5466" s="1" t="s">
        <v>5835</v>
      </c>
      <c r="B5466" t="s">
        <v>10263</v>
      </c>
    </row>
    <row r="5467" spans="1:2">
      <c r="A5467" s="1" t="s">
        <v>5836</v>
      </c>
      <c r="B5467" t="s">
        <v>10293</v>
      </c>
    </row>
    <row r="5468" spans="1:2">
      <c r="A5468" s="1" t="s">
        <v>5837</v>
      </c>
      <c r="B5468" t="s">
        <v>10319</v>
      </c>
    </row>
    <row r="5469" spans="1:2">
      <c r="A5469" s="1" t="s">
        <v>107</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734</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97</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54</v>
      </c>
      <c r="B5530" t="s">
        <v>10260</v>
      </c>
    </row>
    <row r="5531" spans="1:2">
      <c r="A5531" s="1" t="s">
        <v>192</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649</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524</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190</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135</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460</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361</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145</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105</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492</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146</v>
      </c>
      <c r="B5674" t="s">
        <v>10250</v>
      </c>
    </row>
    <row r="5675" spans="1:2">
      <c r="A5675" s="1" t="s">
        <v>6025</v>
      </c>
      <c r="B5675" t="s">
        <v>10284</v>
      </c>
    </row>
    <row r="5676" spans="1:2">
      <c r="A5676" s="1" t="s">
        <v>358</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557</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175</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377</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207</v>
      </c>
      <c r="B5720" t="s">
        <v>10273</v>
      </c>
    </row>
    <row r="5721" spans="1:2">
      <c r="A5721" s="1" t="s">
        <v>6065</v>
      </c>
      <c r="B5721" t="s">
        <v>10245</v>
      </c>
    </row>
    <row r="5722" spans="1:2">
      <c r="A5722" s="1" t="s">
        <v>6066</v>
      </c>
      <c r="B5722" t="s">
        <v>10255</v>
      </c>
    </row>
    <row r="5723" spans="1:2">
      <c r="A5723" s="1" t="s">
        <v>69</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215</v>
      </c>
      <c r="B5734" t="s">
        <v>10300</v>
      </c>
    </row>
    <row r="5735" spans="1:2">
      <c r="A5735" s="1" t="s">
        <v>128</v>
      </c>
      <c r="B5735" t="s">
        <v>10273</v>
      </c>
    </row>
    <row r="5736" spans="1:2">
      <c r="A5736" s="1" t="s">
        <v>6077</v>
      </c>
      <c r="B5736" t="s">
        <v>10257</v>
      </c>
    </row>
    <row r="5737" spans="1:2">
      <c r="A5737" s="1" t="s">
        <v>47</v>
      </c>
      <c r="B5737" t="s">
        <v>10283</v>
      </c>
    </row>
    <row r="5738" spans="1:2">
      <c r="A5738" s="1" t="s">
        <v>6078</v>
      </c>
      <c r="B5738" t="s">
        <v>10481</v>
      </c>
    </row>
    <row r="5739" spans="1:2">
      <c r="A5739" s="1" t="s">
        <v>6079</v>
      </c>
      <c r="B5739" t="s">
        <v>10303</v>
      </c>
    </row>
    <row r="5740" spans="1:2">
      <c r="A5740" s="1" t="s">
        <v>6080</v>
      </c>
      <c r="B5740" t="s">
        <v>10243</v>
      </c>
    </row>
    <row r="5741" spans="1:2">
      <c r="A5741" s="1" t="s">
        <v>318</v>
      </c>
      <c r="B5741" t="s">
        <v>10323</v>
      </c>
    </row>
    <row r="5742" spans="1:2">
      <c r="A5742" s="1" t="s">
        <v>6081</v>
      </c>
      <c r="B5742" t="s">
        <v>10293</v>
      </c>
    </row>
    <row r="5743" spans="1:2">
      <c r="A5743" s="1" t="s">
        <v>6082</v>
      </c>
      <c r="B5743" t="s">
        <v>10382</v>
      </c>
    </row>
    <row r="5744" spans="1:2">
      <c r="A5744" s="1" t="s">
        <v>6083</v>
      </c>
      <c r="B5744" t="s">
        <v>10246</v>
      </c>
    </row>
    <row r="5745" spans="1:2">
      <c r="A5745" s="1" t="s">
        <v>99</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127</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98</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325</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677</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437</v>
      </c>
      <c r="B5823" t="s">
        <v>10334</v>
      </c>
    </row>
    <row r="5824" spans="1:2">
      <c r="A5824" s="1" t="s">
        <v>6157</v>
      </c>
      <c r="B5824" t="s">
        <v>10287</v>
      </c>
    </row>
    <row r="5825" spans="1:2">
      <c r="A5825" s="1" t="s">
        <v>6158</v>
      </c>
      <c r="B5825" t="s">
        <v>10428</v>
      </c>
    </row>
    <row r="5826" spans="1:2">
      <c r="A5826" s="1" t="s">
        <v>283</v>
      </c>
      <c r="B5826" t="s">
        <v>10265</v>
      </c>
    </row>
    <row r="5827" spans="1:2">
      <c r="A5827" s="1" t="s">
        <v>6159</v>
      </c>
      <c r="B5827" t="s">
        <v>10307</v>
      </c>
    </row>
    <row r="5828" spans="1:2">
      <c r="A5828" s="1" t="s">
        <v>6160</v>
      </c>
      <c r="B5828" t="s">
        <v>10251</v>
      </c>
    </row>
    <row r="5829" spans="1:2">
      <c r="A5829" s="1" t="s">
        <v>6161</v>
      </c>
      <c r="B5829" t="s">
        <v>10521</v>
      </c>
    </row>
    <row r="5830" spans="1:2">
      <c r="A5830" s="1" t="s">
        <v>129</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467</v>
      </c>
      <c r="B5854" t="s">
        <v>10255</v>
      </c>
    </row>
    <row r="5855" spans="1:2">
      <c r="A5855" s="1" t="s">
        <v>6183</v>
      </c>
      <c r="B5855" t="s">
        <v>10250</v>
      </c>
    </row>
    <row r="5856" spans="1:2">
      <c r="A5856" s="1" t="s">
        <v>6184</v>
      </c>
      <c r="B5856" t="s">
        <v>10319</v>
      </c>
    </row>
    <row r="5857" spans="1:2">
      <c r="A5857" s="1" t="s">
        <v>664</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159</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307</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754</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530</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449</v>
      </c>
      <c r="B5898" t="s">
        <v>10250</v>
      </c>
    </row>
    <row r="5899" spans="1:2">
      <c r="A5899" s="1" t="s">
        <v>475</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305</v>
      </c>
      <c r="B5904" t="s">
        <v>10273</v>
      </c>
    </row>
    <row r="5905" spans="1:2">
      <c r="A5905" s="1" t="s">
        <v>859</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124</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44</v>
      </c>
      <c r="B5932" t="s">
        <v>10298</v>
      </c>
    </row>
    <row r="5933" spans="1:2">
      <c r="A5933" s="1" t="s">
        <v>6247</v>
      </c>
      <c r="B5933" t="s">
        <v>10340</v>
      </c>
    </row>
    <row r="5934" spans="1:2">
      <c r="A5934" s="1" t="s">
        <v>225</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181</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112</v>
      </c>
      <c r="B5951" t="s">
        <v>10264</v>
      </c>
    </row>
    <row r="5952" spans="1:2">
      <c r="A5952" s="1" t="s">
        <v>6263</v>
      </c>
      <c r="B5952" t="s">
        <v>10255</v>
      </c>
    </row>
    <row r="5953" spans="1:2">
      <c r="A5953" s="1" t="s">
        <v>6264</v>
      </c>
      <c r="B5953" t="s">
        <v>10297</v>
      </c>
    </row>
    <row r="5954" spans="1:2">
      <c r="A5954" s="1" t="s">
        <v>6265</v>
      </c>
      <c r="B5954" t="s">
        <v>10245</v>
      </c>
    </row>
    <row r="5955" spans="1:2">
      <c r="A5955" s="1" t="s">
        <v>110</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520</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217</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671</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706</v>
      </c>
      <c r="B5983" t="s">
        <v>10250</v>
      </c>
    </row>
    <row r="5984" spans="1:2">
      <c r="A5984" s="1" t="s">
        <v>6289</v>
      </c>
      <c r="B5984" t="s">
        <v>10393</v>
      </c>
    </row>
    <row r="5985" spans="1:2">
      <c r="A5985" s="1" t="s">
        <v>6290</v>
      </c>
      <c r="B5985" t="s">
        <v>10335</v>
      </c>
    </row>
    <row r="5986" spans="1:2">
      <c r="A5986" s="1" t="s">
        <v>497</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299</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703</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167</v>
      </c>
      <c r="B6087" t="s">
        <v>10255</v>
      </c>
    </row>
    <row r="6088" spans="1:2">
      <c r="A6088" s="1" t="s">
        <v>6389</v>
      </c>
      <c r="B6088" t="s">
        <v>10307</v>
      </c>
    </row>
    <row r="6089" spans="1:2">
      <c r="A6089" s="1" t="s">
        <v>319</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113</v>
      </c>
      <c r="B6117" t="s">
        <v>10271</v>
      </c>
    </row>
    <row r="6118" spans="1:2">
      <c r="A6118" s="1" t="s">
        <v>6416</v>
      </c>
      <c r="B6118" t="s">
        <v>10299</v>
      </c>
    </row>
    <row r="6119" spans="1:2">
      <c r="A6119" s="1" t="s">
        <v>223</v>
      </c>
      <c r="B6119" t="s">
        <v>10304</v>
      </c>
    </row>
    <row r="6120" spans="1:2">
      <c r="A6120" s="1" t="s">
        <v>6417</v>
      </c>
      <c r="B6120" t="s">
        <v>10340</v>
      </c>
    </row>
    <row r="6121" spans="1:2">
      <c r="A6121" s="1" t="s">
        <v>6418</v>
      </c>
      <c r="B6121" t="s">
        <v>10338</v>
      </c>
    </row>
    <row r="6122" spans="1:2">
      <c r="A6122" s="1" t="s">
        <v>6419</v>
      </c>
      <c r="B6122" t="s">
        <v>10427</v>
      </c>
    </row>
    <row r="6123" spans="1:2">
      <c r="A6123" s="1" t="s">
        <v>118</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33</v>
      </c>
      <c r="B6147" t="s">
        <v>10382</v>
      </c>
    </row>
    <row r="6148" spans="1:2">
      <c r="A6148" s="1" t="s">
        <v>6443</v>
      </c>
      <c r="B6148" t="s">
        <v>10447</v>
      </c>
    </row>
    <row r="6149" spans="1:2">
      <c r="A6149" s="1" t="s">
        <v>345</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35</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138</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510</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566</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432</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523</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62</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581</v>
      </c>
      <c r="B6294" t="s">
        <v>10273</v>
      </c>
    </row>
    <row r="6295" spans="1:2">
      <c r="A6295" s="1" t="s">
        <v>6581</v>
      </c>
      <c r="B6295" t="s">
        <v>10420</v>
      </c>
    </row>
    <row r="6296" spans="1:2">
      <c r="A6296" s="1" t="s">
        <v>177</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158</v>
      </c>
      <c r="B6303" t="s">
        <v>10271</v>
      </c>
    </row>
    <row r="6304" spans="1:2">
      <c r="A6304" s="1" t="s">
        <v>6588</v>
      </c>
      <c r="B6304" t="s">
        <v>10309</v>
      </c>
    </row>
    <row r="6305" spans="1:2">
      <c r="A6305" s="1" t="s">
        <v>92</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200</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379</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275</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122</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455</v>
      </c>
      <c r="B6429" t="s">
        <v>10284</v>
      </c>
    </row>
    <row r="6430" spans="1:2">
      <c r="A6430" s="1" t="s">
        <v>6704</v>
      </c>
      <c r="B6430" t="s">
        <v>10304</v>
      </c>
    </row>
    <row r="6431" spans="1:2">
      <c r="A6431" s="1" t="s">
        <v>194</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80</v>
      </c>
      <c r="B6451" t="s">
        <v>10298</v>
      </c>
    </row>
    <row r="6452" spans="1:2">
      <c r="A6452" s="1" t="s">
        <v>63</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321</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187</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214</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236</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206</v>
      </c>
      <c r="B9968" t="s">
        <v>10551</v>
      </c>
    </row>
    <row r="9969" spans="1:2">
      <c r="A9969" s="1" t="s">
        <v>10235</v>
      </c>
      <c r="B9969" t="s">
        <v>10552</v>
      </c>
    </row>
    <row r="9970" spans="1:2">
      <c r="A9970" s="1" t="s">
        <v>249</v>
      </c>
      <c r="B9970" t="s">
        <v>10551</v>
      </c>
    </row>
    <row r="9971" spans="1:2">
      <c r="A9971" s="1" t="s">
        <v>363</v>
      </c>
      <c r="B9971" t="s">
        <v>10553</v>
      </c>
    </row>
    <row r="9972" spans="1:2">
      <c r="A9972" s="1" t="s">
        <v>10236</v>
      </c>
      <c r="B9972" t="s">
        <v>10554</v>
      </c>
    </row>
    <row r="9973" spans="1:2">
      <c r="A9973" s="1" t="s">
        <v>173</v>
      </c>
      <c r="B9973" t="s">
        <v>10552</v>
      </c>
    </row>
    <row r="9974" spans="1:2">
      <c r="A9974" s="1" t="s">
        <v>428</v>
      </c>
      <c r="B9974" t="s">
        <v>10555</v>
      </c>
    </row>
    <row r="9975" spans="1:2">
      <c r="A9975" s="1" t="s">
        <v>245</v>
      </c>
      <c r="B9975" t="s">
        <v>10556</v>
      </c>
    </row>
    <row r="9976" spans="1:2">
      <c r="A9976" s="1" t="s">
        <v>354</v>
      </c>
      <c r="B9976" t="s">
        <v>10557</v>
      </c>
    </row>
    <row r="9977" spans="1:2">
      <c r="A9977" s="1" t="s">
        <v>356</v>
      </c>
      <c r="B9977" t="s">
        <v>10558</v>
      </c>
    </row>
    <row r="9978" spans="1:2">
      <c r="A9978" s="1" t="s">
        <v>294</v>
      </c>
      <c r="B9978" t="s">
        <v>10559</v>
      </c>
    </row>
    <row r="9979" spans="1:2">
      <c r="A9979" s="1" t="s">
        <v>615</v>
      </c>
      <c r="B9979" t="s">
        <v>10551</v>
      </c>
    </row>
    <row r="9980" spans="1:2">
      <c r="A9980" s="1" t="s">
        <v>554</v>
      </c>
      <c r="B9980" t="s">
        <v>10559</v>
      </c>
    </row>
    <row r="9981" spans="1:2">
      <c r="A9981" s="1" t="s">
        <v>401</v>
      </c>
      <c r="B9981" t="s">
        <v>10560</v>
      </c>
    </row>
    <row r="9982" spans="1:2">
      <c r="A9982" s="1" t="s">
        <v>10237</v>
      </c>
      <c r="B9982" t="s">
        <v>10561</v>
      </c>
    </row>
    <row r="9983" spans="1:2">
      <c r="A9983" s="1" t="s">
        <v>709</v>
      </c>
      <c r="B9983" t="s">
        <v>10562</v>
      </c>
    </row>
    <row r="9984" spans="1:2">
      <c r="A9984" s="1" t="s">
        <v>536</v>
      </c>
      <c r="B9984" t="s">
        <v>10557</v>
      </c>
    </row>
    <row r="9985" spans="1:2">
      <c r="A9985" s="1" t="s">
        <v>10238</v>
      </c>
      <c r="B9985" t="s">
        <v>10563</v>
      </c>
    </row>
    <row r="9986" spans="1:2">
      <c r="A9986" s="1" t="s">
        <v>538</v>
      </c>
      <c r="B9986" t="s">
        <v>10564</v>
      </c>
    </row>
    <row r="9987" spans="1:2">
      <c r="A9987" s="1" t="s">
        <v>10239</v>
      </c>
      <c r="B9987" t="s">
        <v>10565</v>
      </c>
    </row>
    <row r="9988" spans="1:2">
      <c r="A9988" s="1" t="s">
        <v>723</v>
      </c>
      <c r="B9988" t="s">
        <v>10566</v>
      </c>
    </row>
    <row r="9989" spans="1:2">
      <c r="A9989" s="1" t="s">
        <v>10240</v>
      </c>
      <c r="B9989" t="s">
        <v>10558</v>
      </c>
    </row>
    <row r="9990" spans="1:2">
      <c r="A9990" s="1" t="s">
        <v>708</v>
      </c>
      <c r="B9990" t="s">
        <v>10558</v>
      </c>
    </row>
    <row r="9991" spans="1:2">
      <c r="A9991" s="1" t="s">
        <v>597</v>
      </c>
      <c r="B9991" t="s">
        <v>10567</v>
      </c>
    </row>
    <row r="9992" spans="1:2">
      <c r="A9992" s="1" t="s">
        <v>621</v>
      </c>
      <c r="B9992" t="s">
        <v>10568</v>
      </c>
    </row>
    <row r="9993" spans="1:2">
      <c r="A9993" s="1" t="s">
        <v>749</v>
      </c>
      <c r="B9993" t="s">
        <v>10569</v>
      </c>
    </row>
    <row r="9994" spans="1:2">
      <c r="A9994" s="1" t="s">
        <v>669</v>
      </c>
      <c r="B9994" t="s">
        <v>10570</v>
      </c>
    </row>
    <row r="9995" spans="1:2">
      <c r="A9995" s="1" t="s">
        <v>688</v>
      </c>
      <c r="B9995" t="s">
        <v>10571</v>
      </c>
    </row>
    <row r="9996" spans="1:2">
      <c r="A9996" s="1" t="s">
        <v>503</v>
      </c>
      <c r="B9996" t="s">
        <v>10564</v>
      </c>
    </row>
    <row r="9997" spans="1:2">
      <c r="A9997" s="1" t="s">
        <v>10241</v>
      </c>
      <c r="B9997" t="s">
        <v>10572</v>
      </c>
    </row>
    <row r="9998" spans="1:2">
      <c r="A9998" s="1" t="s">
        <v>509</v>
      </c>
      <c r="B9998" t="s">
        <v>10573</v>
      </c>
    </row>
    <row r="9999" spans="1:2">
      <c r="A9999" s="1" t="s">
        <v>778</v>
      </c>
      <c r="B9999" t="s">
        <v>10568</v>
      </c>
    </row>
    <row r="10000" spans="1:2">
      <c r="A10000" s="1" t="s">
        <v>687</v>
      </c>
      <c r="B10000" t="s">
        <v>10574</v>
      </c>
    </row>
    <row r="10001" spans="1:2">
      <c r="A10001" s="1" t="s">
        <v>820</v>
      </c>
      <c r="B10001" t="s">
        <v>10575</v>
      </c>
    </row>
    <row r="10002" spans="1:2">
      <c r="A10002" s="1" t="s">
        <v>736</v>
      </c>
      <c r="B10002" t="s">
        <v>10576</v>
      </c>
    </row>
    <row r="10003" spans="1:2">
      <c r="A10003" s="1" t="s">
        <v>343</v>
      </c>
      <c r="B10003" t="s">
        <v>10577</v>
      </c>
    </row>
    <row r="10004" spans="1:2">
      <c r="A10004" s="1" t="s">
        <v>231</v>
      </c>
      <c r="B10004" t="s">
        <v>10578</v>
      </c>
    </row>
    <row r="10005" spans="1:2">
      <c r="A10005" s="1" t="s">
        <v>324</v>
      </c>
      <c r="B10005" t="s">
        <v>10574</v>
      </c>
    </row>
    <row r="10006" spans="1:2">
      <c r="A10006" s="1" t="s">
        <v>289</v>
      </c>
      <c r="B10006" t="s">
        <v>10553</v>
      </c>
    </row>
    <row r="10007" spans="1:2">
      <c r="A10007" s="1" t="s">
        <v>864</v>
      </c>
      <c r="B10007" t="s">
        <v>10575</v>
      </c>
    </row>
    <row r="10008" spans="1:2">
      <c r="A10008" s="1" t="s">
        <v>616</v>
      </c>
      <c r="B10008" t="s">
        <v>10556</v>
      </c>
    </row>
    <row r="10009" spans="1:2">
      <c r="A10009" s="1" t="s">
        <v>693</v>
      </c>
      <c r="B10009" t="s">
        <v>10579</v>
      </c>
    </row>
    <row r="10010" spans="1:2">
      <c r="A10010" s="1" t="s">
        <v>419</v>
      </c>
      <c r="B10010" t="s">
        <v>10553</v>
      </c>
    </row>
    <row r="10011" spans="1:2">
      <c r="A10011" s="1" t="s">
        <v>836</v>
      </c>
      <c r="B10011" t="s">
        <v>10575</v>
      </c>
    </row>
    <row r="10012" spans="1:2">
      <c r="A10012" s="1" t="s">
        <v>835</v>
      </c>
      <c r="B10012" t="s">
        <v>10575</v>
      </c>
    </row>
    <row r="10013" spans="1:2">
      <c r="A10013" s="1" t="s">
        <v>697</v>
      </c>
      <c r="B10013" t="s">
        <v>10580</v>
      </c>
    </row>
    <row r="10014" spans="1:2">
      <c r="A10014" s="1" t="s">
        <v>837</v>
      </c>
      <c r="B10014" t="s">
        <v>10575</v>
      </c>
    </row>
    <row r="10015" spans="1:2">
      <c r="A10015" s="1" t="s">
        <v>833</v>
      </c>
      <c r="B10015" t="s">
        <v>10563</v>
      </c>
    </row>
    <row r="10016" spans="1:2">
      <c r="A10016" s="1" t="s">
        <v>784</v>
      </c>
      <c r="B10016" t="s">
        <v>10575</v>
      </c>
    </row>
    <row r="10017" spans="1:2">
      <c r="A10017" s="1" t="s">
        <v>893</v>
      </c>
      <c r="B10017" t="s">
        <v>10561</v>
      </c>
    </row>
    <row r="10018" spans="1:2">
      <c r="A10018" s="1" t="s">
        <v>694</v>
      </c>
      <c r="B10018" t="s">
        <v>10552</v>
      </c>
    </row>
    <row r="10019" spans="1:2">
      <c r="A10019" s="1" t="s">
        <v>336</v>
      </c>
      <c r="B10019" t="s">
        <v>10581</v>
      </c>
    </row>
    <row r="10020" spans="1:2">
      <c r="A10020" s="1" t="s">
        <v>157</v>
      </c>
      <c r="B10020" t="s">
        <v>10582</v>
      </c>
    </row>
    <row r="10021" spans="1:2">
      <c r="A10021" s="1" t="s">
        <v>469</v>
      </c>
      <c r="B10021" t="s">
        <v>10583</v>
      </c>
    </row>
    <row r="10022" spans="1:2">
      <c r="A10022" s="1" t="s">
        <v>529</v>
      </c>
      <c r="B10022" t="s">
        <v>10584</v>
      </c>
    </row>
    <row r="10023" spans="1:2">
      <c r="A10023" s="1" t="s">
        <v>287</v>
      </c>
      <c r="B10023" t="s">
        <v>10585</v>
      </c>
    </row>
    <row r="10024" spans="1:2">
      <c r="A10024" s="1" t="s">
        <v>302</v>
      </c>
      <c r="B10024" t="s">
        <v>10586</v>
      </c>
    </row>
    <row r="10025" spans="1:2">
      <c r="A10025" s="1" t="s">
        <v>897</v>
      </c>
      <c r="B10025" t="s">
        <v>10587</v>
      </c>
    </row>
    <row r="10026" spans="1:2">
      <c r="A10026" s="1" t="s">
        <v>601</v>
      </c>
      <c r="B10026" t="s">
        <v>10588</v>
      </c>
    </row>
    <row r="10027" spans="1:2">
      <c r="A10027" s="1" t="s">
        <v>371</v>
      </c>
      <c r="B10027" t="s">
        <v>10589</v>
      </c>
    </row>
    <row r="10028" spans="1:2">
      <c r="A10028" s="1" t="s">
        <v>710</v>
      </c>
      <c r="B10028" t="s">
        <v>10590</v>
      </c>
    </row>
    <row r="10029" spans="1:2">
      <c r="A10029" s="1" t="s">
        <v>527</v>
      </c>
      <c r="B10029" t="s">
        <v>10588</v>
      </c>
    </row>
    <row r="10030" spans="1:2">
      <c r="A10030" s="1" t="s">
        <v>885</v>
      </c>
      <c r="B10030" t="s">
        <v>10591</v>
      </c>
    </row>
    <row r="10031" spans="1:2">
      <c r="A10031" s="1" t="s">
        <v>850</v>
      </c>
      <c r="B10031" t="s">
        <v>10591</v>
      </c>
    </row>
    <row r="10032" spans="1:2">
      <c r="A10032" s="1" t="s">
        <v>439</v>
      </c>
      <c r="B10032" t="s">
        <v>10586</v>
      </c>
    </row>
    <row r="10033" spans="1:2">
      <c r="A10033" s="1" t="s">
        <v>565</v>
      </c>
      <c r="B10033" t="s">
        <v>10586</v>
      </c>
    </row>
    <row r="10034" spans="1:2">
      <c r="A10034" s="1" t="s">
        <v>855</v>
      </c>
      <c r="B10034" t="s">
        <v>10592</v>
      </c>
    </row>
    <row r="10035" spans="1:2">
      <c r="A10035" s="1" t="s">
        <v>53</v>
      </c>
      <c r="B10035" t="s">
        <v>10593</v>
      </c>
    </row>
    <row r="10036" spans="1:2">
      <c r="A10036" s="1" t="s">
        <v>357</v>
      </c>
      <c r="B10036" t="s">
        <v>10586</v>
      </c>
    </row>
    <row r="10037" spans="1:2">
      <c r="A10037" s="1" t="s">
        <v>604</v>
      </c>
      <c r="B10037" t="s">
        <v>10594</v>
      </c>
    </row>
    <row r="10038" spans="1:2">
      <c r="A10038" s="1" t="s">
        <v>791</v>
      </c>
      <c r="B10038" t="s">
        <v>10595</v>
      </c>
    </row>
    <row r="10039" spans="1:2">
      <c r="A10039" s="1" t="s">
        <v>823</v>
      </c>
      <c r="B10039" t="s">
        <v>10596</v>
      </c>
    </row>
    <row r="10040" spans="1:2">
      <c r="A10040" s="1" t="s">
        <v>534</v>
      </c>
      <c r="B10040" t="s">
        <v>10597</v>
      </c>
    </row>
    <row r="10041" spans="1:2">
      <c r="A10041" s="1" t="s">
        <v>10242</v>
      </c>
      <c r="B10041" t="s">
        <v>10598</v>
      </c>
    </row>
    <row r="10042" spans="1:2">
      <c r="A10042" s="1" t="s">
        <v>896</v>
      </c>
      <c r="B10042" t="s">
        <v>10598</v>
      </c>
    </row>
    <row r="10043" spans="1:2">
      <c r="A10043" s="1" t="s">
        <v>109</v>
      </c>
      <c r="B10043" t="s">
        <v>10599</v>
      </c>
    </row>
    <row r="10044" spans="1:2">
      <c r="A10044" s="1" t="s">
        <v>871</v>
      </c>
      <c r="B10044" t="s">
        <v>10600</v>
      </c>
    </row>
    <row r="10045" spans="1:2">
      <c r="A10045" s="1" t="s">
        <v>119</v>
      </c>
      <c r="B10045" t="s">
        <v>10601</v>
      </c>
    </row>
    <row r="10046" spans="1:2">
      <c r="A10046" s="1" t="s">
        <v>808</v>
      </c>
      <c r="B10046" t="s">
        <v>10602</v>
      </c>
    </row>
    <row r="10047" spans="1:2">
      <c r="A10047" s="1" t="s">
        <v>518</v>
      </c>
      <c r="B10047" t="s">
        <v>10603</v>
      </c>
    </row>
    <row r="10048" spans="1:2">
      <c r="A10048" s="1" t="s">
        <v>513</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2023-09-14T07:12:47Z</dcterms:created>
  <dcterms:modified xsi:type="dcterms:W3CDTF">2023-09-14T07:12:47Z</dcterms:modified>
</cp:coreProperties>
</file>