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<sst xmlns="http://schemas.openxmlformats.org/spreadsheetml/2006/main" count="29520" uniqueCount="10611">
  <si>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</si>
  <si>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</si>
  <si>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</si>
  <si>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</si>
  <si>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</si>
  <si>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</si>
  <si>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</si>
  <si>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</si>
  <si>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</si>
  <si>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</si>
  <si>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</si>
  <si>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</si>
  <si>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</si>
  <si>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</si>
  <si>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</si>
  <si>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</si>
  <si>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</si>
  <si>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</si>
  <si>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</si>
  <si>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</si>
  <si>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</si>
  <si>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</si>
  <si>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</si>
  <si>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</si>
  <si>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</si>
  <si>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</si>
  <si>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</si>
  <si>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</si>
  <si>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</si>
  <si>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SON</t>
  </si>
  <si>
    <t>HUM</t>
  </si>
  <si>
    <t>WABC</t>
  </si>
  <si>
    <t>MMM</t>
  </si>
  <si>
    <t>BMY</t>
  </si>
  <si>
    <t>WBA</t>
  </si>
  <si>
    <t>CATC</t>
  </si>
  <si>
    <t>OZK</t>
  </si>
  <si>
    <t>CPKF</t>
  </si>
  <si>
    <t>WLY</t>
  </si>
  <si>
    <t>AIZ</t>
  </si>
  <si>
    <t>WSM</t>
  </si>
  <si>
    <t>AFG</t>
  </si>
  <si>
    <t>EBTC</t>
  </si>
  <si>
    <t>NWFL</t>
  </si>
  <si>
    <t>CTBI</t>
  </si>
  <si>
    <t>HIFS</t>
  </si>
  <si>
    <t>SWK</t>
  </si>
  <si>
    <t>ABM</t>
  </si>
  <si>
    <t>BRC</t>
  </si>
  <si>
    <t>DCI</t>
  </si>
  <si>
    <t>AEL</t>
  </si>
  <si>
    <t>TGT</t>
  </si>
  <si>
    <t>LOW</t>
  </si>
  <si>
    <t>RJF</t>
  </si>
  <si>
    <t>BCPC</t>
  </si>
  <si>
    <t>PII</t>
  </si>
  <si>
    <t>ADP</t>
  </si>
  <si>
    <t>FOXA</t>
  </si>
  <si>
    <t>TCEHY</t>
  </si>
  <si>
    <t>ELV</t>
  </si>
  <si>
    <t>NWN</t>
  </si>
  <si>
    <t>NFG</t>
  </si>
  <si>
    <t>PRI</t>
  </si>
  <si>
    <t>FMCB</t>
  </si>
  <si>
    <t>AMP</t>
  </si>
  <si>
    <t>EFSI</t>
  </si>
  <si>
    <t>AJG</t>
  </si>
  <si>
    <t>SYY</t>
  </si>
  <si>
    <t>BOKF</t>
  </si>
  <si>
    <t>THFF</t>
  </si>
  <si>
    <t>LNN</t>
  </si>
  <si>
    <t>TMO</t>
  </si>
  <si>
    <t>STE</t>
  </si>
  <si>
    <t>ADI</t>
  </si>
  <si>
    <t>KR</t>
  </si>
  <si>
    <t>TTC</t>
  </si>
  <si>
    <t>DOV</t>
  </si>
  <si>
    <t>AIT</t>
  </si>
  <si>
    <t>ADM</t>
  </si>
  <si>
    <t>RHHBY</t>
  </si>
  <si>
    <t>UNM</t>
  </si>
  <si>
    <t>ENSG</t>
  </si>
  <si>
    <t>SLGN</t>
  </si>
  <si>
    <t>DG</t>
  </si>
  <si>
    <t>JNJ</t>
  </si>
  <si>
    <t>BKH</t>
  </si>
  <si>
    <t>ITT</t>
  </si>
  <si>
    <t>FUL</t>
  </si>
  <si>
    <t>RBCAA</t>
  </si>
  <si>
    <t>FDS</t>
  </si>
  <si>
    <t>UVV</t>
  </si>
  <si>
    <t>CFR</t>
  </si>
  <si>
    <t>CSL</t>
  </si>
  <si>
    <t>FRT</t>
  </si>
  <si>
    <t>MDT</t>
  </si>
  <si>
    <t>WLK</t>
  </si>
  <si>
    <t>LARK</t>
  </si>
  <si>
    <t>NIDB</t>
  </si>
  <si>
    <t>DE</t>
  </si>
  <si>
    <t>INTU</t>
  </si>
  <si>
    <t>BDX</t>
  </si>
  <si>
    <t>SEIC</t>
  </si>
  <si>
    <t>SYK</t>
  </si>
  <si>
    <t>RRX</t>
  </si>
  <si>
    <t>PPG</t>
  </si>
  <si>
    <t>PSBQ</t>
  </si>
  <si>
    <t>GPC</t>
  </si>
  <si>
    <t>GL</t>
  </si>
  <si>
    <t>ATO</t>
  </si>
  <si>
    <t>ODFL</t>
  </si>
  <si>
    <t>CINF</t>
  </si>
  <si>
    <t>V</t>
  </si>
  <si>
    <t>KO</t>
  </si>
  <si>
    <t>CSX</t>
  </si>
  <si>
    <t>PH</t>
  </si>
  <si>
    <t>TRV</t>
  </si>
  <si>
    <t>DHR</t>
  </si>
  <si>
    <t>ROP</t>
  </si>
  <si>
    <t>RE</t>
  </si>
  <si>
    <t>CAT</t>
  </si>
  <si>
    <t>GGG</t>
  </si>
  <si>
    <t>FFMR</t>
  </si>
  <si>
    <t>CBSH</t>
  </si>
  <si>
    <t>CNI</t>
  </si>
  <si>
    <t>SPGI</t>
  </si>
  <si>
    <t>BANF</t>
  </si>
  <si>
    <t>HI</t>
  </si>
  <si>
    <t>EMR</t>
  </si>
  <si>
    <t>CASY</t>
  </si>
  <si>
    <t>KWR</t>
  </si>
  <si>
    <t>PNR</t>
  </si>
  <si>
    <t>CHE</t>
  </si>
  <si>
    <t>NDSN</t>
  </si>
  <si>
    <t>COST</t>
  </si>
  <si>
    <t>JBHT</t>
  </si>
  <si>
    <t>AOS</t>
  </si>
  <si>
    <t>UBSI</t>
  </si>
  <si>
    <t>GD</t>
  </si>
  <si>
    <t>CL</t>
  </si>
  <si>
    <t>EVR</t>
  </si>
  <si>
    <t>HRL</t>
  </si>
  <si>
    <t>TNC</t>
  </si>
  <si>
    <t>ITW</t>
  </si>
  <si>
    <t>WMT</t>
  </si>
  <si>
    <t>RPM</t>
  </si>
  <si>
    <t>MGEE</t>
  </si>
  <si>
    <t>HWKN</t>
  </si>
  <si>
    <t>RNR</t>
  </si>
  <si>
    <t>BEN</t>
  </si>
  <si>
    <t>BRO</t>
  </si>
  <si>
    <t>AXS</t>
  </si>
  <si>
    <t>SCL</t>
  </si>
  <si>
    <t>AWR</t>
  </si>
  <si>
    <t>SJW</t>
  </si>
  <si>
    <t>LECO</t>
  </si>
  <si>
    <t>ABBV</t>
  </si>
  <si>
    <t>NOC</t>
  </si>
  <si>
    <t>JKHY</t>
  </si>
  <si>
    <t>FELE</t>
  </si>
  <si>
    <t>SHW</t>
  </si>
  <si>
    <t>CB</t>
  </si>
  <si>
    <t>GWW</t>
  </si>
  <si>
    <t>UNF</t>
  </si>
  <si>
    <t>SRCE</t>
  </si>
  <si>
    <t>MSEX</t>
  </si>
  <si>
    <t>GATX</t>
  </si>
  <si>
    <t>CHD</t>
  </si>
  <si>
    <t>MCK</t>
  </si>
  <si>
    <t>ANDE</t>
  </si>
  <si>
    <t>AFL</t>
  </si>
  <si>
    <t>ECL</t>
  </si>
  <si>
    <t>MCD</t>
  </si>
  <si>
    <t>MGRC</t>
  </si>
  <si>
    <t>MSFT</t>
  </si>
  <si>
    <t>MATW</t>
  </si>
  <si>
    <t>LANC</t>
  </si>
  <si>
    <t>ABT</t>
  </si>
  <si>
    <t>MSA</t>
  </si>
  <si>
    <t>ABC</t>
  </si>
  <si>
    <t>ATR</t>
  </si>
  <si>
    <t>TMP</t>
  </si>
  <si>
    <t>PG</t>
  </si>
  <si>
    <t>LIN</t>
  </si>
  <si>
    <t>TR</t>
  </si>
  <si>
    <t>CTAS</t>
  </si>
  <si>
    <t>HEI</t>
  </si>
  <si>
    <t>CWT</t>
  </si>
  <si>
    <t>BF.B</t>
  </si>
  <si>
    <t>AMAT</t>
  </si>
  <si>
    <t>XOM</t>
  </si>
  <si>
    <t>EXPD</t>
  </si>
  <si>
    <t>CVX</t>
  </si>
  <si>
    <t>MLI</t>
  </si>
  <si>
    <t>RLI</t>
  </si>
  <si>
    <t>AAPL</t>
  </si>
  <si>
    <t>CAH</t>
  </si>
  <si>
    <t>WST</t>
  </si>
  <si>
    <t>NUE</t>
  </si>
  <si>
    <t>NVDA</t>
  </si>
  <si>
    <t>BMI</t>
  </si>
  <si>
    <t>TDS</t>
  </si>
  <si>
    <t>CASS</t>
  </si>
  <si>
    <t>UGI</t>
  </si>
  <si>
    <t>SCHW</t>
  </si>
  <si>
    <t>BAX</t>
  </si>
  <si>
    <t>MTB</t>
  </si>
  <si>
    <t>T</t>
  </si>
  <si>
    <t>ES</t>
  </si>
  <si>
    <t>VZ</t>
  </si>
  <si>
    <t>CVS</t>
  </si>
  <si>
    <t>OGN</t>
  </si>
  <si>
    <t>CI</t>
  </si>
  <si>
    <t>BMRC</t>
  </si>
  <si>
    <t>UNH</t>
  </si>
  <si>
    <t>DPZ</t>
  </si>
  <si>
    <t>TD</t>
  </si>
  <si>
    <t>ENB</t>
  </si>
  <si>
    <t>SBSI</t>
  </si>
  <si>
    <t>BIP</t>
  </si>
  <si>
    <t>SBAC</t>
  </si>
  <si>
    <t>NUS</t>
  </si>
  <si>
    <t>BNS</t>
  </si>
  <si>
    <t>CM</t>
  </si>
  <si>
    <t>MO</t>
  </si>
  <si>
    <t>PB</t>
  </si>
  <si>
    <t>EMN</t>
  </si>
  <si>
    <t>CP</t>
  </si>
  <si>
    <t>BHB</t>
  </si>
  <si>
    <t>QCOM</t>
  </si>
  <si>
    <t>TSN</t>
  </si>
  <si>
    <t>BMO</t>
  </si>
  <si>
    <t>CMCSA</t>
  </si>
  <si>
    <t>TYCB</t>
  </si>
  <si>
    <t>ESS</t>
  </si>
  <si>
    <t>KDP</t>
  </si>
  <si>
    <t>CMI</t>
  </si>
  <si>
    <t>AMGN</t>
  </si>
  <si>
    <t>RY</t>
  </si>
  <si>
    <t>SPTN</t>
  </si>
  <si>
    <t>CTSH</t>
  </si>
  <si>
    <t>HRB</t>
  </si>
  <si>
    <t>NTIOF</t>
  </si>
  <si>
    <t>RHI</t>
  </si>
  <si>
    <t>NTRS</t>
  </si>
  <si>
    <t>PRGO</t>
  </si>
  <si>
    <t>LNT</t>
  </si>
  <si>
    <t>UMBF</t>
  </si>
  <si>
    <t>RBA</t>
  </si>
  <si>
    <t>SRE</t>
  </si>
  <si>
    <t>MMS</t>
  </si>
  <si>
    <t>SR</t>
  </si>
  <si>
    <t>MET</t>
  </si>
  <si>
    <t>EPD</t>
  </si>
  <si>
    <t>SLF</t>
  </si>
  <si>
    <t>ALRS</t>
  </si>
  <si>
    <t>PNGAY</t>
  </si>
  <si>
    <t>EBAY</t>
  </si>
  <si>
    <t>AUBN</t>
  </si>
  <si>
    <t>AEP</t>
  </si>
  <si>
    <t>LHX</t>
  </si>
  <si>
    <t>FDX</t>
  </si>
  <si>
    <t>DEO</t>
  </si>
  <si>
    <t>RCI</t>
  </si>
  <si>
    <t>ATRI</t>
  </si>
  <si>
    <t>NSC</t>
  </si>
  <si>
    <t>FTS</t>
  </si>
  <si>
    <t>ICE</t>
  </si>
  <si>
    <t>OTTR</t>
  </si>
  <si>
    <t>SUN</t>
  </si>
  <si>
    <t>NRG</t>
  </si>
  <si>
    <t>UNP</t>
  </si>
  <si>
    <t>TTE</t>
  </si>
  <si>
    <t>SCI</t>
  </si>
  <si>
    <t>NKE</t>
  </si>
  <si>
    <t>CSCO</t>
  </si>
  <si>
    <t>CIO</t>
  </si>
  <si>
    <t>NEE</t>
  </si>
  <si>
    <t>NJR</t>
  </si>
  <si>
    <t>YUM</t>
  </si>
  <si>
    <t>FMC</t>
  </si>
  <si>
    <t>UHT</t>
  </si>
  <si>
    <t>CBOE</t>
  </si>
  <si>
    <t>ETR</t>
  </si>
  <si>
    <t>NDAQ</t>
  </si>
  <si>
    <t>NVS</t>
  </si>
  <si>
    <t>AAP</t>
  </si>
  <si>
    <t>BR</t>
  </si>
  <si>
    <t>EQIX</t>
  </si>
  <si>
    <t>BLK</t>
  </si>
  <si>
    <t>CDUAF</t>
  </si>
  <si>
    <t>DTE</t>
  </si>
  <si>
    <t>MORN</t>
  </si>
  <si>
    <t>SWKS</t>
  </si>
  <si>
    <t>GEF</t>
  </si>
  <si>
    <t>PDCO</t>
  </si>
  <si>
    <t>INGR</t>
  </si>
  <si>
    <t>MDLZ</t>
  </si>
  <si>
    <t>INFY</t>
  </si>
  <si>
    <t>AXP</t>
  </si>
  <si>
    <t>PSX</t>
  </si>
  <si>
    <t>SXT</t>
  </si>
  <si>
    <t>FLIC</t>
  </si>
  <si>
    <t>SIEGY</t>
  </si>
  <si>
    <t>AVNT</t>
  </si>
  <si>
    <t>APH</t>
  </si>
  <si>
    <t>HD</t>
  </si>
  <si>
    <t>TSCO</t>
  </si>
  <si>
    <t>CBU</t>
  </si>
  <si>
    <t>UPS</t>
  </si>
  <si>
    <t>GRC</t>
  </si>
  <si>
    <t>K</t>
  </si>
  <si>
    <t>OMC</t>
  </si>
  <si>
    <t>WTRG</t>
  </si>
  <si>
    <t>EIX</t>
  </si>
  <si>
    <t>LMT</t>
  </si>
  <si>
    <t>IPG</t>
  </si>
  <si>
    <t>BAH</t>
  </si>
  <si>
    <t>MCO</t>
  </si>
  <si>
    <t>TXN</t>
  </si>
  <si>
    <t>RSG</t>
  </si>
  <si>
    <t>WHR</t>
  </si>
  <si>
    <t>AWK</t>
  </si>
  <si>
    <t>LRLCF</t>
  </si>
  <si>
    <t>XEL</t>
  </si>
  <si>
    <t>ZTS</t>
  </si>
  <si>
    <t>MURGF</t>
  </si>
  <si>
    <t>IBM</t>
  </si>
  <si>
    <t>RMD</t>
  </si>
  <si>
    <t>RGLD</t>
  </si>
  <si>
    <t>HON</t>
  </si>
  <si>
    <t>ARTNA</t>
  </si>
  <si>
    <t>PNM</t>
  </si>
  <si>
    <t>SAP</t>
  </si>
  <si>
    <t>NVO</t>
  </si>
  <si>
    <t>RTX</t>
  </si>
  <si>
    <t>MRK</t>
  </si>
  <si>
    <t>HII</t>
  </si>
  <si>
    <t>AMX</t>
  </si>
  <si>
    <t>TROW</t>
  </si>
  <si>
    <t>KMB</t>
  </si>
  <si>
    <t>GILD</t>
  </si>
  <si>
    <t>BBY</t>
  </si>
  <si>
    <t>CMS</t>
  </si>
  <si>
    <t>CARR</t>
  </si>
  <si>
    <t>SNA</t>
  </si>
  <si>
    <t>PEP</t>
  </si>
  <si>
    <t>SJM</t>
  </si>
  <si>
    <t>ED</t>
  </si>
  <si>
    <t>IMO</t>
  </si>
  <si>
    <t>WM</t>
  </si>
  <si>
    <t>LAD</t>
  </si>
  <si>
    <t>APD</t>
  </si>
  <si>
    <t>YORW</t>
  </si>
  <si>
    <t>NC</t>
  </si>
  <si>
    <t>TRI</t>
  </si>
  <si>
    <t>ROK</t>
  </si>
  <si>
    <t>ERIE</t>
  </si>
  <si>
    <t>TT</t>
  </si>
  <si>
    <t>FNV</t>
  </si>
  <si>
    <t>HUBB</t>
  </si>
  <si>
    <t>XYL</t>
  </si>
  <si>
    <t>ORCL</t>
  </si>
  <si>
    <t>OTIS</t>
  </si>
  <si>
    <t>CPK</t>
  </si>
  <si>
    <t>MKC</t>
  </si>
  <si>
    <t>HSY</t>
  </si>
  <si>
    <t>BALL</t>
  </si>
  <si>
    <t>CHRW</t>
  </si>
  <si>
    <t>MWA</t>
  </si>
  <si>
    <t>FMS</t>
  </si>
  <si>
    <t>VRSK</t>
  </si>
  <si>
    <t>CEG</t>
  </si>
  <si>
    <t>LLY</t>
  </si>
  <si>
    <t>VFC</t>
  </si>
  <si>
    <t>OPI</t>
  </si>
  <si>
    <t>EOG</t>
  </si>
  <si>
    <t>LNC</t>
  </si>
  <si>
    <t>ZION</t>
  </si>
  <si>
    <t>WAFD</t>
  </si>
  <si>
    <t>SNV</t>
  </si>
  <si>
    <t>HASI</t>
  </si>
  <si>
    <t>ASB</t>
  </si>
  <si>
    <t>PACW</t>
  </si>
  <si>
    <t>AROW</t>
  </si>
  <si>
    <t>FULT</t>
  </si>
  <si>
    <t>EQH</t>
  </si>
  <si>
    <t>MGA</t>
  </si>
  <si>
    <t>FMBH</t>
  </si>
  <si>
    <t>GEL</t>
  </si>
  <si>
    <t>BAC</t>
  </si>
  <si>
    <t>HIG</t>
  </si>
  <si>
    <t>VST</t>
  </si>
  <si>
    <t>SYBT</t>
  </si>
  <si>
    <t>STT</t>
  </si>
  <si>
    <t>CCI</t>
  </si>
  <si>
    <t>TS</t>
  </si>
  <si>
    <t>EQNR</t>
  </si>
  <si>
    <t>IBOC</t>
  </si>
  <si>
    <t>TRSWF</t>
  </si>
  <si>
    <t>NEP</t>
  </si>
  <si>
    <t>HAL</t>
  </si>
  <si>
    <t>EVRG</t>
  </si>
  <si>
    <t>HOG</t>
  </si>
  <si>
    <t>HOMB</t>
  </si>
  <si>
    <t>MA</t>
  </si>
  <si>
    <t>SNY</t>
  </si>
  <si>
    <t>TRN</t>
  </si>
  <si>
    <t>KKR</t>
  </si>
  <si>
    <t>MMP</t>
  </si>
  <si>
    <t>BTI</t>
  </si>
  <si>
    <t>IFF</t>
  </si>
  <si>
    <t>O</t>
  </si>
  <si>
    <t>AMT</t>
  </si>
  <si>
    <t>ALE</t>
  </si>
  <si>
    <t>SKM</t>
  </si>
  <si>
    <t>R</t>
  </si>
  <si>
    <t>DLR</t>
  </si>
  <si>
    <t>KNOP</t>
  </si>
  <si>
    <t>HMN</t>
  </si>
  <si>
    <t>CUBE</t>
  </si>
  <si>
    <t>NSP</t>
  </si>
  <si>
    <t>POR</t>
  </si>
  <si>
    <t>MPLX</t>
  </si>
  <si>
    <t>VNO</t>
  </si>
  <si>
    <t>BC</t>
  </si>
  <si>
    <t>BK</t>
  </si>
  <si>
    <t>SAN</t>
  </si>
  <si>
    <t>NNN</t>
  </si>
  <si>
    <t>OKE</t>
  </si>
  <si>
    <t>PSA</t>
  </si>
  <si>
    <t>ILPT</t>
  </si>
  <si>
    <t>WU</t>
  </si>
  <si>
    <t>ERF</t>
  </si>
  <si>
    <t>RGA</t>
  </si>
  <si>
    <t>WFC</t>
  </si>
  <si>
    <t>PAYX</t>
  </si>
  <si>
    <t>MCHP</t>
  </si>
  <si>
    <t>RGCO</t>
  </si>
  <si>
    <t>WGO</t>
  </si>
  <si>
    <t>IEX</t>
  </si>
  <si>
    <t>AON</t>
  </si>
  <si>
    <t>AVY</t>
  </si>
  <si>
    <t>CE</t>
  </si>
  <si>
    <t>BWA</t>
  </si>
  <si>
    <t>SBUX</t>
  </si>
  <si>
    <t>WPC</t>
  </si>
  <si>
    <t>GWLIF</t>
  </si>
  <si>
    <t>WOR</t>
  </si>
  <si>
    <t>ACI</t>
  </si>
  <si>
    <t>CPB</t>
  </si>
  <si>
    <t>HP</t>
  </si>
  <si>
    <t>NWE</t>
  </si>
  <si>
    <t>PFG</t>
  </si>
  <si>
    <t>JPM</t>
  </si>
  <si>
    <t>MSM</t>
  </si>
  <si>
    <t>WEC</t>
  </si>
  <si>
    <t>OGE</t>
  </si>
  <si>
    <t>TRGP</t>
  </si>
  <si>
    <t>DKS</t>
  </si>
  <si>
    <t>OGS</t>
  </si>
  <si>
    <t>SYF</t>
  </si>
  <si>
    <t>NXST</t>
  </si>
  <si>
    <t>PM</t>
  </si>
  <si>
    <t>HNI</t>
  </si>
  <si>
    <t>PGRE</t>
  </si>
  <si>
    <t>UL</t>
  </si>
  <si>
    <t>OLN</t>
  </si>
  <si>
    <t>OSK</t>
  </si>
  <si>
    <t>HE</t>
  </si>
  <si>
    <t>DGICA</t>
  </si>
  <si>
    <t>FLO</t>
  </si>
  <si>
    <t>OTEX</t>
  </si>
  <si>
    <t>POOL</t>
  </si>
  <si>
    <t>IDA</t>
  </si>
  <si>
    <t>STN</t>
  </si>
  <si>
    <t>AGM</t>
  </si>
  <si>
    <t>STZ</t>
  </si>
  <si>
    <t>MAR</t>
  </si>
  <si>
    <t>LEN</t>
  </si>
  <si>
    <t>KLAC</t>
  </si>
  <si>
    <t>DUK</t>
  </si>
  <si>
    <t>TEL</t>
  </si>
  <si>
    <t>HMC</t>
  </si>
  <si>
    <t>LEG</t>
  </si>
  <si>
    <t>DFS</t>
  </si>
  <si>
    <t>GS</t>
  </si>
  <si>
    <t>ORI</t>
  </si>
  <si>
    <t>UBS</t>
  </si>
  <si>
    <t>HPQ</t>
  </si>
  <si>
    <t>BG</t>
  </si>
  <si>
    <t>JBL</t>
  </si>
  <si>
    <t>TRTN</t>
  </si>
  <si>
    <t>MMC</t>
  </si>
  <si>
    <t>LII</t>
  </si>
  <si>
    <t>APOG</t>
  </si>
  <si>
    <t>NAVI</t>
  </si>
  <si>
    <t>CLX</t>
  </si>
  <si>
    <t>SO</t>
  </si>
  <si>
    <t>SAXPY</t>
  </si>
  <si>
    <t>TKR</t>
  </si>
  <si>
    <t>DINO</t>
  </si>
  <si>
    <t>M</t>
  </si>
  <si>
    <t>BUD</t>
  </si>
  <si>
    <t>AVT</t>
  </si>
  <si>
    <t>AVA</t>
  </si>
  <si>
    <t>HPE</t>
  </si>
  <si>
    <t>DLB</t>
  </si>
  <si>
    <t>PGR</t>
  </si>
  <si>
    <t>ESRT</t>
  </si>
  <si>
    <t>FAST</t>
  </si>
  <si>
    <t>SWX</t>
  </si>
  <si>
    <t>GIS</t>
  </si>
  <si>
    <t>THO</t>
  </si>
  <si>
    <t>ODC</t>
  </si>
  <si>
    <t>FANG</t>
  </si>
  <si>
    <t>DDS</t>
  </si>
  <si>
    <t>CF</t>
  </si>
  <si>
    <t>NSRGY</t>
  </si>
  <si>
    <t>CTRA</t>
  </si>
  <si>
    <t>PEG</t>
  </si>
  <si>
    <t>APA</t>
  </si>
  <si>
    <t>SXI</t>
  </si>
  <si>
    <t>RELX</t>
  </si>
  <si>
    <t>DGX</t>
  </si>
  <si>
    <t>LRCX</t>
  </si>
  <si>
    <t>ABB</t>
  </si>
  <si>
    <t>GE</t>
  </si>
  <si>
    <t>NEU</t>
  </si>
  <si>
    <t>DHI</t>
  </si>
  <si>
    <t>MLM</t>
  </si>
  <si>
    <t>BBD</t>
  </si>
  <si>
    <t>SONY</t>
  </si>
  <si>
    <t>COP</t>
  </si>
  <si>
    <t>PHM</t>
  </si>
  <si>
    <t>MU</t>
  </si>
  <si>
    <t>RS</t>
  </si>
  <si>
    <t>COLD</t>
  </si>
  <si>
    <t>FCX</t>
  </si>
  <si>
    <t>COF</t>
  </si>
  <si>
    <t>PPL</t>
  </si>
  <si>
    <t>VMC</t>
  </si>
  <si>
    <t>MPC</t>
  </si>
  <si>
    <t>OXY</t>
  </si>
  <si>
    <t>MFGP</t>
  </si>
  <si>
    <t>AGO</t>
  </si>
  <si>
    <t>DVN</t>
  </si>
  <si>
    <t>STLD</t>
  </si>
  <si>
    <t>KEY</t>
  </si>
  <si>
    <t>DEI</t>
  </si>
  <si>
    <t>PDM</t>
  </si>
  <si>
    <t>NRIM</t>
  </si>
  <si>
    <t>ALV</t>
  </si>
  <si>
    <t>UNIT</t>
  </si>
  <si>
    <t>FIS</t>
  </si>
  <si>
    <t>ARLP</t>
  </si>
  <si>
    <t>USB</t>
  </si>
  <si>
    <t>TFC</t>
  </si>
  <si>
    <t>CUZ</t>
  </si>
  <si>
    <t>HIW</t>
  </si>
  <si>
    <t>YUMC</t>
  </si>
  <si>
    <t>NWL</t>
  </si>
  <si>
    <t>SAFE</t>
  </si>
  <si>
    <t>PNC</t>
  </si>
  <si>
    <t>KRC</t>
  </si>
  <si>
    <t>HSBC</t>
  </si>
  <si>
    <t>HBAN</t>
  </si>
  <si>
    <t>ARE</t>
  </si>
  <si>
    <t>PINC</t>
  </si>
  <si>
    <t>CFG</t>
  </si>
  <si>
    <t>PAA</t>
  </si>
  <si>
    <t>CMA</t>
  </si>
  <si>
    <t>RF</t>
  </si>
  <si>
    <t>GSK</t>
  </si>
  <si>
    <t>ASML</t>
  </si>
  <si>
    <t>IRT</t>
  </si>
  <si>
    <t>ETD</t>
  </si>
  <si>
    <t>MAC</t>
  </si>
  <si>
    <t>DEA</t>
  </si>
  <si>
    <t>OFC</t>
  </si>
  <si>
    <t>WRK</t>
  </si>
  <si>
    <t>NTR</t>
  </si>
  <si>
    <t>MFC</t>
  </si>
  <si>
    <t>FITB</t>
  </si>
  <si>
    <t>GROW</t>
  </si>
  <si>
    <t>FMAO</t>
  </si>
  <si>
    <t>AY</t>
  </si>
  <si>
    <t>MKTX</t>
  </si>
  <si>
    <t>DTEGY</t>
  </si>
  <si>
    <t>ATLO</t>
  </si>
  <si>
    <t>C</t>
  </si>
  <si>
    <t>BAYRY</t>
  </si>
  <si>
    <t>JACK</t>
  </si>
  <si>
    <t>AEE</t>
  </si>
  <si>
    <t>ITUB</t>
  </si>
  <si>
    <t>MAA</t>
  </si>
  <si>
    <t>LYB</t>
  </si>
  <si>
    <t>NHI</t>
  </si>
  <si>
    <t>CAKE</t>
  </si>
  <si>
    <t>KTB</t>
  </si>
  <si>
    <t>DOX</t>
  </si>
  <si>
    <t>PRU</t>
  </si>
  <si>
    <t>TPR</t>
  </si>
  <si>
    <t>WSR</t>
  </si>
  <si>
    <t>JNPR</t>
  </si>
  <si>
    <t>KRG</t>
  </si>
  <si>
    <t>CRI</t>
  </si>
  <si>
    <t>MAN</t>
  </si>
  <si>
    <t>MCY</t>
  </si>
  <si>
    <t>VTRS</t>
  </si>
  <si>
    <t>MS</t>
  </si>
  <si>
    <t>WSBC</t>
  </si>
  <si>
    <t>THG</t>
  </si>
  <si>
    <t>KMI</t>
  </si>
  <si>
    <t>AES</t>
  </si>
  <si>
    <t>EMRAF</t>
  </si>
  <si>
    <t>NTAP</t>
  </si>
  <si>
    <t>WPP</t>
  </si>
  <si>
    <t>NGG</t>
  </si>
  <si>
    <t>DOC</t>
  </si>
  <si>
    <t>E</t>
  </si>
  <si>
    <t>GNTX</t>
  </si>
  <si>
    <t>UE</t>
  </si>
  <si>
    <t>CWEN</t>
  </si>
  <si>
    <t>TSM</t>
  </si>
  <si>
    <t>WMB</t>
  </si>
  <si>
    <t>ALLY</t>
  </si>
  <si>
    <t>TRST</t>
  </si>
  <si>
    <t>SBLK</t>
  </si>
  <si>
    <t>PLYM</t>
  </si>
  <si>
    <t>FNF</t>
  </si>
  <si>
    <t>ET</t>
  </si>
  <si>
    <t>PSTL</t>
  </si>
  <si>
    <t>DD</t>
  </si>
  <si>
    <t>CAG</t>
  </si>
  <si>
    <t>STAG</t>
  </si>
  <si>
    <t>BRX</t>
  </si>
  <si>
    <t>LAZ</t>
  </si>
  <si>
    <t>NXRT</t>
  </si>
  <si>
    <t>GLW</t>
  </si>
  <si>
    <t>EGP</t>
  </si>
  <si>
    <t>JWN</t>
  </si>
  <si>
    <t>CPT</t>
  </si>
  <si>
    <t>MBGAF</t>
  </si>
  <si>
    <t>CC</t>
  </si>
  <si>
    <t>WEYS</t>
  </si>
  <si>
    <t>VALE</t>
  </si>
  <si>
    <t>TU</t>
  </si>
  <si>
    <t>PKG</t>
  </si>
  <si>
    <t>F</t>
  </si>
  <si>
    <t>CNA</t>
  </si>
  <si>
    <t>PNW</t>
  </si>
  <si>
    <t>REG</t>
  </si>
  <si>
    <t>PCAR</t>
  </si>
  <si>
    <t>IMBBY</t>
  </si>
  <si>
    <t>BKR</t>
  </si>
  <si>
    <t>GRMN</t>
  </si>
  <si>
    <t>BP</t>
  </si>
  <si>
    <t>RL</t>
  </si>
  <si>
    <t>FUN</t>
  </si>
  <si>
    <t>SLB</t>
  </si>
  <si>
    <t>BMWYY</t>
  </si>
  <si>
    <t>ROST</t>
  </si>
  <si>
    <t>RPT</t>
  </si>
  <si>
    <t>AMH</t>
  </si>
  <si>
    <t>PFE</t>
  </si>
  <si>
    <t>SUUIF</t>
  </si>
  <si>
    <t>IVZ</t>
  </si>
  <si>
    <t>WY</t>
  </si>
  <si>
    <t>PPRQF</t>
  </si>
  <si>
    <t>JCI</t>
  </si>
  <si>
    <t>ING</t>
  </si>
  <si>
    <t>ELS</t>
  </si>
  <si>
    <t>HEP</t>
  </si>
  <si>
    <t>APO</t>
  </si>
  <si>
    <t>TJX</t>
  </si>
  <si>
    <t>CME</t>
  </si>
  <si>
    <t>EXPO</t>
  </si>
  <si>
    <t>GOLD</t>
  </si>
  <si>
    <t>UBA</t>
  </si>
  <si>
    <t>SU</t>
  </si>
  <si>
    <t>SBS</t>
  </si>
  <si>
    <t>SSREY</t>
  </si>
  <si>
    <t>FR</t>
  </si>
  <si>
    <t>CNP</t>
  </si>
  <si>
    <t>MDC</t>
  </si>
  <si>
    <t>MPWR</t>
  </si>
  <si>
    <t>SMFG</t>
  </si>
  <si>
    <t>PXD</t>
  </si>
  <si>
    <t>SHEL</t>
  </si>
  <si>
    <t>TAP</t>
  </si>
  <si>
    <t>CWCO</t>
  </si>
  <si>
    <t>PSO</t>
  </si>
  <si>
    <t>CODI</t>
  </si>
  <si>
    <t>PVL</t>
  </si>
  <si>
    <t>SKT</t>
  </si>
  <si>
    <t>FRFHF</t>
  </si>
  <si>
    <t>STX</t>
  </si>
  <si>
    <t>TM</t>
  </si>
  <si>
    <t>JJSF</t>
  </si>
  <si>
    <t>FAF</t>
  </si>
  <si>
    <t>SCHL</t>
  </si>
  <si>
    <t>PKX</t>
  </si>
  <si>
    <t>CMP</t>
  </si>
  <si>
    <t>ACN</t>
  </si>
  <si>
    <t>AVGO</t>
  </si>
  <si>
    <t>CNQ</t>
  </si>
  <si>
    <t>PECO</t>
  </si>
  <si>
    <t>ETN</t>
  </si>
  <si>
    <t>RACE</t>
  </si>
  <si>
    <t>WDFC</t>
  </si>
  <si>
    <t>BAM</t>
  </si>
  <si>
    <t>LOGI</t>
  </si>
  <si>
    <t>NEWT</t>
  </si>
  <si>
    <t>VLO</t>
  </si>
  <si>
    <t>WPM</t>
  </si>
  <si>
    <t>AZN</t>
  </si>
  <si>
    <t>MLR</t>
  </si>
  <si>
    <t>KLIC</t>
  </si>
  <si>
    <t>PARA</t>
  </si>
  <si>
    <t>HLI</t>
  </si>
  <si>
    <t>SLG</t>
  </si>
  <si>
    <t>BDN</t>
  </si>
  <si>
    <t>IEP</t>
  </si>
  <si>
    <t>HGTXU</t>
  </si>
  <si>
    <t>IIPR</t>
  </si>
  <si>
    <t>AAT</t>
  </si>
  <si>
    <t>ARR</t>
  </si>
  <si>
    <t>PBR</t>
  </si>
  <si>
    <t>CLPR</t>
  </si>
  <si>
    <t>MED</t>
  </si>
  <si>
    <t>GNL</t>
  </si>
  <si>
    <t>CHCT</t>
  </si>
  <si>
    <t>UMH</t>
  </si>
  <si>
    <t>PEAK</t>
  </si>
  <si>
    <t>WEN</t>
  </si>
  <si>
    <t>ERIC</t>
  </si>
  <si>
    <t>SFL</t>
  </si>
  <si>
    <t>HR</t>
  </si>
  <si>
    <t>TWO</t>
  </si>
  <si>
    <t>KREF</t>
  </si>
  <si>
    <t>WASH</t>
  </si>
  <si>
    <t>JHG</t>
  </si>
  <si>
    <t>HAS</t>
  </si>
  <si>
    <t>CTO</t>
  </si>
  <si>
    <t>CIM</t>
  </si>
  <si>
    <t>BXP</t>
  </si>
  <si>
    <t>NSA</t>
  </si>
  <si>
    <t>GECC</t>
  </si>
  <si>
    <t>SBRA</t>
  </si>
  <si>
    <t>OXSQ</t>
  </si>
  <si>
    <t>HRZN</t>
  </si>
  <si>
    <t>AGNC</t>
  </si>
  <si>
    <t>LTC</t>
  </si>
  <si>
    <t>NTST</t>
  </si>
  <si>
    <t>TPVG</t>
  </si>
  <si>
    <t>NWBI</t>
  </si>
  <si>
    <t>GSBD</t>
  </si>
  <si>
    <t>CSWC</t>
  </si>
  <si>
    <t>GOOD</t>
  </si>
  <si>
    <t>OWL</t>
  </si>
  <si>
    <t>TRP</t>
  </si>
  <si>
    <t>PSEC</t>
  </si>
  <si>
    <t>MPW</t>
  </si>
  <si>
    <t>EFC</t>
  </si>
  <si>
    <t>PHG</t>
  </si>
  <si>
    <t>XRX</t>
  </si>
  <si>
    <t>APLE</t>
  </si>
  <si>
    <t>AB</t>
  </si>
  <si>
    <t>NYMT</t>
  </si>
  <si>
    <t>OLP</t>
  </si>
  <si>
    <t>MAIN</t>
  </si>
  <si>
    <t>GLAD</t>
  </si>
  <si>
    <t>EPR</t>
  </si>
  <si>
    <t>GLPI</t>
  </si>
  <si>
    <t>MRCC</t>
  </si>
  <si>
    <t>ACRE</t>
  </si>
  <si>
    <t>EQR</t>
  </si>
  <si>
    <t>VICI</t>
  </si>
  <si>
    <t>AKR</t>
  </si>
  <si>
    <t>LADR</t>
  </si>
  <si>
    <t>UDR</t>
  </si>
  <si>
    <t>PINE</t>
  </si>
  <si>
    <t>SJT</t>
  </si>
  <si>
    <t>SPG</t>
  </si>
  <si>
    <t>NYCB</t>
  </si>
  <si>
    <t>EARN</t>
  </si>
  <si>
    <t>KSS</t>
  </si>
  <si>
    <t>CTRE</t>
  </si>
  <si>
    <t>GMRE</t>
  </si>
  <si>
    <t>ORC</t>
  </si>
  <si>
    <t>NLY</t>
  </si>
  <si>
    <t>D</t>
  </si>
  <si>
    <t>SACH</t>
  </si>
  <si>
    <t>VOD</t>
  </si>
  <si>
    <t>BEP</t>
  </si>
  <si>
    <t>EPRT</t>
  </si>
  <si>
    <t>RITM</t>
  </si>
  <si>
    <t>SCM</t>
  </si>
  <si>
    <t>ARI</t>
  </si>
  <si>
    <t>FCPT</t>
  </si>
  <si>
    <t>WSO</t>
  </si>
  <si>
    <t>IP</t>
  </si>
  <si>
    <t>EXR</t>
  </si>
  <si>
    <t>ORAN</t>
  </si>
  <si>
    <t>ROL</t>
  </si>
  <si>
    <t>SMG</t>
  </si>
  <si>
    <t>LSI</t>
  </si>
  <si>
    <t>ADC</t>
  </si>
  <si>
    <t>BGS</t>
  </si>
  <si>
    <t>VTR</t>
  </si>
  <si>
    <t>ABEV</t>
  </si>
  <si>
    <t>PFLT</t>
  </si>
  <si>
    <t>AMCR</t>
  </si>
  <si>
    <t>FE</t>
  </si>
  <si>
    <t>ORCC</t>
  </si>
  <si>
    <t>SRC</t>
  </si>
  <si>
    <t>EBF</t>
  </si>
  <si>
    <t>ARCC</t>
  </si>
  <si>
    <t>VGR</t>
  </si>
  <si>
    <t>ABR</t>
  </si>
  <si>
    <t>PRT</t>
  </si>
  <si>
    <t>GAIN</t>
  </si>
  <si>
    <t>CNS</t>
  </si>
  <si>
    <t>NMFC</t>
  </si>
  <si>
    <t>BCE</t>
  </si>
  <si>
    <t>CQP</t>
  </si>
  <si>
    <t>BXMT</t>
  </si>
  <si>
    <t>AM</t>
  </si>
  <si>
    <t>SLRC</t>
  </si>
  <si>
    <t>FTCO</t>
  </si>
  <si>
    <t>TEF</t>
  </si>
  <si>
    <t>OHI</t>
  </si>
  <si>
    <t>PMT</t>
  </si>
  <si>
    <t>HTGC</t>
  </si>
  <si>
    <t>LXP</t>
  </si>
  <si>
    <t>GBDC</t>
  </si>
  <si>
    <t>USAC</t>
  </si>
  <si>
    <t>CBRL</t>
  </si>
  <si>
    <t>TSLX</t>
  </si>
  <si>
    <t>AQN</t>
  </si>
  <si>
    <t>STWD</t>
  </si>
  <si>
    <t>CCOI</t>
  </si>
  <si>
    <t>NEM</t>
  </si>
  <si>
    <t>DREUF</t>
  </si>
  <si>
    <t>FDUS</t>
  </si>
  <si>
    <t>BFS</t>
  </si>
  <si>
    <t>LAND</t>
  </si>
  <si>
    <t>DRETF</t>
  </si>
  <si>
    <t>PLD</t>
  </si>
  <si>
    <t>RIO</t>
  </si>
  <si>
    <t>BX</t>
  </si>
  <si>
    <t>ALL</t>
  </si>
  <si>
    <t>AVB</t>
  </si>
  <si>
    <t>SCCO</t>
  </si>
  <si>
    <t>NHC</t>
  </si>
  <si>
    <t>LAMR</t>
  </si>
  <si>
    <t>FL</t>
  </si>
  <si>
    <t>OMF</t>
  </si>
  <si>
    <t>DANOY</t>
  </si>
  <si>
    <t>QSR</t>
  </si>
  <si>
    <t>KHC</t>
  </si>
  <si>
    <t>AEG</t>
  </si>
  <si>
    <t>INVH</t>
  </si>
  <si>
    <t>LWSCF</t>
  </si>
  <si>
    <t>SPH</t>
  </si>
  <si>
    <t>DRI</t>
  </si>
  <si>
    <t>MDV</t>
  </si>
  <si>
    <t>PBA</t>
  </si>
  <si>
    <t>RTL</t>
  </si>
  <si>
    <t>EIFZF</t>
  </si>
  <si>
    <t>APAM</t>
  </si>
  <si>
    <t>KIM</t>
  </si>
  <si>
    <t>BHP</t>
  </si>
  <si>
    <t>GPS</t>
  </si>
  <si>
    <t>IPAR</t>
  </si>
  <si>
    <t>HUN</t>
  </si>
  <si>
    <t>SGU</t>
  </si>
  <si>
    <t>GIPR</t>
  </si>
  <si>
    <t>PETS</t>
  </si>
  <si>
    <t>DOW</t>
  </si>
  <si>
    <t>DX</t>
  </si>
  <si>
    <t>WELL</t>
  </si>
  <si>
    <t>IRM</t>
  </si>
  <si>
    <t>KRO</t>
  </si>
  <si>
    <t>WFG</t>
  </si>
  <si>
    <t>CWH</t>
  </si>
  <si>
    <t>KALU</t>
  </si>
  <si>
    <t>EXC</t>
  </si>
  <si>
    <t>GWRS</t>
  </si>
  <si>
    <t>CRT</t>
  </si>
  <si>
    <t>SBR</t>
  </si>
  <si>
    <t>RYN</t>
  </si>
  <si>
    <t>INTC</t>
  </si>
  <si>
    <t>PBT</t>
  </si>
  <si>
    <t>HBI</t>
  </si>
  <si>
    <t>ZIM</t>
  </si>
  <si>
    <t>Buy</t>
  </si>
  <si>
    <t>Hold</t>
  </si>
  <si>
    <t>Sell</t>
  </si>
  <si>
    <t>A</t>
  </si>
  <si>
    <t>B</t>
  </si>
  <si>
    <t>N/A</t>
  </si>
  <si>
    <t>2023-06-15</t>
  </si>
  <si>
    <t>2023-06-12</t>
  </si>
  <si>
    <t>2023-06-23</t>
  </si>
  <si>
    <t>2023-05-09</t>
  </si>
  <si>
    <t>2023-03-30</t>
  </si>
  <si>
    <t>2023-05-05</t>
  </si>
  <si>
    <t>2023-05-18</t>
  </si>
  <si>
    <t>2023-04-06</t>
  </si>
  <si>
    <t>2023-05-10</t>
  </si>
  <si>
    <t>2023-04-13</t>
  </si>
  <si>
    <t>2023-05-31</t>
  </si>
  <si>
    <t>2023-04-10</t>
  </si>
  <si>
    <t>2023-05-26</t>
  </si>
  <si>
    <t>2023-04-20</t>
  </si>
  <si>
    <t>2023-06-14</t>
  </si>
  <si>
    <t>2023-04-28</t>
  </si>
  <si>
    <t>2023-06-02</t>
  </si>
  <si>
    <t>2023-04-05</t>
  </si>
  <si>
    <t>2023-06-06</t>
  </si>
  <si>
    <t>2022-11-25</t>
  </si>
  <si>
    <t>2023-05-16</t>
  </si>
  <si>
    <t>2023-04-25</t>
  </si>
  <si>
    <t>2023-03-31</t>
  </si>
  <si>
    <t>2022-12-23</t>
  </si>
  <si>
    <t>2023-06-08</t>
  </si>
  <si>
    <t>2023-02-28</t>
  </si>
  <si>
    <t>2023-04-27</t>
  </si>
  <si>
    <t>2023-05-19</t>
  </si>
  <si>
    <t>2023-06-01</t>
  </si>
  <si>
    <t>2023-05-12</t>
  </si>
  <si>
    <t>2023-06-13</t>
  </si>
  <si>
    <t>2023-06-20</t>
  </si>
  <si>
    <t>2023-05-30</t>
  </si>
  <si>
    <t>2023-03-16</t>
  </si>
  <si>
    <t>2023-05-22</t>
  </si>
  <si>
    <t>2023-05-17</t>
  </si>
  <si>
    <t>2023-04-19</t>
  </si>
  <si>
    <t>2023-06-21</t>
  </si>
  <si>
    <t>2023-06-22</t>
  </si>
  <si>
    <t>2023-06-09</t>
  </si>
  <si>
    <t>2023-01-05</t>
  </si>
  <si>
    <t>2023-05-11</t>
  </si>
  <si>
    <t>2023-04-21</t>
  </si>
  <si>
    <t>2023-04-14</t>
  </si>
  <si>
    <t>2023-05-25</t>
  </si>
  <si>
    <t>2023-05-24</t>
  </si>
  <si>
    <t>2023-05-04</t>
  </si>
  <si>
    <t>2023-04-12</t>
  </si>
  <si>
    <t>2023-05-03</t>
  </si>
  <si>
    <t>2023-06-07</t>
  </si>
  <si>
    <t>2023-05-01</t>
  </si>
  <si>
    <t>2023-06-16</t>
  </si>
  <si>
    <t>2023-05-15</t>
  </si>
  <si>
    <t>2023-05-08</t>
  </si>
  <si>
    <t>2023-01-04</t>
  </si>
  <si>
    <t>2023-04-03</t>
  </si>
  <si>
    <t>2023-03-27</t>
  </si>
  <si>
    <t>2023-04-04</t>
  </si>
  <si>
    <t>2023-04-24</t>
  </si>
  <si>
    <t>2023-03-21</t>
  </si>
  <si>
    <t>2023-03-02</t>
  </si>
  <si>
    <t>2023-03-09</t>
  </si>
  <si>
    <t>2023-05-23</t>
  </si>
  <si>
    <t>2023-03-15</t>
  </si>
  <si>
    <t>2023-02-10</t>
  </si>
  <si>
    <t>2023-06-05</t>
  </si>
  <si>
    <t>2023-04-26</t>
  </si>
  <si>
    <t>2023-03-24</t>
  </si>
  <si>
    <t>2023-02-27</t>
  </si>
  <si>
    <t>2023-02-14</t>
  </si>
  <si>
    <t>2022-11-17</t>
  </si>
  <si>
    <t>2023-03-23</t>
  </si>
  <si>
    <t>2023-01-27</t>
  </si>
  <si>
    <t>2023-05-02</t>
  </si>
  <si>
    <t>2023-03-29</t>
  </si>
  <si>
    <t>2023-04-11</t>
  </si>
  <si>
    <t>2023-03-06</t>
  </si>
  <si>
    <t>2022-07-21</t>
  </si>
  <si>
    <t>2023-04-17</t>
  </si>
  <si>
    <t>2022-11-23</t>
  </si>
  <si>
    <t>2022-11-21</t>
  </si>
  <si>
    <t>2023-03-14</t>
  </si>
  <si>
    <t>2023-01-18</t>
  </si>
  <si>
    <t>2022-09-26</t>
  </si>
  <si>
    <t>2023-02-23</t>
  </si>
  <si>
    <t>2022-12-20</t>
  </si>
  <si>
    <t>Stock</t>
  </si>
  <si>
    <t>REIT</t>
  </si>
  <si>
    <t>MLP</t>
  </si>
  <si>
    <t>BDC</t>
  </si>
  <si>
    <t>Materials</t>
  </si>
  <si>
    <t>Industrials</t>
  </si>
  <si>
    <t>Financials</t>
  </si>
  <si>
    <t>Consumer Discretionary</t>
  </si>
  <si>
    <t>Health Care</t>
  </si>
  <si>
    <t>Consumer Staples</t>
  </si>
  <si>
    <t>Communication Services</t>
  </si>
  <si>
    <t>Utilities</t>
  </si>
  <si>
    <t>Information Technology</t>
  </si>
  <si>
    <t>Real Estate</t>
  </si>
  <si>
    <t>Energy</t>
  </si>
  <si>
    <t>Nathan Parsh</t>
  </si>
  <si>
    <t>Josh Arnold</t>
  </si>
  <si>
    <t>Yiannis Zourmpanos</t>
  </si>
  <si>
    <t>Patrick Neuwirth</t>
  </si>
  <si>
    <t>Aristofanis Papadatos</t>
  </si>
  <si>
    <t>Jonathan Weber</t>
  </si>
  <si>
    <t>Tiago Dias</t>
  </si>
  <si>
    <t>Quinn Mohammed</t>
  </si>
  <si>
    <t>Felix Martinez</t>
  </si>
  <si>
    <t>Nikos Sismanis</t>
  </si>
  <si>
    <t>Samuel Smith</t>
  </si>
  <si>
    <t>Ian Bezek</t>
  </si>
  <si>
    <t>Derek English</t>
  </si>
  <si>
    <t>Prakash Kolli</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</si>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</sst>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896</v>
      </c>
      <c r="D2">
        <v>209</v>
      </c>
      <c r="E2">
        <v>220.18</v>
      </c>
      <c r="F2">
        <v>419</v>
      </c>
      <c r="G2">
        <v>0.5254892601431981</v>
      </c>
      <c r="H2">
        <v>0.007266781724043964</v>
      </c>
      <c r="I2">
        <v>0.1373319279253205</v>
      </c>
      <c r="J2">
        <v>0.05</v>
      </c>
      <c r="K2">
        <v>0.1986311590370717</v>
      </c>
      <c r="L2" t="s">
        <v>899</v>
      </c>
      <c r="M2" t="s">
        <v>589</v>
      </c>
      <c r="N2">
        <v>9.470107526881721</v>
      </c>
      <c r="O2">
        <v>23.25</v>
      </c>
      <c r="P2">
        <v>1.6</v>
      </c>
      <c r="Q2">
        <v>0.06881720430107527</v>
      </c>
      <c r="R2">
        <v>28</v>
      </c>
      <c r="S2">
        <v>0.07528000640556964</v>
      </c>
      <c r="T2" t="s">
        <v>902</v>
      </c>
      <c r="U2">
        <v>-0.014106012484647</v>
      </c>
      <c r="V2" t="s">
        <v>988</v>
      </c>
      <c r="W2" t="s">
        <v>992</v>
      </c>
      <c r="X2">
        <v>25835.137579</v>
      </c>
      <c r="Y2" s="2">
        <v>45064</v>
      </c>
      <c r="Z2" t="s">
        <v>1003</v>
      </c>
    </row>
    <row r="3" spans="1:26">
      <c r="A3" s="1" t="s">
        <v>27</v>
      </c>
      <c r="B3">
        <f>HYPERLINK("https://www.suredividend.com/sure-analysis-MDU/","MDU Resources Group Inc")</f>
        <v>0</v>
      </c>
      <c r="C3" t="s">
        <v>896</v>
      </c>
      <c r="D3">
        <v>29</v>
      </c>
      <c r="E3">
        <v>19.92</v>
      </c>
      <c r="F3">
        <v>32</v>
      </c>
      <c r="G3">
        <v>0.6225000000000001</v>
      </c>
      <c r="H3">
        <v>0.04467871485943774</v>
      </c>
      <c r="I3">
        <v>0.09944150718396427</v>
      </c>
      <c r="J3">
        <v>0.06</v>
      </c>
      <c r="K3">
        <v>0.1904551826560206</v>
      </c>
      <c r="L3" t="s">
        <v>899</v>
      </c>
      <c r="M3" t="s">
        <v>899</v>
      </c>
      <c r="N3">
        <v>9.485714285714286</v>
      </c>
      <c r="O3">
        <v>2.1</v>
      </c>
      <c r="P3">
        <v>0.89</v>
      </c>
      <c r="Q3">
        <v>0.4238095238095238</v>
      </c>
      <c r="R3">
        <v>32</v>
      </c>
      <c r="S3">
        <v>0.02561950939239233</v>
      </c>
      <c r="T3" t="s">
        <v>903</v>
      </c>
      <c r="U3">
        <v>0.065668048682626</v>
      </c>
      <c r="V3" t="s">
        <v>988</v>
      </c>
      <c r="W3" t="s">
        <v>993</v>
      </c>
      <c r="X3">
        <v>4056.47639</v>
      </c>
      <c r="Y3" s="2">
        <v>45054</v>
      </c>
      <c r="Z3" t="s">
        <v>1004</v>
      </c>
    </row>
    <row r="4" spans="1:26">
      <c r="A4" s="1" t="s">
        <v>28</v>
      </c>
      <c r="B4">
        <f>HYPERLINK("https://www.suredividend.com/sure-analysis-WRB/","W.R. Berkley Corp.")</f>
        <v>0</v>
      </c>
      <c r="C4" t="s">
        <v>896</v>
      </c>
      <c r="D4">
        <v>58</v>
      </c>
      <c r="E4">
        <v>58.21</v>
      </c>
      <c r="F4">
        <v>76</v>
      </c>
      <c r="G4">
        <v>0.7659210526315789</v>
      </c>
      <c r="H4">
        <v>0.007558838687510737</v>
      </c>
      <c r="I4">
        <v>0.05478318694217488</v>
      </c>
      <c r="J4">
        <v>0.12</v>
      </c>
      <c r="K4">
        <v>0.1862037905067218</v>
      </c>
      <c r="L4" t="s">
        <v>899</v>
      </c>
      <c r="M4" t="s">
        <v>589</v>
      </c>
      <c r="N4">
        <v>11.52673267326733</v>
      </c>
      <c r="O4">
        <v>5.05</v>
      </c>
      <c r="P4">
        <v>0.44</v>
      </c>
      <c r="Q4">
        <v>0.08712871287128714</v>
      </c>
      <c r="R4">
        <v>18</v>
      </c>
      <c r="S4">
        <v>0.07781806771272581</v>
      </c>
      <c r="T4" t="s">
        <v>904</v>
      </c>
      <c r="U4">
        <v>-0.13296304405787</v>
      </c>
      <c r="V4" t="s">
        <v>988</v>
      </c>
      <c r="W4" t="s">
        <v>994</v>
      </c>
      <c r="X4">
        <v>15179.694472</v>
      </c>
      <c r="Y4" s="2">
        <v>45043</v>
      </c>
      <c r="Z4" t="s">
        <v>1005</v>
      </c>
    </row>
    <row r="5" spans="1:26">
      <c r="A5" s="1" t="s">
        <v>29</v>
      </c>
      <c r="B5">
        <f>HYPERLINK("https://www.suredividend.com/sure-analysis-SON/","Sonoco Products Co.")</f>
        <v>0</v>
      </c>
      <c r="C5" t="s">
        <v>896</v>
      </c>
      <c r="D5">
        <v>60</v>
      </c>
      <c r="E5">
        <v>57.34</v>
      </c>
      <c r="F5">
        <v>94</v>
      </c>
      <c r="G5">
        <v>0.61</v>
      </c>
      <c r="H5">
        <v>0.0355772584583188</v>
      </c>
      <c r="I5">
        <v>0.1039109290182172</v>
      </c>
      <c r="J5">
        <v>0.05</v>
      </c>
      <c r="K5">
        <v>0.1811064260175033</v>
      </c>
      <c r="L5" t="s">
        <v>899</v>
      </c>
      <c r="M5" t="s">
        <v>899</v>
      </c>
      <c r="N5">
        <v>9.801709401709402</v>
      </c>
      <c r="O5">
        <v>5.85</v>
      </c>
      <c r="P5">
        <v>2.04</v>
      </c>
      <c r="Q5">
        <v>0.3487179487179488</v>
      </c>
      <c r="R5">
        <v>41</v>
      </c>
      <c r="S5">
        <v>0.04970831195077574</v>
      </c>
      <c r="T5" t="s">
        <v>905</v>
      </c>
      <c r="U5">
        <v>0.032665660535026</v>
      </c>
      <c r="V5" t="s">
        <v>988</v>
      </c>
      <c r="W5" t="s">
        <v>995</v>
      </c>
      <c r="X5">
        <v>5616.779207</v>
      </c>
      <c r="Y5" s="2">
        <v>45049</v>
      </c>
      <c r="Z5" t="s">
        <v>1003</v>
      </c>
    </row>
    <row r="6" spans="1:26">
      <c r="A6" s="1" t="s">
        <v>30</v>
      </c>
      <c r="B6">
        <f>HYPERLINK("https://www.suredividend.com/sure-analysis-HUM/","Humana Inc.")</f>
        <v>0</v>
      </c>
      <c r="C6" t="s">
        <v>896</v>
      </c>
      <c r="D6">
        <v>530</v>
      </c>
      <c r="E6">
        <v>445.95</v>
      </c>
      <c r="F6">
        <v>509</v>
      </c>
      <c r="G6">
        <v>0.8761296660117878</v>
      </c>
      <c r="H6">
        <v>0.007938109653548605</v>
      </c>
      <c r="I6">
        <v>0.02680109423342736</v>
      </c>
      <c r="J6">
        <v>0.14</v>
      </c>
      <c r="K6">
        <v>0.1760203934602884</v>
      </c>
      <c r="L6" t="s">
        <v>899</v>
      </c>
      <c r="M6" t="s">
        <v>589</v>
      </c>
      <c r="N6">
        <v>15.7858407079646</v>
      </c>
      <c r="O6">
        <v>28.25</v>
      </c>
      <c r="P6">
        <v>3.54</v>
      </c>
      <c r="Q6">
        <v>0.1253097345132743</v>
      </c>
      <c r="R6">
        <v>12</v>
      </c>
      <c r="S6">
        <v>0.09013089512946793</v>
      </c>
      <c r="T6" t="s">
        <v>906</v>
      </c>
      <c r="U6">
        <v>-0.01725592379045</v>
      </c>
      <c r="V6" t="s">
        <v>988</v>
      </c>
      <c r="W6" t="s">
        <v>996</v>
      </c>
      <c r="X6">
        <v>55719.220074</v>
      </c>
      <c r="Y6" s="2">
        <v>45047</v>
      </c>
      <c r="Z6" t="s">
        <v>1006</v>
      </c>
    </row>
    <row r="7" spans="1:26">
      <c r="A7" s="1" t="s">
        <v>31</v>
      </c>
      <c r="B7">
        <f>HYPERLINK("https://www.suredividend.com/sure-analysis-WABC/","Westamerica Bancorporation")</f>
        <v>0</v>
      </c>
      <c r="C7" t="s">
        <v>896</v>
      </c>
      <c r="D7">
        <v>41</v>
      </c>
      <c r="E7">
        <v>38.94</v>
      </c>
      <c r="F7">
        <v>70</v>
      </c>
      <c r="G7">
        <v>0.5562857142857143</v>
      </c>
      <c r="H7">
        <v>0.04314329738058552</v>
      </c>
      <c r="I7">
        <v>0.1244506985070994</v>
      </c>
      <c r="J7">
        <v>0.02</v>
      </c>
      <c r="K7">
        <v>0.1722258179594456</v>
      </c>
      <c r="L7" t="s">
        <v>899</v>
      </c>
      <c r="M7" t="s">
        <v>899</v>
      </c>
      <c r="N7">
        <v>7.237918215613383</v>
      </c>
      <c r="O7">
        <v>5.38</v>
      </c>
      <c r="P7">
        <v>1.68</v>
      </c>
      <c r="Q7">
        <v>0.3122676579925651</v>
      </c>
      <c r="R7">
        <v>29</v>
      </c>
      <c r="S7">
        <v>0.01946539682289394</v>
      </c>
      <c r="T7" t="s">
        <v>907</v>
      </c>
      <c r="U7">
        <v>-0.289851477925943</v>
      </c>
      <c r="V7" t="s">
        <v>988</v>
      </c>
      <c r="W7" t="s">
        <v>994</v>
      </c>
      <c r="X7">
        <v>1037.684062</v>
      </c>
      <c r="Y7" s="2">
        <v>45036</v>
      </c>
      <c r="Z7" t="s">
        <v>1003</v>
      </c>
    </row>
    <row r="8" spans="1:26">
      <c r="A8" s="1" t="s">
        <v>32</v>
      </c>
      <c r="B8">
        <f>HYPERLINK("https://www.suredividend.com/sure-analysis-MMM/","3M Co.")</f>
        <v>0</v>
      </c>
      <c r="C8" t="s">
        <v>896</v>
      </c>
      <c r="D8">
        <v>106</v>
      </c>
      <c r="E8">
        <v>100.72</v>
      </c>
      <c r="F8">
        <v>149</v>
      </c>
      <c r="G8">
        <v>0.6759731543624161</v>
      </c>
      <c r="H8">
        <v>0.05957108816521049</v>
      </c>
      <c r="I8">
        <v>0.08146908774440242</v>
      </c>
      <c r="J8">
        <v>0.05</v>
      </c>
      <c r="K8">
        <v>0.1712458513250761</v>
      </c>
      <c r="L8" t="s">
        <v>899</v>
      </c>
      <c r="M8" t="s">
        <v>899</v>
      </c>
      <c r="N8">
        <v>11.51085714285714</v>
      </c>
      <c r="O8">
        <v>8.75</v>
      </c>
      <c r="P8">
        <v>6</v>
      </c>
      <c r="Q8">
        <v>0.6857142857142857</v>
      </c>
      <c r="R8">
        <v>65</v>
      </c>
      <c r="S8">
        <v>0.01986185326095491</v>
      </c>
      <c r="T8" t="s">
        <v>908</v>
      </c>
      <c r="U8">
        <v>-0.211690029506836</v>
      </c>
      <c r="V8" t="s">
        <v>988</v>
      </c>
      <c r="W8" t="s">
        <v>993</v>
      </c>
      <c r="X8">
        <v>55564.425696</v>
      </c>
      <c r="Y8" s="2">
        <v>45042</v>
      </c>
      <c r="Z8" t="s">
        <v>1003</v>
      </c>
    </row>
    <row r="9" spans="1:26">
      <c r="A9" s="1" t="s">
        <v>33</v>
      </c>
      <c r="B9">
        <f>HYPERLINK("https://www.suredividend.com/sure-analysis-BMY/","Bristol-Myers Squibb Co.")</f>
        <v>0</v>
      </c>
      <c r="C9" t="s">
        <v>896</v>
      </c>
      <c r="D9">
        <v>67</v>
      </c>
      <c r="E9">
        <v>65.04000000000001</v>
      </c>
      <c r="F9">
        <v>109</v>
      </c>
      <c r="G9">
        <v>0.5966972477064221</v>
      </c>
      <c r="H9">
        <v>0.03505535055350553</v>
      </c>
      <c r="I9">
        <v>0.1087897258451689</v>
      </c>
      <c r="J9">
        <v>0.03</v>
      </c>
      <c r="K9">
        <v>0.1650227760815917</v>
      </c>
      <c r="L9" t="s">
        <v>899</v>
      </c>
      <c r="M9" t="s">
        <v>899</v>
      </c>
      <c r="N9">
        <v>8.02962962962963</v>
      </c>
      <c r="O9">
        <v>8.1</v>
      </c>
      <c r="P9">
        <v>2.28</v>
      </c>
      <c r="Q9">
        <v>0.2814814814814814</v>
      </c>
      <c r="R9">
        <v>16</v>
      </c>
      <c r="S9">
        <v>0.05000563166277994</v>
      </c>
      <c r="T9" t="s">
        <v>909</v>
      </c>
      <c r="U9">
        <v>-0.150708722080397</v>
      </c>
      <c r="V9" t="s">
        <v>988</v>
      </c>
      <c r="W9" t="s">
        <v>996</v>
      </c>
      <c r="X9">
        <v>136639.097856</v>
      </c>
      <c r="Y9" s="2">
        <v>45047</v>
      </c>
      <c r="Z9" t="s">
        <v>1003</v>
      </c>
    </row>
    <row r="10" spans="1:26">
      <c r="A10" s="1" t="s">
        <v>34</v>
      </c>
      <c r="B10">
        <f>HYPERLINK("https://www.suredividend.com/sure-analysis-WBA/","Walgreens Boots Alliance Inc")</f>
        <v>0</v>
      </c>
      <c r="C10" t="s">
        <v>896</v>
      </c>
      <c r="D10">
        <v>35</v>
      </c>
      <c r="E10">
        <v>31.4</v>
      </c>
      <c r="F10">
        <v>46</v>
      </c>
      <c r="G10">
        <v>0.6826086956521739</v>
      </c>
      <c r="H10">
        <v>0.06114649681528662</v>
      </c>
      <c r="I10">
        <v>0.07935830305726221</v>
      </c>
      <c r="J10">
        <v>0.04</v>
      </c>
      <c r="K10">
        <v>0.1629472821109061</v>
      </c>
      <c r="L10" t="s">
        <v>899</v>
      </c>
      <c r="M10" t="s">
        <v>899</v>
      </c>
      <c r="N10">
        <v>6.901098901098901</v>
      </c>
      <c r="O10">
        <v>4.55</v>
      </c>
      <c r="P10">
        <v>1.92</v>
      </c>
      <c r="Q10">
        <v>0.421978021978022</v>
      </c>
      <c r="R10">
        <v>47</v>
      </c>
      <c r="S10">
        <v>0.0403582746309219</v>
      </c>
      <c r="T10" t="s">
        <v>908</v>
      </c>
      <c r="U10">
        <v>-0.1939748335327</v>
      </c>
      <c r="V10" t="s">
        <v>988</v>
      </c>
      <c r="W10" t="s">
        <v>997</v>
      </c>
      <c r="X10">
        <v>27091.785608</v>
      </c>
      <c r="Y10" s="2">
        <v>45016</v>
      </c>
      <c r="Z10" t="s">
        <v>1007</v>
      </c>
    </row>
    <row r="11" spans="1:26">
      <c r="A11" s="1" t="s">
        <v>35</v>
      </c>
      <c r="B11">
        <f>HYPERLINK("https://www.suredividend.com/sure-analysis-CATC/","Cambridge Bancorp")</f>
        <v>0</v>
      </c>
      <c r="C11" t="s">
        <v>896</v>
      </c>
      <c r="D11">
        <v>54</v>
      </c>
      <c r="E11">
        <v>57.86</v>
      </c>
      <c r="F11">
        <v>77</v>
      </c>
      <c r="G11">
        <v>0.7514285714285714</v>
      </c>
      <c r="H11">
        <v>0.04631870031109575</v>
      </c>
      <c r="I11">
        <v>0.05882078772010413</v>
      </c>
      <c r="J11">
        <v>0.06</v>
      </c>
      <c r="K11">
        <v>0.1552678340893205</v>
      </c>
      <c r="L11" t="s">
        <v>899</v>
      </c>
      <c r="M11" t="s">
        <v>899</v>
      </c>
      <c r="N11">
        <v>7.514285714285714</v>
      </c>
      <c r="O11">
        <v>7.7</v>
      </c>
      <c r="P11">
        <v>2.68</v>
      </c>
      <c r="Q11">
        <v>0.3480519480519481</v>
      </c>
      <c r="R11">
        <v>24</v>
      </c>
      <c r="S11">
        <v>0.06021008469571831</v>
      </c>
      <c r="T11" t="s">
        <v>910</v>
      </c>
      <c r="U11">
        <v>-0.267118099624312</v>
      </c>
      <c r="V11" t="s">
        <v>988</v>
      </c>
      <c r="W11" t="s">
        <v>994</v>
      </c>
      <c r="X11">
        <v>453.275066</v>
      </c>
      <c r="Y11" s="2">
        <v>45043</v>
      </c>
      <c r="Z11" t="s">
        <v>1006</v>
      </c>
    </row>
    <row r="12" spans="1:26">
      <c r="A12" s="1" t="s">
        <v>36</v>
      </c>
      <c r="B12">
        <f>HYPERLINK("https://www.suredividend.com/sure-analysis-OZK/","Bank OZK")</f>
        <v>0</v>
      </c>
      <c r="C12" t="s">
        <v>896</v>
      </c>
      <c r="D12">
        <v>38</v>
      </c>
      <c r="E12">
        <v>37.58</v>
      </c>
      <c r="F12">
        <v>59</v>
      </c>
      <c r="G12">
        <v>0.6369491525423728</v>
      </c>
      <c r="H12">
        <v>0.03725385843533795</v>
      </c>
      <c r="I12">
        <v>0.09440746612944317</v>
      </c>
      <c r="J12">
        <v>0.03</v>
      </c>
      <c r="K12">
        <v>0.1539431381133405</v>
      </c>
      <c r="L12" t="s">
        <v>899</v>
      </c>
      <c r="M12" t="s">
        <v>899</v>
      </c>
      <c r="N12">
        <v>6.959259259259259</v>
      </c>
      <c r="O12">
        <v>5.4</v>
      </c>
      <c r="P12">
        <v>1.4</v>
      </c>
      <c r="Q12">
        <v>0.2592592592592592</v>
      </c>
      <c r="R12">
        <v>27</v>
      </c>
      <c r="S12">
        <v>0.06520853753344791</v>
      </c>
      <c r="T12" t="s">
        <v>911</v>
      </c>
      <c r="U12">
        <v>0.04484375999177</v>
      </c>
      <c r="V12" t="s">
        <v>988</v>
      </c>
      <c r="W12" t="s">
        <v>994</v>
      </c>
      <c r="X12">
        <v>4568.870312</v>
      </c>
      <c r="Y12" s="2">
        <v>45041</v>
      </c>
      <c r="Z12" t="s">
        <v>1007</v>
      </c>
    </row>
    <row r="13" spans="1:26">
      <c r="A13" s="1" t="s">
        <v>37</v>
      </c>
      <c r="B13">
        <f>HYPERLINK("https://www.suredividend.com/sure-analysis-CPKF/","Chesapeake Financial Shares Inc")</f>
        <v>0</v>
      </c>
      <c r="C13" t="s">
        <v>896</v>
      </c>
      <c r="D13">
        <v>20</v>
      </c>
      <c r="E13">
        <v>20</v>
      </c>
      <c r="F13">
        <v>29</v>
      </c>
      <c r="G13">
        <v>0.6896551724137931</v>
      </c>
      <c r="H13">
        <v>0.03</v>
      </c>
      <c r="I13">
        <v>0.07714358779274311</v>
      </c>
      <c r="J13">
        <v>0.05</v>
      </c>
      <c r="K13">
        <v>0.1515855333240523</v>
      </c>
      <c r="L13" t="s">
        <v>899</v>
      </c>
      <c r="M13" t="s">
        <v>899</v>
      </c>
      <c r="N13">
        <v>5.797101449275362</v>
      </c>
      <c r="O13">
        <v>3.45</v>
      </c>
      <c r="P13">
        <v>0.6</v>
      </c>
      <c r="Q13">
        <v>0.1739130434782609</v>
      </c>
      <c r="R13">
        <v>30</v>
      </c>
      <c r="S13">
        <v>0.05115774595007161</v>
      </c>
      <c r="T13" t="s">
        <v>912</v>
      </c>
      <c r="U13">
        <v>-0.237982023995946</v>
      </c>
      <c r="V13" t="s">
        <v>988</v>
      </c>
      <c r="W13" t="s">
        <v>994</v>
      </c>
      <c r="X13">
        <v>93.76862</v>
      </c>
      <c r="Y13" s="2">
        <v>45054</v>
      </c>
      <c r="Z13" t="s">
        <v>1004</v>
      </c>
    </row>
    <row r="14" spans="1:26">
      <c r="A14" s="1" t="s">
        <v>38</v>
      </c>
      <c r="B14">
        <f>HYPERLINK("https://www.suredividend.com/sure-analysis-WLY/","John Wiley &amp; Sons Inc.")</f>
        <v>0</v>
      </c>
      <c r="C14" t="s">
        <v>897</v>
      </c>
      <c r="D14">
        <v>39</v>
      </c>
      <c r="E14">
        <v>30.79</v>
      </c>
      <c r="F14">
        <v>45</v>
      </c>
      <c r="G14">
        <v>0.6842222222222222</v>
      </c>
      <c r="H14">
        <v>0.04514452744397531</v>
      </c>
      <c r="I14">
        <v>0.07884875561577664</v>
      </c>
      <c r="J14">
        <v>0.04</v>
      </c>
      <c r="K14">
        <v>0.1515436794806457</v>
      </c>
      <c r="L14" t="s">
        <v>899</v>
      </c>
      <c r="M14" t="s">
        <v>899</v>
      </c>
      <c r="N14">
        <v>8.976676384839649</v>
      </c>
      <c r="O14">
        <v>3.43</v>
      </c>
      <c r="P14">
        <v>1.39</v>
      </c>
      <c r="Q14">
        <v>0.4052478134110787</v>
      </c>
      <c r="R14">
        <v>29</v>
      </c>
      <c r="S14">
        <v>0.0298221180150493</v>
      </c>
      <c r="T14" t="s">
        <v>913</v>
      </c>
      <c r="U14">
        <v>-0.335687948097789</v>
      </c>
      <c r="V14" t="s">
        <v>988</v>
      </c>
      <c r="W14" t="s">
        <v>998</v>
      </c>
      <c r="X14">
        <v>1724.170079</v>
      </c>
      <c r="Y14" s="2">
        <v>45034</v>
      </c>
      <c r="Z14" t="s">
        <v>1008</v>
      </c>
    </row>
    <row r="15" spans="1:26">
      <c r="A15" s="1" t="s">
        <v>39</v>
      </c>
      <c r="B15">
        <f>HYPERLINK("https://www.suredividend.com/sure-analysis-AIZ/","Assurant Inc")</f>
        <v>0</v>
      </c>
      <c r="C15" t="s">
        <v>896</v>
      </c>
      <c r="D15">
        <v>129</v>
      </c>
      <c r="E15">
        <v>123.81</v>
      </c>
      <c r="F15">
        <v>164</v>
      </c>
      <c r="G15">
        <v>0.754939024390244</v>
      </c>
      <c r="H15">
        <v>0.02261529763347064</v>
      </c>
      <c r="I15">
        <v>0.05783425151406818</v>
      </c>
      <c r="J15">
        <v>0.07000000000000001</v>
      </c>
      <c r="K15">
        <v>0.1483600233774243</v>
      </c>
      <c r="L15" t="s">
        <v>899</v>
      </c>
      <c r="M15" t="s">
        <v>900</v>
      </c>
      <c r="N15">
        <v>10.40420168067227</v>
      </c>
      <c r="O15">
        <v>11.9</v>
      </c>
      <c r="P15">
        <v>2.8</v>
      </c>
      <c r="Q15">
        <v>0.2352941176470588</v>
      </c>
      <c r="R15">
        <v>17</v>
      </c>
      <c r="S15">
        <v>0.07015553929861928</v>
      </c>
      <c r="T15" t="s">
        <v>914</v>
      </c>
      <c r="U15">
        <v>-0.272789853242284</v>
      </c>
      <c r="V15" t="s">
        <v>988</v>
      </c>
      <c r="W15" t="s">
        <v>994</v>
      </c>
      <c r="X15">
        <v>6580.74912</v>
      </c>
      <c r="Y15" s="2">
        <v>45058</v>
      </c>
      <c r="Z15" t="s">
        <v>1007</v>
      </c>
    </row>
    <row r="16" spans="1:26">
      <c r="A16" s="1" t="s">
        <v>40</v>
      </c>
      <c r="B16">
        <f>HYPERLINK("https://www.suredividend.com/sure-analysis-WSM/","Williams-Sonoma, Inc.")</f>
        <v>0</v>
      </c>
      <c r="C16" t="s">
        <v>896</v>
      </c>
      <c r="D16">
        <v>112</v>
      </c>
      <c r="E16">
        <v>120.16</v>
      </c>
      <c r="F16">
        <v>186</v>
      </c>
      <c r="G16">
        <v>0.6460215053763441</v>
      </c>
      <c r="H16">
        <v>0.02996005326231691</v>
      </c>
      <c r="I16">
        <v>0.09131620701944776</v>
      </c>
      <c r="J16">
        <v>0.03</v>
      </c>
      <c r="K16">
        <v>0.1456448143094462</v>
      </c>
      <c r="L16" t="s">
        <v>899</v>
      </c>
      <c r="M16" t="s">
        <v>900</v>
      </c>
      <c r="N16">
        <v>8.770802919708029</v>
      </c>
      <c r="O16">
        <v>13.7</v>
      </c>
      <c r="P16">
        <v>3.6</v>
      </c>
      <c r="Q16">
        <v>0.2627737226277372</v>
      </c>
      <c r="R16">
        <v>17</v>
      </c>
      <c r="S16">
        <v>0.06010506010596317</v>
      </c>
      <c r="T16" t="s">
        <v>915</v>
      </c>
      <c r="U16">
        <v>-0.02181540510486</v>
      </c>
      <c r="V16" t="s">
        <v>988</v>
      </c>
      <c r="W16" t="s">
        <v>995</v>
      </c>
      <c r="X16">
        <v>7716.959979</v>
      </c>
      <c r="Y16" s="2">
        <v>45070</v>
      </c>
      <c r="Z16" t="s">
        <v>1007</v>
      </c>
    </row>
    <row r="17" spans="1:26">
      <c r="A17" s="1" t="s">
        <v>41</v>
      </c>
      <c r="B17">
        <f>HYPERLINK("https://www.suredividend.com/sure-analysis-AFG/","American Financial Group Inc")</f>
        <v>0</v>
      </c>
      <c r="C17" t="s">
        <v>896</v>
      </c>
      <c r="D17">
        <v>115</v>
      </c>
      <c r="E17">
        <v>116.03</v>
      </c>
      <c r="F17">
        <v>143</v>
      </c>
      <c r="G17">
        <v>0.8113986013986014</v>
      </c>
      <c r="H17">
        <v>0.02240799793156942</v>
      </c>
      <c r="I17">
        <v>0.04268505567887204</v>
      </c>
      <c r="J17">
        <v>0.08</v>
      </c>
      <c r="K17">
        <v>0.1432278675259615</v>
      </c>
      <c r="L17" t="s">
        <v>899</v>
      </c>
      <c r="M17" t="s">
        <v>900</v>
      </c>
      <c r="N17">
        <v>10.54818181818182</v>
      </c>
      <c r="O17">
        <v>11</v>
      </c>
      <c r="P17">
        <v>2.6</v>
      </c>
      <c r="Q17">
        <v>0.2363636363636364</v>
      </c>
      <c r="R17">
        <v>17</v>
      </c>
      <c r="S17">
        <v>0.07998569482738827</v>
      </c>
      <c r="T17" t="s">
        <v>911</v>
      </c>
      <c r="U17">
        <v>-0.102155276143546</v>
      </c>
      <c r="V17" t="s">
        <v>988</v>
      </c>
      <c r="W17" t="s">
        <v>994</v>
      </c>
      <c r="X17">
        <v>9883.397225999999</v>
      </c>
      <c r="Y17" s="2">
        <v>45052</v>
      </c>
      <c r="Z17" t="s">
        <v>1009</v>
      </c>
    </row>
    <row r="18" spans="1:26">
      <c r="A18" s="1" t="s">
        <v>42</v>
      </c>
      <c r="B18">
        <f>HYPERLINK("https://www.suredividend.com/sure-analysis-EBTC/","Enterprise Bancorp, Inc.")</f>
        <v>0</v>
      </c>
      <c r="C18" t="s">
        <v>896</v>
      </c>
      <c r="D18">
        <v>28</v>
      </c>
      <c r="E18">
        <v>29</v>
      </c>
      <c r="F18">
        <v>44</v>
      </c>
      <c r="G18">
        <v>0.6590909090909091</v>
      </c>
      <c r="H18">
        <v>0.03172413793103449</v>
      </c>
      <c r="I18">
        <v>0.0869534259253939</v>
      </c>
      <c r="J18">
        <v>0.03</v>
      </c>
      <c r="K18">
        <v>0.1430394487999498</v>
      </c>
      <c r="L18" t="s">
        <v>899</v>
      </c>
      <c r="M18" t="s">
        <v>899</v>
      </c>
      <c r="N18">
        <v>7.945205479452055</v>
      </c>
      <c r="O18">
        <v>3.65</v>
      </c>
      <c r="P18">
        <v>0.92</v>
      </c>
      <c r="Q18">
        <v>0.252054794520548</v>
      </c>
      <c r="R18">
        <v>29</v>
      </c>
      <c r="S18">
        <v>0.0649189212487713</v>
      </c>
      <c r="T18" t="s">
        <v>910</v>
      </c>
      <c r="U18">
        <v>-0.074721060305852</v>
      </c>
      <c r="V18" t="s">
        <v>988</v>
      </c>
      <c r="W18" t="s">
        <v>994</v>
      </c>
      <c r="X18">
        <v>354.435245</v>
      </c>
      <c r="Y18" s="2">
        <v>45042</v>
      </c>
      <c r="Z18" t="s">
        <v>1007</v>
      </c>
    </row>
    <row r="19" spans="1:26">
      <c r="A19" s="1" t="s">
        <v>43</v>
      </c>
      <c r="B19">
        <f>HYPERLINK("https://www.suredividend.com/sure-analysis-NWFL/","Norwood Financial Corp.")</f>
        <v>0</v>
      </c>
      <c r="C19" t="s">
        <v>896</v>
      </c>
      <c r="D19">
        <v>27</v>
      </c>
      <c r="E19">
        <v>30.73</v>
      </c>
      <c r="F19">
        <v>36</v>
      </c>
      <c r="G19">
        <v>0.8536111111111111</v>
      </c>
      <c r="H19">
        <v>0.03774812886430198</v>
      </c>
      <c r="I19">
        <v>0.03216229001562532</v>
      </c>
      <c r="J19">
        <v>0.08</v>
      </c>
      <c r="K19">
        <v>0.1417543367095746</v>
      </c>
      <c r="L19" t="s">
        <v>899</v>
      </c>
      <c r="M19" t="s">
        <v>899</v>
      </c>
      <c r="N19">
        <v>8.536111111111111</v>
      </c>
      <c r="O19">
        <v>3.6</v>
      </c>
      <c r="P19">
        <v>1.16</v>
      </c>
      <c r="Q19">
        <v>0.3222222222222222</v>
      </c>
      <c r="R19">
        <v>31</v>
      </c>
      <c r="S19">
        <v>0.0499309672496191</v>
      </c>
      <c r="T19" t="s">
        <v>911</v>
      </c>
      <c r="U19">
        <v>0.365304472227405</v>
      </c>
      <c r="V19" t="s">
        <v>988</v>
      </c>
      <c r="W19" t="s">
        <v>994</v>
      </c>
      <c r="X19">
        <v>249.34829</v>
      </c>
      <c r="Y19" s="2">
        <v>45040</v>
      </c>
      <c r="Z19" t="s">
        <v>1006</v>
      </c>
    </row>
    <row r="20" spans="1:26">
      <c r="A20" s="1" t="s">
        <v>44</v>
      </c>
      <c r="B20">
        <f>HYPERLINK("https://www.suredividend.com/sure-analysis-CTBI/","Community Trust Bancorp, Inc.")</f>
        <v>0</v>
      </c>
      <c r="C20" t="s">
        <v>896</v>
      </c>
      <c r="D20">
        <v>36</v>
      </c>
      <c r="E20">
        <v>36.59</v>
      </c>
      <c r="F20">
        <v>55</v>
      </c>
      <c r="G20">
        <v>0.6652727272727273</v>
      </c>
      <c r="H20">
        <v>0.04810057392730253</v>
      </c>
      <c r="I20">
        <v>0.08492584739295195</v>
      </c>
      <c r="J20">
        <v>0.02</v>
      </c>
      <c r="K20">
        <v>0.1404098795758433</v>
      </c>
      <c r="L20" t="s">
        <v>899</v>
      </c>
      <c r="M20" t="s">
        <v>899</v>
      </c>
      <c r="N20">
        <v>8.041758241758243</v>
      </c>
      <c r="O20">
        <v>4.55</v>
      </c>
      <c r="P20">
        <v>1.76</v>
      </c>
      <c r="Q20">
        <v>0.3868131868131868</v>
      </c>
      <c r="R20">
        <v>42</v>
      </c>
      <c r="S20">
        <v>0.03792181163298758</v>
      </c>
      <c r="T20" t="s">
        <v>916</v>
      </c>
      <c r="U20">
        <v>-0.047274355823109</v>
      </c>
      <c r="V20" t="s">
        <v>988</v>
      </c>
      <c r="W20" t="s">
        <v>994</v>
      </c>
      <c r="X20">
        <v>658.023583</v>
      </c>
      <c r="Y20" s="2">
        <v>45036</v>
      </c>
      <c r="Z20" t="s">
        <v>1007</v>
      </c>
    </row>
    <row r="21" spans="1:26">
      <c r="A21" s="1" t="s">
        <v>45</v>
      </c>
      <c r="B21">
        <f>HYPERLINK("https://www.suredividend.com/sure-analysis-HIFS/","Hingham Institution For Savings")</f>
        <v>0</v>
      </c>
      <c r="C21" t="s">
        <v>896</v>
      </c>
      <c r="D21">
        <v>214</v>
      </c>
      <c r="E21">
        <v>202.09</v>
      </c>
      <c r="F21">
        <v>242</v>
      </c>
      <c r="G21">
        <v>0.8350826446280992</v>
      </c>
      <c r="H21">
        <v>0.01246969172151022</v>
      </c>
      <c r="I21">
        <v>0.03670241068109781</v>
      </c>
      <c r="J21">
        <v>0.09</v>
      </c>
      <c r="K21">
        <v>0.1398159156386303</v>
      </c>
      <c r="L21" t="s">
        <v>899</v>
      </c>
      <c r="M21" t="s">
        <v>589</v>
      </c>
      <c r="N21">
        <v>9.185909090909091</v>
      </c>
      <c r="O21">
        <v>22</v>
      </c>
      <c r="P21">
        <v>2.52</v>
      </c>
      <c r="Q21">
        <v>0.1145454545454545</v>
      </c>
      <c r="R21">
        <v>15</v>
      </c>
      <c r="S21">
        <v>0.09014994437013746</v>
      </c>
      <c r="T21" t="s">
        <v>917</v>
      </c>
      <c r="U21">
        <v>-0.273560312934501</v>
      </c>
      <c r="V21" t="s">
        <v>988</v>
      </c>
      <c r="W21" t="s">
        <v>994</v>
      </c>
      <c r="X21">
        <v>425.60154</v>
      </c>
      <c r="Y21" s="2">
        <v>45032</v>
      </c>
      <c r="Z21" t="s">
        <v>1006</v>
      </c>
    </row>
    <row r="22" spans="1:26">
      <c r="A22" s="1" t="s">
        <v>46</v>
      </c>
      <c r="B22">
        <f>HYPERLINK("https://www.suredividend.com/sure-analysis-SWK/","Stanley Black &amp; Decker Inc")</f>
        <v>0</v>
      </c>
      <c r="C22" t="s">
        <v>896</v>
      </c>
      <c r="D22">
        <v>80</v>
      </c>
      <c r="E22">
        <v>87.81</v>
      </c>
      <c r="F22">
        <v>101</v>
      </c>
      <c r="G22">
        <v>0.8694059405940594</v>
      </c>
      <c r="H22">
        <v>0.03644231864252363</v>
      </c>
      <c r="I22">
        <v>0.02838439834861295</v>
      </c>
      <c r="J22">
        <v>0.08</v>
      </c>
      <c r="K22">
        <v>0.1349778153085395</v>
      </c>
      <c r="L22" t="s">
        <v>899</v>
      </c>
      <c r="M22" t="s">
        <v>899</v>
      </c>
      <c r="N22">
        <v>10.47852028639618</v>
      </c>
      <c r="O22">
        <v>8.380000000000001</v>
      </c>
      <c r="P22">
        <v>3.2</v>
      </c>
      <c r="Q22">
        <v>0.3818615751789976</v>
      </c>
      <c r="R22">
        <v>55</v>
      </c>
      <c r="S22">
        <v>0.01982333593124075</v>
      </c>
      <c r="T22" t="s">
        <v>918</v>
      </c>
      <c r="U22">
        <v>-0.178702572669062</v>
      </c>
      <c r="V22" t="s">
        <v>988</v>
      </c>
      <c r="W22" t="s">
        <v>993</v>
      </c>
      <c r="X22">
        <v>13447.461453</v>
      </c>
      <c r="Y22" s="2">
        <v>45071</v>
      </c>
      <c r="Z22" t="s">
        <v>1003</v>
      </c>
    </row>
    <row r="23" spans="1:26">
      <c r="A23" s="1" t="s">
        <v>47</v>
      </c>
      <c r="B23">
        <f>HYPERLINK("https://www.suredividend.com/sure-analysis-ABM/","ABM Industries Inc.")</f>
        <v>0</v>
      </c>
      <c r="C23" t="s">
        <v>896</v>
      </c>
      <c r="D23">
        <v>42</v>
      </c>
      <c r="E23">
        <v>40.53</v>
      </c>
      <c r="F23">
        <v>56</v>
      </c>
      <c r="G23">
        <v>0.72375</v>
      </c>
      <c r="H23">
        <v>0.02171231186775228</v>
      </c>
      <c r="I23">
        <v>0.06679822558584991</v>
      </c>
      <c r="J23">
        <v>0.05</v>
      </c>
      <c r="K23">
        <v>0.1348299914056355</v>
      </c>
      <c r="L23" t="s">
        <v>899</v>
      </c>
      <c r="M23" t="s">
        <v>900</v>
      </c>
      <c r="N23">
        <v>11.58</v>
      </c>
      <c r="O23">
        <v>3.5</v>
      </c>
      <c r="P23">
        <v>0.88</v>
      </c>
      <c r="Q23">
        <v>0.2514285714285714</v>
      </c>
      <c r="R23">
        <v>55</v>
      </c>
      <c r="S23">
        <v>0.02996744995959233</v>
      </c>
      <c r="T23" t="s">
        <v>919</v>
      </c>
      <c r="U23">
        <v>-0.06503249202405501</v>
      </c>
      <c r="V23" t="s">
        <v>988</v>
      </c>
      <c r="W23" t="s">
        <v>993</v>
      </c>
      <c r="X23">
        <v>2680.898799</v>
      </c>
      <c r="Y23" s="2">
        <v>45050</v>
      </c>
      <c r="Z23" t="s">
        <v>1008</v>
      </c>
    </row>
    <row r="24" spans="1:26">
      <c r="A24" s="1" t="s">
        <v>48</v>
      </c>
      <c r="B24">
        <f>HYPERLINK("https://www.suredividend.com/sure-analysis-BRC/","Brady Corp.")</f>
        <v>0</v>
      </c>
      <c r="C24" t="s">
        <v>896</v>
      </c>
      <c r="D24">
        <v>49</v>
      </c>
      <c r="E24">
        <v>48.1</v>
      </c>
      <c r="F24">
        <v>67</v>
      </c>
      <c r="G24">
        <v>0.7179104477611941</v>
      </c>
      <c r="H24">
        <v>0.01912681912681913</v>
      </c>
      <c r="I24">
        <v>0.06852809409661442</v>
      </c>
      <c r="J24">
        <v>0.05</v>
      </c>
      <c r="K24">
        <v>0.1345173574378071</v>
      </c>
      <c r="L24" t="s">
        <v>899</v>
      </c>
      <c r="M24" t="s">
        <v>900</v>
      </c>
      <c r="N24">
        <v>13.62606232294618</v>
      </c>
      <c r="O24">
        <v>3.53</v>
      </c>
      <c r="P24">
        <v>0.92</v>
      </c>
      <c r="Q24">
        <v>0.2606232294617564</v>
      </c>
      <c r="R24">
        <v>37</v>
      </c>
      <c r="S24">
        <v>0.02085125936929089</v>
      </c>
      <c r="T24" t="s">
        <v>909</v>
      </c>
      <c r="U24">
        <v>0.059336031960674</v>
      </c>
      <c r="V24" t="s">
        <v>988</v>
      </c>
      <c r="W24" t="s">
        <v>993</v>
      </c>
      <c r="X24">
        <v>2208.355752</v>
      </c>
      <c r="Y24" s="2">
        <v>45074</v>
      </c>
      <c r="Z24" t="s">
        <v>1003</v>
      </c>
    </row>
    <row r="25" spans="1:26">
      <c r="A25" s="1" t="s">
        <v>49</v>
      </c>
      <c r="B25">
        <f>HYPERLINK("https://www.suredividend.com/sure-analysis-DCI/","Donaldson Co. Inc.")</f>
        <v>0</v>
      </c>
      <c r="C25" t="s">
        <v>896</v>
      </c>
      <c r="D25">
        <v>60</v>
      </c>
      <c r="E25">
        <v>60.67</v>
      </c>
      <c r="F25">
        <v>73</v>
      </c>
      <c r="G25">
        <v>0.8310958904109589</v>
      </c>
      <c r="H25">
        <v>0.01648261084555793</v>
      </c>
      <c r="I25">
        <v>0.03769511681293825</v>
      </c>
      <c r="J25">
        <v>0.08</v>
      </c>
      <c r="K25">
        <v>0.1336523114272417</v>
      </c>
      <c r="L25" t="s">
        <v>899</v>
      </c>
      <c r="M25" t="s">
        <v>900</v>
      </c>
      <c r="N25">
        <v>19.89180327868853</v>
      </c>
      <c r="O25">
        <v>3.05</v>
      </c>
      <c r="P25">
        <v>1</v>
      </c>
      <c r="Q25">
        <v>0.3278688524590164</v>
      </c>
      <c r="R25">
        <v>27</v>
      </c>
      <c r="S25">
        <v>0.08009875865888949</v>
      </c>
      <c r="T25" t="s">
        <v>920</v>
      </c>
      <c r="U25">
        <v>0.281915837693016</v>
      </c>
      <c r="V25" t="s">
        <v>988</v>
      </c>
      <c r="W25" t="s">
        <v>993</v>
      </c>
      <c r="X25">
        <v>7355.763485</v>
      </c>
      <c r="Y25" s="2">
        <v>45083</v>
      </c>
      <c r="Z25" t="s">
        <v>1004</v>
      </c>
    </row>
    <row r="26" spans="1:26">
      <c r="A26" s="1" t="s">
        <v>50</v>
      </c>
      <c r="B26">
        <f>HYPERLINK("https://www.suredividend.com/sure-analysis-AEL/","American Equity Investment Life Holding Co")</f>
        <v>0</v>
      </c>
      <c r="C26" t="s">
        <v>896</v>
      </c>
      <c r="D26">
        <v>40</v>
      </c>
      <c r="E26">
        <v>40.67</v>
      </c>
      <c r="F26">
        <v>55</v>
      </c>
      <c r="G26">
        <v>0.7394545454545455</v>
      </c>
      <c r="H26">
        <v>0.009343496434718466</v>
      </c>
      <c r="I26">
        <v>0.06222789804717688</v>
      </c>
      <c r="J26">
        <v>0.06</v>
      </c>
      <c r="K26">
        <v>0.1328367875083691</v>
      </c>
      <c r="L26" t="s">
        <v>899</v>
      </c>
      <c r="M26" t="s">
        <v>589</v>
      </c>
      <c r="N26">
        <v>8.134</v>
      </c>
      <c r="O26">
        <v>5</v>
      </c>
      <c r="P26">
        <v>0.38</v>
      </c>
      <c r="Q26">
        <v>0.076</v>
      </c>
      <c r="R26">
        <v>18</v>
      </c>
      <c r="S26">
        <v>0.06061390336787298</v>
      </c>
      <c r="T26" t="s">
        <v>921</v>
      </c>
      <c r="U26">
        <v>0.083089214380825</v>
      </c>
      <c r="V26" t="s">
        <v>988</v>
      </c>
      <c r="W26" t="s">
        <v>994</v>
      </c>
      <c r="X26">
        <v>3169.870922</v>
      </c>
      <c r="Y26" s="2">
        <v>45075</v>
      </c>
      <c r="Z26" t="s">
        <v>1009</v>
      </c>
    </row>
    <row r="27" spans="1:26">
      <c r="A27" s="1" t="s">
        <v>51</v>
      </c>
      <c r="B27">
        <f>HYPERLINK("https://www.suredividend.com/sure-analysis-TGT/","Target Corp")</f>
        <v>0</v>
      </c>
      <c r="C27" t="s">
        <v>897</v>
      </c>
      <c r="D27">
        <v>152</v>
      </c>
      <c r="E27">
        <v>131.83</v>
      </c>
      <c r="F27">
        <v>134</v>
      </c>
      <c r="G27">
        <v>0.9838059701492539</v>
      </c>
      <c r="H27">
        <v>0.03337631798528408</v>
      </c>
      <c r="I27">
        <v>0.0032706541919032</v>
      </c>
      <c r="J27">
        <v>0.1</v>
      </c>
      <c r="K27">
        <v>0.1312065595198604</v>
      </c>
      <c r="L27" t="s">
        <v>899</v>
      </c>
      <c r="M27" t="s">
        <v>899</v>
      </c>
      <c r="N27">
        <v>15.78802395209581</v>
      </c>
      <c r="O27">
        <v>8.35</v>
      </c>
      <c r="P27">
        <v>4.4</v>
      </c>
      <c r="Q27">
        <v>0.5269461077844312</v>
      </c>
      <c r="R27">
        <v>55</v>
      </c>
      <c r="S27">
        <v>0.08610995354916762</v>
      </c>
      <c r="T27" t="s">
        <v>922</v>
      </c>
      <c r="U27">
        <v>-0.09504095071841301</v>
      </c>
      <c r="V27" t="s">
        <v>988</v>
      </c>
      <c r="W27" t="s">
        <v>997</v>
      </c>
      <c r="X27">
        <v>60847.40365</v>
      </c>
      <c r="Y27" s="2">
        <v>45069</v>
      </c>
      <c r="Z27" t="s">
        <v>1004</v>
      </c>
    </row>
    <row r="28" spans="1:26">
      <c r="A28" s="1" t="s">
        <v>52</v>
      </c>
      <c r="B28">
        <f>HYPERLINK("https://www.suredividend.com/sure-analysis-LOW/","Lowe`s Cos., Inc.")</f>
        <v>0</v>
      </c>
      <c r="C28" t="s">
        <v>896</v>
      </c>
      <c r="D28">
        <v>201</v>
      </c>
      <c r="E28">
        <v>215.22</v>
      </c>
      <c r="F28">
        <v>248</v>
      </c>
      <c r="G28">
        <v>0.8678225806451613</v>
      </c>
      <c r="H28">
        <v>0.02044419663600038</v>
      </c>
      <c r="I28">
        <v>0.02875938642922127</v>
      </c>
      <c r="J28">
        <v>0.08</v>
      </c>
      <c r="K28">
        <v>0.128021287948249</v>
      </c>
      <c r="L28" t="s">
        <v>899</v>
      </c>
      <c r="M28" t="s">
        <v>900</v>
      </c>
      <c r="N28">
        <v>16.06119402985075</v>
      </c>
      <c r="O28">
        <v>13.4</v>
      </c>
      <c r="P28">
        <v>4.4</v>
      </c>
      <c r="Q28">
        <v>0.3283582089552239</v>
      </c>
      <c r="R28">
        <v>61</v>
      </c>
      <c r="S28">
        <v>0.08967955831920404</v>
      </c>
      <c r="T28" t="s">
        <v>923</v>
      </c>
      <c r="U28">
        <v>0.202507598784194</v>
      </c>
      <c r="V28" t="s">
        <v>988</v>
      </c>
      <c r="W28" t="s">
        <v>995</v>
      </c>
      <c r="X28">
        <v>126114.784117</v>
      </c>
      <c r="Y28" s="2">
        <v>45072</v>
      </c>
      <c r="Z28" t="s">
        <v>1010</v>
      </c>
    </row>
    <row r="29" spans="1:26">
      <c r="A29" s="1" t="s">
        <v>53</v>
      </c>
      <c r="B29">
        <f>HYPERLINK("https://www.suredividend.com/sure-analysis-RJF/","Raymond James Financial, Inc.")</f>
        <v>0</v>
      </c>
      <c r="C29" t="s">
        <v>896</v>
      </c>
      <c r="D29">
        <v>91</v>
      </c>
      <c r="E29">
        <v>97.19</v>
      </c>
      <c r="F29">
        <v>112</v>
      </c>
      <c r="G29">
        <v>0.8677678571428571</v>
      </c>
      <c r="H29">
        <v>0.01728572898446342</v>
      </c>
      <c r="I29">
        <v>0.02877236130404448</v>
      </c>
      <c r="J29">
        <v>0.08</v>
      </c>
      <c r="K29">
        <v>0.1272258806476447</v>
      </c>
      <c r="L29" t="s">
        <v>899</v>
      </c>
      <c r="M29" t="s">
        <v>589</v>
      </c>
      <c r="N29">
        <v>10.85921787709497</v>
      </c>
      <c r="O29">
        <v>8.949999999999999</v>
      </c>
      <c r="P29">
        <v>1.68</v>
      </c>
      <c r="Q29">
        <v>0.1877094972067039</v>
      </c>
      <c r="R29">
        <v>11</v>
      </c>
      <c r="S29">
        <v>0.1303436071377047</v>
      </c>
      <c r="T29" t="s">
        <v>924</v>
      </c>
      <c r="U29">
        <v>0.06733348927669701</v>
      </c>
      <c r="V29" t="s">
        <v>988</v>
      </c>
      <c r="W29" t="s">
        <v>994</v>
      </c>
      <c r="X29">
        <v>20595.60035</v>
      </c>
      <c r="Y29" s="2">
        <v>45046</v>
      </c>
      <c r="Z29" t="s">
        <v>1006</v>
      </c>
    </row>
    <row r="30" spans="1:26">
      <c r="A30" s="1" t="s">
        <v>54</v>
      </c>
      <c r="B30">
        <f>HYPERLINK("https://www.suredividend.com/sure-analysis-BCPC/","Balchem Corp.")</f>
        <v>0</v>
      </c>
      <c r="C30" t="s">
        <v>896</v>
      </c>
      <c r="D30">
        <v>128</v>
      </c>
      <c r="E30">
        <v>128.98</v>
      </c>
      <c r="F30">
        <v>140</v>
      </c>
      <c r="G30">
        <v>0.9212857142857143</v>
      </c>
      <c r="H30">
        <v>0.005504729415413243</v>
      </c>
      <c r="I30">
        <v>0.01653218261395994</v>
      </c>
      <c r="J30">
        <v>0.1</v>
      </c>
      <c r="K30">
        <v>0.1231485694575529</v>
      </c>
      <c r="L30" t="s">
        <v>899</v>
      </c>
      <c r="M30" t="s">
        <v>791</v>
      </c>
      <c r="N30">
        <v>32.245</v>
      </c>
      <c r="O30">
        <v>4</v>
      </c>
      <c r="P30">
        <v>0.71</v>
      </c>
      <c r="Q30">
        <v>0.1775</v>
      </c>
      <c r="R30">
        <v>13</v>
      </c>
      <c r="S30">
        <v>0.1197738799836998</v>
      </c>
      <c r="T30" t="s">
        <v>925</v>
      </c>
      <c r="U30">
        <v>0.024766650670412</v>
      </c>
      <c r="V30" t="s">
        <v>988</v>
      </c>
      <c r="W30" t="s">
        <v>997</v>
      </c>
      <c r="X30">
        <v>4156.733002</v>
      </c>
      <c r="Y30" s="2">
        <v>45057</v>
      </c>
      <c r="Z30" t="s">
        <v>1005</v>
      </c>
    </row>
    <row r="31" spans="1:26">
      <c r="A31" s="1" t="s">
        <v>55</v>
      </c>
      <c r="B31">
        <f>HYPERLINK("https://www.suredividend.com/sure-analysis-PII/","Polaris Inc")</f>
        <v>0</v>
      </c>
      <c r="C31" t="s">
        <v>896</v>
      </c>
      <c r="D31">
        <v>107</v>
      </c>
      <c r="E31">
        <v>115.36</v>
      </c>
      <c r="F31">
        <v>156</v>
      </c>
      <c r="G31">
        <v>0.7394871794871795</v>
      </c>
      <c r="H31">
        <v>0.02253814147018031</v>
      </c>
      <c r="I31">
        <v>0.06221852252511817</v>
      </c>
      <c r="J31">
        <v>0.04</v>
      </c>
      <c r="K31">
        <v>0.1229824650079712</v>
      </c>
      <c r="L31" t="s">
        <v>899</v>
      </c>
      <c r="M31" t="s">
        <v>900</v>
      </c>
      <c r="N31">
        <v>11.09230769230769</v>
      </c>
      <c r="O31">
        <v>10.4</v>
      </c>
      <c r="P31">
        <v>2.6</v>
      </c>
      <c r="Q31">
        <v>0.25</v>
      </c>
      <c r="R31">
        <v>28</v>
      </c>
      <c r="S31">
        <v>0.07484810908862216</v>
      </c>
      <c r="T31" t="s">
        <v>912</v>
      </c>
      <c r="U31">
        <v>0.097264258443018</v>
      </c>
      <c r="V31" t="s">
        <v>988</v>
      </c>
      <c r="W31" t="s">
        <v>995</v>
      </c>
      <c r="X31">
        <v>6564.741684</v>
      </c>
      <c r="Y31" s="2">
        <v>45043</v>
      </c>
      <c r="Z31" t="s">
        <v>1003</v>
      </c>
    </row>
    <row r="32" spans="1:26">
      <c r="A32" s="1" t="s">
        <v>56</v>
      </c>
      <c r="B32">
        <f>HYPERLINK("https://www.suredividend.com/sure-analysis-ADP/","Automatic Data Processing Inc.")</f>
        <v>0</v>
      </c>
      <c r="C32" t="s">
        <v>896</v>
      </c>
      <c r="D32">
        <v>220</v>
      </c>
      <c r="E32">
        <v>213.83</v>
      </c>
      <c r="F32">
        <v>236</v>
      </c>
      <c r="G32">
        <v>0.9060593220338984</v>
      </c>
      <c r="H32">
        <v>0.02338306131038675</v>
      </c>
      <c r="I32">
        <v>0.01992602447827396</v>
      </c>
      <c r="J32">
        <v>0.08</v>
      </c>
      <c r="K32">
        <v>0.1209545972413053</v>
      </c>
      <c r="L32" t="s">
        <v>899</v>
      </c>
      <c r="M32" t="s">
        <v>900</v>
      </c>
      <c r="N32">
        <v>26.23680981595092</v>
      </c>
      <c r="O32">
        <v>8.15</v>
      </c>
      <c r="P32">
        <v>5</v>
      </c>
      <c r="Q32">
        <v>0.6134969325153374</v>
      </c>
      <c r="R32">
        <v>48</v>
      </c>
      <c r="S32">
        <v>0.08009875865888949</v>
      </c>
      <c r="T32" t="s">
        <v>926</v>
      </c>
      <c r="U32">
        <v>0.003452462125922</v>
      </c>
      <c r="V32" t="s">
        <v>988</v>
      </c>
      <c r="W32" t="s">
        <v>993</v>
      </c>
      <c r="X32">
        <v>88338.039557</v>
      </c>
      <c r="Y32" s="2">
        <v>45047</v>
      </c>
      <c r="Z32" t="s">
        <v>1004</v>
      </c>
    </row>
    <row r="33" spans="1:26">
      <c r="A33" s="1" t="s">
        <v>57</v>
      </c>
      <c r="B33">
        <f>HYPERLINK("https://www.suredividend.com/sure-analysis-FOXA/","Fox Corporation")</f>
        <v>0</v>
      </c>
      <c r="C33" t="s">
        <v>896</v>
      </c>
      <c r="D33">
        <v>31</v>
      </c>
      <c r="E33">
        <v>32.67</v>
      </c>
      <c r="F33">
        <v>43</v>
      </c>
      <c r="G33">
        <v>0.7597674418604652</v>
      </c>
      <c r="H33">
        <v>0.01591674318947046</v>
      </c>
      <c r="I33">
        <v>0.0564862866578737</v>
      </c>
      <c r="J33">
        <v>0.05</v>
      </c>
      <c r="K33">
        <v>0.120543472654006</v>
      </c>
      <c r="L33" t="s">
        <v>899</v>
      </c>
      <c r="M33" t="s">
        <v>589</v>
      </c>
      <c r="N33">
        <v>9.781437125748504</v>
      </c>
      <c r="O33">
        <v>3.34</v>
      </c>
      <c r="P33">
        <v>0.52</v>
      </c>
      <c r="Q33">
        <v>0.155688622754491</v>
      </c>
      <c r="R33">
        <v>1</v>
      </c>
      <c r="S33">
        <v>0.02903366107118788</v>
      </c>
      <c r="T33" t="s">
        <v>927</v>
      </c>
      <c r="U33">
        <v>0.010425912924606</v>
      </c>
      <c r="V33" t="s">
        <v>988</v>
      </c>
      <c r="W33" t="s">
        <v>998</v>
      </c>
      <c r="X33">
        <v>16005.923173</v>
      </c>
      <c r="Y33" s="2">
        <v>45069</v>
      </c>
      <c r="Z33" t="s">
        <v>1011</v>
      </c>
    </row>
    <row r="34" spans="1:26">
      <c r="A34" s="1" t="s">
        <v>58</v>
      </c>
      <c r="B34">
        <f>HYPERLINK("https://www.suredividend.com/sure-analysis-TCEHY/","Tencent Holdings Ltd.")</f>
        <v>0</v>
      </c>
      <c r="C34" t="s">
        <v>896</v>
      </c>
      <c r="D34">
        <v>45</v>
      </c>
      <c r="E34">
        <v>42.44</v>
      </c>
      <c r="F34">
        <v>45</v>
      </c>
      <c r="G34">
        <v>0.943111111111111</v>
      </c>
      <c r="H34">
        <v>0.007304429783223374</v>
      </c>
      <c r="I34">
        <v>0.01178311555557499</v>
      </c>
      <c r="J34">
        <v>0.1</v>
      </c>
      <c r="K34">
        <v>0.1202213147741056</v>
      </c>
      <c r="L34" t="s">
        <v>899</v>
      </c>
      <c r="M34" t="s">
        <v>791</v>
      </c>
      <c r="N34">
        <v>16.976</v>
      </c>
      <c r="O34">
        <v>2.5</v>
      </c>
      <c r="P34">
        <v>0.31</v>
      </c>
      <c r="Q34">
        <v>0.124</v>
      </c>
      <c r="R34">
        <v>1</v>
      </c>
      <c r="S34">
        <v>0.1486983549970351</v>
      </c>
      <c r="T34" t="s">
        <v>908</v>
      </c>
      <c r="U34">
        <v>-0.137047580317202</v>
      </c>
      <c r="V34" t="s">
        <v>988</v>
      </c>
      <c r="W34" t="s">
        <v>998</v>
      </c>
      <c r="X34">
        <v>406926.635242</v>
      </c>
      <c r="Y34" s="2">
        <v>45064</v>
      </c>
      <c r="Z34" t="s">
        <v>1012</v>
      </c>
    </row>
    <row r="35" spans="1:26">
      <c r="A35" s="1" t="s">
        <v>59</v>
      </c>
      <c r="B35">
        <f>HYPERLINK("https://www.suredividend.com/sure-analysis-ELV/","Elevance Health Inc")</f>
        <v>0</v>
      </c>
      <c r="C35" t="s">
        <v>896</v>
      </c>
      <c r="D35">
        <v>467</v>
      </c>
      <c r="E35">
        <v>450.4</v>
      </c>
      <c r="F35">
        <v>491</v>
      </c>
      <c r="G35">
        <v>0.9173116089613034</v>
      </c>
      <c r="H35">
        <v>0.01314387211367673</v>
      </c>
      <c r="I35">
        <v>0.01741145271983946</v>
      </c>
      <c r="J35">
        <v>0.09</v>
      </c>
      <c r="K35">
        <v>0.120092385724373</v>
      </c>
      <c r="L35" t="s">
        <v>899</v>
      </c>
      <c r="M35" t="s">
        <v>589</v>
      </c>
      <c r="N35">
        <v>13.7737003058104</v>
      </c>
      <c r="O35">
        <v>32.7</v>
      </c>
      <c r="P35">
        <v>5.92</v>
      </c>
      <c r="Q35">
        <v>0.1810397553516819</v>
      </c>
      <c r="R35">
        <v>13</v>
      </c>
      <c r="S35">
        <v>0.09003221677131146</v>
      </c>
      <c r="T35" t="s">
        <v>926</v>
      </c>
      <c r="U35">
        <v>-0.041436993210888</v>
      </c>
      <c r="V35" t="s">
        <v>988</v>
      </c>
      <c r="W35" t="s">
        <v>996</v>
      </c>
      <c r="X35">
        <v>106769.934572</v>
      </c>
      <c r="Y35" s="2">
        <v>45036</v>
      </c>
      <c r="Z35" t="s">
        <v>1003</v>
      </c>
    </row>
    <row r="36" spans="1:26">
      <c r="A36" s="1" t="s">
        <v>60</v>
      </c>
      <c r="B36">
        <f>HYPERLINK("https://www.suredividend.com/sure-analysis-NWN/","Northwest Natural Holding Co")</f>
        <v>0</v>
      </c>
      <c r="C36" t="s">
        <v>896</v>
      </c>
      <c r="D36">
        <v>45.7</v>
      </c>
      <c r="E36">
        <v>42.04</v>
      </c>
      <c r="F36">
        <v>51.1</v>
      </c>
      <c r="G36">
        <v>0.8227005870841487</v>
      </c>
      <c r="H36">
        <v>0.0461465271170314</v>
      </c>
      <c r="I36">
        <v>0.03980437057214226</v>
      </c>
      <c r="J36">
        <v>0.045</v>
      </c>
      <c r="K36">
        <v>0.1192915727364523</v>
      </c>
      <c r="L36" t="s">
        <v>899</v>
      </c>
      <c r="M36" t="s">
        <v>899</v>
      </c>
      <c r="N36">
        <v>15.62825278810409</v>
      </c>
      <c r="O36">
        <v>2.69</v>
      </c>
      <c r="P36">
        <v>1.94</v>
      </c>
      <c r="Q36">
        <v>0.7211895910780669</v>
      </c>
      <c r="R36">
        <v>67</v>
      </c>
      <c r="S36">
        <v>0.01597614985727058</v>
      </c>
      <c r="T36" t="s">
        <v>928</v>
      </c>
      <c r="U36">
        <v>-0.165202196209255</v>
      </c>
      <c r="V36" t="s">
        <v>988</v>
      </c>
      <c r="W36" t="s">
        <v>999</v>
      </c>
      <c r="X36">
        <v>1511.994371</v>
      </c>
      <c r="Y36" s="2">
        <v>45067</v>
      </c>
      <c r="Z36" t="s">
        <v>1013</v>
      </c>
    </row>
    <row r="37" spans="1:26">
      <c r="A37" s="1" t="s">
        <v>61</v>
      </c>
      <c r="B37">
        <f>HYPERLINK("https://www.suredividend.com/sure-analysis-NFG/","National Fuel Gas Co.")</f>
        <v>0</v>
      </c>
      <c r="C37" t="s">
        <v>897</v>
      </c>
      <c r="D37">
        <v>52</v>
      </c>
      <c r="E37">
        <v>49.61</v>
      </c>
      <c r="F37">
        <v>69</v>
      </c>
      <c r="G37">
        <v>0.7189855072463768</v>
      </c>
      <c r="H37">
        <v>0.03991130820399113</v>
      </c>
      <c r="I37">
        <v>0.06820836054925827</v>
      </c>
      <c r="J37">
        <v>0.02</v>
      </c>
      <c r="K37">
        <v>0.1179054896702429</v>
      </c>
      <c r="L37" t="s">
        <v>899</v>
      </c>
      <c r="M37" t="s">
        <v>899</v>
      </c>
      <c r="N37">
        <v>9.449523809523809</v>
      </c>
      <c r="O37">
        <v>5.25</v>
      </c>
      <c r="P37">
        <v>1.98</v>
      </c>
      <c r="Q37">
        <v>0.3771428571428571</v>
      </c>
      <c r="R37">
        <v>53</v>
      </c>
      <c r="S37">
        <v>0.01755457717558762</v>
      </c>
      <c r="T37" t="s">
        <v>906</v>
      </c>
      <c r="U37">
        <v>-0.224951530177834</v>
      </c>
      <c r="V37" t="s">
        <v>988</v>
      </c>
      <c r="W37" t="s">
        <v>999</v>
      </c>
      <c r="X37">
        <v>4554.396242</v>
      </c>
      <c r="Y37" s="2">
        <v>45058</v>
      </c>
      <c r="Z37" t="s">
        <v>1007</v>
      </c>
    </row>
    <row r="38" spans="1:26">
      <c r="A38" s="1" t="s">
        <v>62</v>
      </c>
      <c r="B38">
        <f>HYPERLINK("https://www.suredividend.com/sure-analysis-PRI/","Primerica Inc")</f>
        <v>0</v>
      </c>
      <c r="C38" t="s">
        <v>896</v>
      </c>
      <c r="D38">
        <v>181</v>
      </c>
      <c r="E38">
        <v>188.93</v>
      </c>
      <c r="F38">
        <v>193</v>
      </c>
      <c r="G38">
        <v>0.9789119170984456</v>
      </c>
      <c r="H38">
        <v>0.01376171068649765</v>
      </c>
      <c r="I38">
        <v>0.004271820889045319</v>
      </c>
      <c r="J38">
        <v>0.1</v>
      </c>
      <c r="K38">
        <v>0.1168451625709674</v>
      </c>
      <c r="L38" t="s">
        <v>899</v>
      </c>
      <c r="M38" t="s">
        <v>589</v>
      </c>
      <c r="N38">
        <v>13.74036363636364</v>
      </c>
      <c r="O38">
        <v>13.75</v>
      </c>
      <c r="P38">
        <v>2.6</v>
      </c>
      <c r="Q38">
        <v>0.1890909090909091</v>
      </c>
      <c r="R38">
        <v>13</v>
      </c>
      <c r="S38">
        <v>0.1001404547409948</v>
      </c>
      <c r="T38" t="s">
        <v>929</v>
      </c>
      <c r="U38">
        <v>0.5852957588115101</v>
      </c>
      <c r="V38" t="s">
        <v>988</v>
      </c>
      <c r="W38" t="s">
        <v>994</v>
      </c>
      <c r="X38">
        <v>6844.17818</v>
      </c>
      <c r="Y38" s="2">
        <v>45058</v>
      </c>
      <c r="Z38" t="s">
        <v>1006</v>
      </c>
    </row>
    <row r="39" spans="1:26">
      <c r="A39" s="1" t="s">
        <v>63</v>
      </c>
      <c r="B39">
        <f>HYPERLINK("https://www.suredividend.com/sure-analysis-FMCB/","Farmers &amp; Merchants Bancorp")</f>
        <v>0</v>
      </c>
      <c r="C39" t="s">
        <v>896</v>
      </c>
      <c r="D39">
        <v>1000</v>
      </c>
      <c r="E39">
        <v>985</v>
      </c>
      <c r="F39">
        <v>1260</v>
      </c>
      <c r="G39">
        <v>0.7817460317460317</v>
      </c>
      <c r="H39">
        <v>0.01685279187817259</v>
      </c>
      <c r="I39">
        <v>0.05047776162497231</v>
      </c>
      <c r="J39">
        <v>0.05</v>
      </c>
      <c r="K39">
        <v>0.1159131112579324</v>
      </c>
      <c r="L39" t="s">
        <v>899</v>
      </c>
      <c r="M39" t="s">
        <v>900</v>
      </c>
      <c r="N39">
        <v>9.380952380952381</v>
      </c>
      <c r="O39">
        <v>105</v>
      </c>
      <c r="P39">
        <v>16.6</v>
      </c>
      <c r="Q39">
        <v>0.1580952380952381</v>
      </c>
      <c r="R39">
        <v>58</v>
      </c>
      <c r="S39">
        <v>0.05013601855760697</v>
      </c>
      <c r="T39" t="s">
        <v>926</v>
      </c>
      <c r="U39">
        <v>0.09612041255524101</v>
      </c>
      <c r="V39" t="s">
        <v>988</v>
      </c>
      <c r="W39" t="s">
        <v>994</v>
      </c>
      <c r="X39">
        <v>743.205155</v>
      </c>
      <c r="Y39" s="2">
        <v>45041</v>
      </c>
      <c r="Z39" t="s">
        <v>1007</v>
      </c>
    </row>
    <row r="40" spans="1:26">
      <c r="A40" s="1" t="s">
        <v>64</v>
      </c>
      <c r="B40">
        <f>HYPERLINK("https://www.suredividend.com/sure-analysis-AMP/","Ameriprise Financial Inc")</f>
        <v>0</v>
      </c>
      <c r="C40" t="s">
        <v>896</v>
      </c>
      <c r="D40">
        <v>305</v>
      </c>
      <c r="E40">
        <v>317.02</v>
      </c>
      <c r="F40">
        <v>350</v>
      </c>
      <c r="G40">
        <v>0.9057714285714286</v>
      </c>
      <c r="H40">
        <v>0.01703362563876096</v>
      </c>
      <c r="I40">
        <v>0.01999085158612046</v>
      </c>
      <c r="J40">
        <v>0.08</v>
      </c>
      <c r="K40">
        <v>0.1158678390152743</v>
      </c>
      <c r="L40" t="s">
        <v>899</v>
      </c>
      <c r="M40" t="s">
        <v>900</v>
      </c>
      <c r="N40">
        <v>10.42143326758711</v>
      </c>
      <c r="O40">
        <v>30.42</v>
      </c>
      <c r="P40">
        <v>5.4</v>
      </c>
      <c r="Q40">
        <v>0.1775147928994083</v>
      </c>
      <c r="R40">
        <v>19</v>
      </c>
      <c r="S40">
        <v>0.07988096386199439</v>
      </c>
      <c r="T40" t="s">
        <v>907</v>
      </c>
      <c r="U40">
        <v>0.293557916727872</v>
      </c>
      <c r="V40" t="s">
        <v>988</v>
      </c>
      <c r="W40" t="s">
        <v>994</v>
      </c>
      <c r="X40">
        <v>33026.758738</v>
      </c>
      <c r="Y40" s="2">
        <v>45045</v>
      </c>
      <c r="Z40" t="s">
        <v>1003</v>
      </c>
    </row>
    <row r="41" spans="1:26">
      <c r="A41" s="1" t="s">
        <v>65</v>
      </c>
      <c r="B41">
        <f>HYPERLINK("https://www.suredividend.com/sure-analysis-EFSI/","Eagle Financial Services, Inc.")</f>
        <v>0</v>
      </c>
      <c r="C41" t="s">
        <v>896</v>
      </c>
      <c r="D41">
        <v>32</v>
      </c>
      <c r="E41">
        <v>31.25</v>
      </c>
      <c r="F41">
        <v>39</v>
      </c>
      <c r="G41">
        <v>0.8012820512820513</v>
      </c>
      <c r="H41">
        <v>0.0384</v>
      </c>
      <c r="I41">
        <v>0.0453047335816521</v>
      </c>
      <c r="J41">
        <v>0.04</v>
      </c>
      <c r="K41">
        <v>0.1156349004932642</v>
      </c>
      <c r="L41" t="s">
        <v>899</v>
      </c>
      <c r="M41" t="s">
        <v>899</v>
      </c>
      <c r="N41">
        <v>8.012820512820513</v>
      </c>
      <c r="O41">
        <v>3.9</v>
      </c>
      <c r="P41">
        <v>1.2</v>
      </c>
      <c r="Q41">
        <v>0.3076923076923077</v>
      </c>
      <c r="R41">
        <v>35</v>
      </c>
      <c r="S41">
        <v>0.02983277847878951</v>
      </c>
      <c r="T41" t="s">
        <v>907</v>
      </c>
      <c r="U41">
        <v>-0.08499449532688301</v>
      </c>
      <c r="V41" t="s">
        <v>988</v>
      </c>
      <c r="W41" t="s">
        <v>994</v>
      </c>
      <c r="X41">
        <v>110.2575</v>
      </c>
      <c r="Y41" s="2">
        <v>45076</v>
      </c>
      <c r="Z41" t="s">
        <v>1008</v>
      </c>
    </row>
    <row r="42" spans="1:26">
      <c r="A42" s="1" t="s">
        <v>66</v>
      </c>
      <c r="B42">
        <f>HYPERLINK("https://www.suredividend.com/sure-analysis-AJG/","Arthur J. Gallagher &amp; Co.")</f>
        <v>0</v>
      </c>
      <c r="C42" t="s">
        <v>896</v>
      </c>
      <c r="D42">
        <v>208</v>
      </c>
      <c r="E42">
        <v>212.46</v>
      </c>
      <c r="F42">
        <v>220</v>
      </c>
      <c r="G42">
        <v>0.9657272727272728</v>
      </c>
      <c r="H42">
        <v>0.01035489033229784</v>
      </c>
      <c r="I42">
        <v>0.006999142503284483</v>
      </c>
      <c r="J42">
        <v>0.1</v>
      </c>
      <c r="K42">
        <v>0.1155712471864481</v>
      </c>
      <c r="L42" t="s">
        <v>899</v>
      </c>
      <c r="M42" t="s">
        <v>791</v>
      </c>
      <c r="N42">
        <v>24.14318181818182</v>
      </c>
      <c r="O42">
        <v>8.800000000000001</v>
      </c>
      <c r="P42">
        <v>2.2</v>
      </c>
      <c r="Q42">
        <v>0.25</v>
      </c>
      <c r="R42">
        <v>13</v>
      </c>
      <c r="S42">
        <v>0.05016303610438722</v>
      </c>
      <c r="T42" t="s">
        <v>930</v>
      </c>
      <c r="U42">
        <v>0.29998702827591</v>
      </c>
      <c r="V42" t="s">
        <v>988</v>
      </c>
      <c r="W42" t="s">
        <v>994</v>
      </c>
      <c r="X42">
        <v>45518.70516</v>
      </c>
      <c r="Y42" s="2">
        <v>45047</v>
      </c>
      <c r="Z42" t="s">
        <v>1004</v>
      </c>
    </row>
    <row r="43" spans="1:26">
      <c r="A43" s="1" t="s">
        <v>67</v>
      </c>
      <c r="B43">
        <f>HYPERLINK("https://www.suredividend.com/sure-analysis-SYY/","Sysco Corp.")</f>
        <v>0</v>
      </c>
      <c r="C43" t="s">
        <v>896</v>
      </c>
      <c r="D43">
        <v>73</v>
      </c>
      <c r="E43">
        <v>72.45</v>
      </c>
      <c r="F43">
        <v>80</v>
      </c>
      <c r="G43">
        <v>0.905625</v>
      </c>
      <c r="H43">
        <v>0.02705314009661836</v>
      </c>
      <c r="I43">
        <v>0.02002383348140757</v>
      </c>
      <c r="J43">
        <v>0.07000000000000001</v>
      </c>
      <c r="K43">
        <v>0.1132992889287103</v>
      </c>
      <c r="L43" t="s">
        <v>899</v>
      </c>
      <c r="M43" t="s">
        <v>900</v>
      </c>
      <c r="N43">
        <v>18.1125</v>
      </c>
      <c r="O43">
        <v>4</v>
      </c>
      <c r="P43">
        <v>1.96</v>
      </c>
      <c r="Q43">
        <v>0.49</v>
      </c>
      <c r="R43">
        <v>53</v>
      </c>
      <c r="S43">
        <v>0.05976371076911535</v>
      </c>
      <c r="T43" t="s">
        <v>919</v>
      </c>
      <c r="U43">
        <v>-0.131886197409917</v>
      </c>
      <c r="V43" t="s">
        <v>988</v>
      </c>
      <c r="W43" t="s">
        <v>997</v>
      </c>
      <c r="X43">
        <v>36709.133939</v>
      </c>
      <c r="Y43" s="2">
        <v>45069</v>
      </c>
      <c r="Z43" t="s">
        <v>1011</v>
      </c>
    </row>
    <row r="44" spans="1:26">
      <c r="A44" s="1" t="s">
        <v>68</v>
      </c>
      <c r="B44">
        <f>HYPERLINK("https://www.suredividend.com/sure-analysis-BOKF/","BOK Financial Corp.")</f>
        <v>0</v>
      </c>
      <c r="C44" t="s">
        <v>896</v>
      </c>
      <c r="D44">
        <v>84</v>
      </c>
      <c r="E44">
        <v>81.19</v>
      </c>
      <c r="F44">
        <v>104</v>
      </c>
      <c r="G44">
        <v>0.7806730769230769</v>
      </c>
      <c r="H44">
        <v>0.02660426160857249</v>
      </c>
      <c r="I44">
        <v>0.0507663577308175</v>
      </c>
      <c r="J44">
        <v>0.04</v>
      </c>
      <c r="K44">
        <v>0.1130581686544434</v>
      </c>
      <c r="L44" t="s">
        <v>899</v>
      </c>
      <c r="M44" t="s">
        <v>900</v>
      </c>
      <c r="N44">
        <v>9.021111111111111</v>
      </c>
      <c r="O44">
        <v>9</v>
      </c>
      <c r="P44">
        <v>2.16</v>
      </c>
      <c r="Q44">
        <v>0.24</v>
      </c>
      <c r="R44">
        <v>18</v>
      </c>
      <c r="S44">
        <v>0.04016060061424764</v>
      </c>
      <c r="T44" t="s">
        <v>931</v>
      </c>
      <c r="U44">
        <v>0.08169826227485601</v>
      </c>
      <c r="V44" t="s">
        <v>988</v>
      </c>
      <c r="W44" t="s">
        <v>994</v>
      </c>
      <c r="X44">
        <v>5407.321631</v>
      </c>
      <c r="Y44" s="2">
        <v>45044</v>
      </c>
      <c r="Z44" t="s">
        <v>1006</v>
      </c>
    </row>
    <row r="45" spans="1:26">
      <c r="A45" s="1" t="s">
        <v>69</v>
      </c>
      <c r="B45">
        <f>HYPERLINK("https://www.suredividend.com/sure-analysis-THFF/","First Financial Corp. - Indiana")</f>
        <v>0</v>
      </c>
      <c r="C45" t="s">
        <v>896</v>
      </c>
      <c r="D45">
        <v>33</v>
      </c>
      <c r="E45">
        <v>32.09</v>
      </c>
      <c r="F45">
        <v>49</v>
      </c>
      <c r="G45">
        <v>0.6548979591836736</v>
      </c>
      <c r="H45">
        <v>0.03365534434403241</v>
      </c>
      <c r="I45">
        <v>0.08834170758718352</v>
      </c>
      <c r="J45">
        <v>0</v>
      </c>
      <c r="K45">
        <v>0.112066345548945</v>
      </c>
      <c r="L45" t="s">
        <v>899</v>
      </c>
      <c r="M45" t="s">
        <v>899</v>
      </c>
      <c r="N45">
        <v>6.548979591836735</v>
      </c>
      <c r="O45">
        <v>4.9</v>
      </c>
      <c r="P45">
        <v>1.08</v>
      </c>
      <c r="Q45">
        <v>0.2204081632653061</v>
      </c>
      <c r="R45">
        <v>34</v>
      </c>
      <c r="S45">
        <v>0.01087212085035083</v>
      </c>
      <c r="T45" t="s">
        <v>902</v>
      </c>
      <c r="U45">
        <v>-0.261657256190436</v>
      </c>
      <c r="V45" t="s">
        <v>988</v>
      </c>
      <c r="W45" t="s">
        <v>994</v>
      </c>
      <c r="X45">
        <v>387.194346</v>
      </c>
      <c r="Y45" s="2">
        <v>45052</v>
      </c>
      <c r="Z45" t="s">
        <v>1004</v>
      </c>
    </row>
    <row r="46" spans="1:26">
      <c r="A46" s="1" t="s">
        <v>70</v>
      </c>
      <c r="B46">
        <f>HYPERLINK("https://www.suredividend.com/sure-analysis-LNN/","Lindsay Corporation")</f>
        <v>0</v>
      </c>
      <c r="C46" t="s">
        <v>896</v>
      </c>
      <c r="D46">
        <v>128</v>
      </c>
      <c r="E46">
        <v>124.99</v>
      </c>
      <c r="F46">
        <v>168</v>
      </c>
      <c r="G46">
        <v>0.7439880952380952</v>
      </c>
      <c r="H46">
        <v>0.01088087046963757</v>
      </c>
      <c r="I46">
        <v>0.06093017728107242</v>
      </c>
      <c r="J46">
        <v>0.04</v>
      </c>
      <c r="K46">
        <v>0.1115030749591988</v>
      </c>
      <c r="L46" t="s">
        <v>899</v>
      </c>
      <c r="M46" t="s">
        <v>589</v>
      </c>
      <c r="N46">
        <v>17.85571428571428</v>
      </c>
      <c r="O46">
        <v>7</v>
      </c>
      <c r="P46">
        <v>1.36</v>
      </c>
      <c r="Q46">
        <v>0.1942857142857143</v>
      </c>
      <c r="R46">
        <v>20</v>
      </c>
      <c r="S46">
        <v>0.03941506521508265</v>
      </c>
      <c r="T46" t="s">
        <v>922</v>
      </c>
      <c r="U46">
        <v>0.019211637881827</v>
      </c>
      <c r="V46" t="s">
        <v>988</v>
      </c>
      <c r="W46" t="s">
        <v>993</v>
      </c>
      <c r="X46">
        <v>1375.878046</v>
      </c>
      <c r="Y46" s="2">
        <v>45021</v>
      </c>
      <c r="Z46" t="s">
        <v>1014</v>
      </c>
    </row>
    <row r="47" spans="1:26">
      <c r="A47" s="1" t="s">
        <v>71</v>
      </c>
      <c r="B47">
        <f>HYPERLINK("https://www.suredividend.com/sure-analysis-TMO/","Thermo Fisher Scientific Inc.")</f>
        <v>0</v>
      </c>
      <c r="C47" t="s">
        <v>897</v>
      </c>
      <c r="D47">
        <v>543</v>
      </c>
      <c r="E47">
        <v>524.21</v>
      </c>
      <c r="F47">
        <v>545</v>
      </c>
      <c r="G47">
        <v>0.9618532110091744</v>
      </c>
      <c r="H47">
        <v>0.002670685412334751</v>
      </c>
      <c r="I47">
        <v>0.007809018025384029</v>
      </c>
      <c r="J47">
        <v>0.1</v>
      </c>
      <c r="K47">
        <v>0.1113211257365256</v>
      </c>
      <c r="L47" t="s">
        <v>899</v>
      </c>
      <c r="M47" t="s">
        <v>791</v>
      </c>
      <c r="N47">
        <v>22.11856540084388</v>
      </c>
      <c r="O47">
        <v>23.7</v>
      </c>
      <c r="P47">
        <v>1.4</v>
      </c>
      <c r="Q47">
        <v>0.05907172995780591</v>
      </c>
      <c r="R47">
        <v>6</v>
      </c>
      <c r="S47">
        <v>0.1503346840762383</v>
      </c>
      <c r="T47" t="s">
        <v>916</v>
      </c>
      <c r="U47">
        <v>-0.035525187178506</v>
      </c>
      <c r="V47" t="s">
        <v>988</v>
      </c>
      <c r="W47" t="s">
        <v>996</v>
      </c>
      <c r="X47">
        <v>202198.955334</v>
      </c>
      <c r="Y47" s="2">
        <v>45044</v>
      </c>
      <c r="Z47" t="s">
        <v>1012</v>
      </c>
    </row>
    <row r="48" spans="1:26">
      <c r="A48" s="1" t="s">
        <v>72</v>
      </c>
      <c r="B48">
        <f>HYPERLINK("https://www.suredividend.com/sure-analysis-STE/","Steris Plc")</f>
        <v>0</v>
      </c>
      <c r="C48" t="s">
        <v>896</v>
      </c>
      <c r="D48">
        <v>206</v>
      </c>
      <c r="E48">
        <v>210.81</v>
      </c>
      <c r="F48">
        <v>214</v>
      </c>
      <c r="G48">
        <v>0.9850934579439252</v>
      </c>
      <c r="H48">
        <v>0.008917983017883402</v>
      </c>
      <c r="I48">
        <v>0.003008268013956705</v>
      </c>
      <c r="J48">
        <v>0.1</v>
      </c>
      <c r="K48">
        <v>0.1112802820245906</v>
      </c>
      <c r="L48" t="s">
        <v>899</v>
      </c>
      <c r="M48" t="s">
        <v>791</v>
      </c>
      <c r="N48">
        <v>24.65614035087719</v>
      </c>
      <c r="O48">
        <v>8.550000000000001</v>
      </c>
      <c r="P48">
        <v>1.88</v>
      </c>
      <c r="Q48">
        <v>0.2198830409356725</v>
      </c>
      <c r="R48">
        <v>12</v>
      </c>
      <c r="S48">
        <v>0.1001627996506749</v>
      </c>
      <c r="T48" t="s">
        <v>932</v>
      </c>
      <c r="U48">
        <v>0.02182124696025</v>
      </c>
      <c r="V48" t="s">
        <v>988</v>
      </c>
      <c r="W48" t="s">
        <v>996</v>
      </c>
      <c r="X48">
        <v>20796.615413</v>
      </c>
      <c r="Y48" s="2">
        <v>45064</v>
      </c>
      <c r="Z48" t="s">
        <v>1005</v>
      </c>
    </row>
    <row r="49" spans="1:26">
      <c r="A49" s="1" t="s">
        <v>73</v>
      </c>
      <c r="B49">
        <f>HYPERLINK("https://www.suredividend.com/sure-analysis-ADI/","Analog Devices Inc.")</f>
        <v>0</v>
      </c>
      <c r="C49" t="s">
        <v>896</v>
      </c>
      <c r="D49">
        <v>172</v>
      </c>
      <c r="E49">
        <v>185.94</v>
      </c>
      <c r="F49">
        <v>190</v>
      </c>
      <c r="G49">
        <v>0.9786315789473684</v>
      </c>
      <c r="H49">
        <v>0.01850059158868452</v>
      </c>
      <c r="I49">
        <v>0.004329350904964224</v>
      </c>
      <c r="J49">
        <v>0.09</v>
      </c>
      <c r="K49">
        <v>0.1110264762748345</v>
      </c>
      <c r="L49" t="s">
        <v>899</v>
      </c>
      <c r="M49" t="s">
        <v>589</v>
      </c>
      <c r="N49">
        <v>17.65811965811966</v>
      </c>
      <c r="O49">
        <v>10.53</v>
      </c>
      <c r="P49">
        <v>3.44</v>
      </c>
      <c r="Q49">
        <v>0.3266856600189934</v>
      </c>
      <c r="R49">
        <v>19</v>
      </c>
      <c r="S49">
        <v>0.08988191433185699</v>
      </c>
      <c r="T49" t="s">
        <v>918</v>
      </c>
      <c r="U49">
        <v>0.271631551015718</v>
      </c>
      <c r="V49" t="s">
        <v>988</v>
      </c>
      <c r="W49" t="s">
        <v>1000</v>
      </c>
      <c r="X49">
        <v>93233.719446</v>
      </c>
      <c r="Y49" s="2">
        <v>45072</v>
      </c>
      <c r="Z49" t="s">
        <v>1010</v>
      </c>
    </row>
    <row r="50" spans="1:26">
      <c r="A50" s="1" t="s">
        <v>74</v>
      </c>
      <c r="B50">
        <f>HYPERLINK("https://www.suredividend.com/sure-analysis-KR/","Kroger Co.")</f>
        <v>0</v>
      </c>
      <c r="C50" t="s">
        <v>896</v>
      </c>
      <c r="D50">
        <v>46</v>
      </c>
      <c r="E50">
        <v>46.14</v>
      </c>
      <c r="F50">
        <v>59</v>
      </c>
      <c r="G50">
        <v>0.7820338983050847</v>
      </c>
      <c r="H50">
        <v>0.02514087559601214</v>
      </c>
      <c r="I50">
        <v>0.05040041409462348</v>
      </c>
      <c r="J50">
        <v>0.038</v>
      </c>
      <c r="K50">
        <v>0.1100536592654418</v>
      </c>
      <c r="L50" t="s">
        <v>899</v>
      </c>
      <c r="M50" t="s">
        <v>900</v>
      </c>
      <c r="N50">
        <v>10.25333333333333</v>
      </c>
      <c r="O50">
        <v>4.5</v>
      </c>
      <c r="P50">
        <v>1.16</v>
      </c>
      <c r="Q50">
        <v>0.2577777777777778</v>
      </c>
      <c r="R50">
        <v>18</v>
      </c>
      <c r="S50">
        <v>0.04707785177516688</v>
      </c>
      <c r="T50" t="s">
        <v>931</v>
      </c>
      <c r="U50">
        <v>-0.0263275624847</v>
      </c>
      <c r="V50" t="s">
        <v>988</v>
      </c>
      <c r="W50" t="s">
        <v>997</v>
      </c>
      <c r="X50">
        <v>33112.296761</v>
      </c>
      <c r="Y50" s="2">
        <v>45098</v>
      </c>
      <c r="Z50" t="s">
        <v>1010</v>
      </c>
    </row>
    <row r="51" spans="1:26">
      <c r="A51" s="1" t="s">
        <v>75</v>
      </c>
      <c r="B51">
        <f>HYPERLINK("https://www.suredividend.com/sure-analysis-TTC/","Toro Co.")</f>
        <v>0</v>
      </c>
      <c r="C51" t="s">
        <v>896</v>
      </c>
      <c r="D51">
        <v>97</v>
      </c>
      <c r="E51">
        <v>97.41</v>
      </c>
      <c r="F51">
        <v>105</v>
      </c>
      <c r="G51">
        <v>0.9277142857142857</v>
      </c>
      <c r="H51">
        <v>0.01396160558464224</v>
      </c>
      <c r="I51">
        <v>0.01511945484863841</v>
      </c>
      <c r="J51">
        <v>0.08</v>
      </c>
      <c r="K51">
        <v>0.1090114382272962</v>
      </c>
      <c r="L51" t="s">
        <v>899</v>
      </c>
      <c r="M51" t="s">
        <v>589</v>
      </c>
      <c r="N51">
        <v>20.50736842105263</v>
      </c>
      <c r="O51">
        <v>4.75</v>
      </c>
      <c r="P51">
        <v>1.36</v>
      </c>
      <c r="Q51">
        <v>0.2863157894736842</v>
      </c>
      <c r="R51">
        <v>14</v>
      </c>
      <c r="S51">
        <v>0.09997050830829379</v>
      </c>
      <c r="T51" t="s">
        <v>933</v>
      </c>
      <c r="U51">
        <v>0.244662174076373</v>
      </c>
      <c r="V51" t="s">
        <v>988</v>
      </c>
      <c r="W51" t="s">
        <v>993</v>
      </c>
      <c r="X51">
        <v>10121.446736</v>
      </c>
      <c r="Y51" s="2">
        <v>45098</v>
      </c>
      <c r="Z51" t="s">
        <v>1010</v>
      </c>
    </row>
    <row r="52" spans="1:26">
      <c r="A52" s="1" t="s">
        <v>76</v>
      </c>
      <c r="B52">
        <f>HYPERLINK("https://www.suredividend.com/sure-analysis-DOV/","Dover Corp.")</f>
        <v>0</v>
      </c>
      <c r="C52" t="s">
        <v>896</v>
      </c>
      <c r="D52">
        <v>146</v>
      </c>
      <c r="E52">
        <v>141.13</v>
      </c>
      <c r="F52">
        <v>152</v>
      </c>
      <c r="G52">
        <v>0.9284868421052631</v>
      </c>
      <c r="H52">
        <v>0.01431304471055056</v>
      </c>
      <c r="I52">
        <v>0.01495047061966859</v>
      </c>
      <c r="J52">
        <v>0.08</v>
      </c>
      <c r="K52">
        <v>0.1074216980952714</v>
      </c>
      <c r="L52" t="s">
        <v>899</v>
      </c>
      <c r="M52" t="s">
        <v>900</v>
      </c>
      <c r="N52">
        <v>15.76871508379888</v>
      </c>
      <c r="O52">
        <v>8.949999999999999</v>
      </c>
      <c r="P52">
        <v>2.02</v>
      </c>
      <c r="Q52">
        <v>0.2256983240223464</v>
      </c>
      <c r="R52">
        <v>67</v>
      </c>
      <c r="S52">
        <v>0.05015563553472902</v>
      </c>
      <c r="T52" t="s">
        <v>934</v>
      </c>
      <c r="U52">
        <v>0.158030601284804</v>
      </c>
      <c r="V52" t="s">
        <v>988</v>
      </c>
      <c r="W52" t="s">
        <v>993</v>
      </c>
      <c r="X52">
        <v>19737.213687</v>
      </c>
      <c r="Y52" s="2">
        <v>45045</v>
      </c>
      <c r="Z52" t="s">
        <v>1003</v>
      </c>
    </row>
    <row r="53" spans="1:26">
      <c r="A53" s="1" t="s">
        <v>77</v>
      </c>
      <c r="B53">
        <f>HYPERLINK("https://www.suredividend.com/sure-analysis-AIT/","Applied Industrial Technologies Inc.")</f>
        <v>0</v>
      </c>
      <c r="C53" t="s">
        <v>896</v>
      </c>
      <c r="D53">
        <v>136</v>
      </c>
      <c r="E53">
        <v>137.02</v>
      </c>
      <c r="F53">
        <v>157</v>
      </c>
      <c r="G53">
        <v>0.8727388535031848</v>
      </c>
      <c r="H53">
        <v>0.01021748649832141</v>
      </c>
      <c r="I53">
        <v>0.02759773383736919</v>
      </c>
      <c r="J53">
        <v>0.07000000000000001</v>
      </c>
      <c r="K53">
        <v>0.1070625730048902</v>
      </c>
      <c r="L53" t="s">
        <v>899</v>
      </c>
      <c r="M53" t="s">
        <v>589</v>
      </c>
      <c r="N53">
        <v>16.12</v>
      </c>
      <c r="O53">
        <v>8.5</v>
      </c>
      <c r="P53">
        <v>1.4</v>
      </c>
      <c r="Q53">
        <v>0.1647058823529412</v>
      </c>
      <c r="R53">
        <v>15</v>
      </c>
      <c r="S53">
        <v>0.02962100943384161</v>
      </c>
      <c r="T53" t="s">
        <v>931</v>
      </c>
      <c r="U53">
        <v>0.4577262576905111</v>
      </c>
      <c r="V53" t="s">
        <v>988</v>
      </c>
      <c r="W53" t="s">
        <v>993</v>
      </c>
      <c r="X53">
        <v>5296.38807</v>
      </c>
      <c r="Y53" s="2">
        <v>45044</v>
      </c>
      <c r="Z53" t="s">
        <v>1006</v>
      </c>
    </row>
    <row r="54" spans="1:26">
      <c r="A54" s="1" t="s">
        <v>78</v>
      </c>
      <c r="B54">
        <f>HYPERLINK("https://www.suredividend.com/sure-analysis-ADM/","Archer Daniels Midland Co.")</f>
        <v>0</v>
      </c>
      <c r="C54" t="s">
        <v>897</v>
      </c>
      <c r="D54">
        <v>76</v>
      </c>
      <c r="E54">
        <v>72.90000000000001</v>
      </c>
      <c r="F54">
        <v>96</v>
      </c>
      <c r="G54">
        <v>0.759375</v>
      </c>
      <c r="H54">
        <v>0.02469135802469136</v>
      </c>
      <c r="I54">
        <v>0.05659546164074225</v>
      </c>
      <c r="J54">
        <v>0.03</v>
      </c>
      <c r="K54">
        <v>0.1069146926024414</v>
      </c>
      <c r="L54" t="s">
        <v>899</v>
      </c>
      <c r="M54" t="s">
        <v>899</v>
      </c>
      <c r="N54">
        <v>10.64233576642336</v>
      </c>
      <c r="O54">
        <v>6.85</v>
      </c>
      <c r="P54">
        <v>1.8</v>
      </c>
      <c r="Q54">
        <v>0.2627737226277372</v>
      </c>
      <c r="R54">
        <v>50</v>
      </c>
      <c r="S54">
        <v>0.03032622996477263</v>
      </c>
      <c r="T54" t="s">
        <v>922</v>
      </c>
      <c r="U54">
        <v>-0.001677565134033</v>
      </c>
      <c r="V54" t="s">
        <v>988</v>
      </c>
      <c r="W54" t="s">
        <v>997</v>
      </c>
      <c r="X54">
        <v>39703.878159</v>
      </c>
      <c r="Y54" s="2">
        <v>45048</v>
      </c>
      <c r="Z54" t="s">
        <v>1011</v>
      </c>
    </row>
    <row r="55" spans="1:26">
      <c r="A55" s="1" t="s">
        <v>79</v>
      </c>
      <c r="B55">
        <f>HYPERLINK("https://www.suredividend.com/sure-analysis-RHHBY/","Roche Holding AG")</f>
        <v>0</v>
      </c>
      <c r="C55" t="s">
        <v>896</v>
      </c>
      <c r="D55">
        <v>38</v>
      </c>
      <c r="E55">
        <v>38.43</v>
      </c>
      <c r="F55">
        <v>49</v>
      </c>
      <c r="G55">
        <v>0.7842857142857143</v>
      </c>
      <c r="H55">
        <v>0.03356752537080406</v>
      </c>
      <c r="I55">
        <v>0.04979654497815944</v>
      </c>
      <c r="J55">
        <v>0.03</v>
      </c>
      <c r="K55">
        <v>0.1067489127340522</v>
      </c>
      <c r="L55" t="s">
        <v>899</v>
      </c>
      <c r="M55" t="s">
        <v>899</v>
      </c>
      <c r="N55">
        <v>13.39024390243902</v>
      </c>
      <c r="O55">
        <v>2.87</v>
      </c>
      <c r="P55">
        <v>1.29</v>
      </c>
      <c r="Q55">
        <v>0.4494773519163763</v>
      </c>
      <c r="R55">
        <v>36</v>
      </c>
      <c r="S55">
        <v>0.02786103083329716</v>
      </c>
      <c r="T55" t="s">
        <v>935</v>
      </c>
      <c r="U55">
        <v>-0.042820280354278</v>
      </c>
      <c r="V55" t="s">
        <v>988</v>
      </c>
      <c r="W55" t="s">
        <v>996</v>
      </c>
      <c r="X55">
        <v>215995.876488</v>
      </c>
      <c r="Y55" s="2">
        <v>45043</v>
      </c>
      <c r="Z55" t="s">
        <v>1015</v>
      </c>
    </row>
    <row r="56" spans="1:26">
      <c r="A56" s="1" t="s">
        <v>80</v>
      </c>
      <c r="B56">
        <f>HYPERLINK("https://www.suredividend.com/sure-analysis-UNM/","Unum Group")</f>
        <v>0</v>
      </c>
      <c r="C56" t="s">
        <v>896</v>
      </c>
      <c r="D56">
        <v>43</v>
      </c>
      <c r="E56">
        <v>45.78</v>
      </c>
      <c r="F56">
        <v>59</v>
      </c>
      <c r="G56">
        <v>0.7759322033898305</v>
      </c>
      <c r="H56">
        <v>0.02883355176933159</v>
      </c>
      <c r="I56">
        <v>0.05204724802288352</v>
      </c>
      <c r="J56">
        <v>0.03</v>
      </c>
      <c r="K56">
        <v>0.1055698170824468</v>
      </c>
      <c r="L56" t="s">
        <v>899</v>
      </c>
      <c r="M56" t="s">
        <v>900</v>
      </c>
      <c r="N56">
        <v>6.14496644295302</v>
      </c>
      <c r="O56">
        <v>7.45</v>
      </c>
      <c r="P56">
        <v>1.32</v>
      </c>
      <c r="Q56">
        <v>0.1771812080536913</v>
      </c>
      <c r="R56">
        <v>14</v>
      </c>
      <c r="S56">
        <v>0.02996744995959233</v>
      </c>
      <c r="T56" t="s">
        <v>928</v>
      </c>
      <c r="U56">
        <v>0.380858014134339</v>
      </c>
      <c r="V56" t="s">
        <v>988</v>
      </c>
      <c r="W56" t="s">
        <v>994</v>
      </c>
      <c r="X56">
        <v>9021.804628</v>
      </c>
      <c r="Y56" s="2">
        <v>45060</v>
      </c>
      <c r="Z56" t="s">
        <v>1007</v>
      </c>
    </row>
    <row r="57" spans="1:26">
      <c r="A57" s="1" t="s">
        <v>81</v>
      </c>
      <c r="B57">
        <f>HYPERLINK("https://www.suredividend.com/sure-analysis-ENSG/","Ensign Group Inc")</f>
        <v>0</v>
      </c>
      <c r="C57" t="s">
        <v>896</v>
      </c>
      <c r="D57">
        <v>94</v>
      </c>
      <c r="E57">
        <v>90.91</v>
      </c>
      <c r="F57">
        <v>101</v>
      </c>
      <c r="G57">
        <v>0.90009900990099</v>
      </c>
      <c r="H57">
        <v>0.002529974700252998</v>
      </c>
      <c r="I57">
        <v>0.02127321833103091</v>
      </c>
      <c r="J57">
        <v>0.08</v>
      </c>
      <c r="K57">
        <v>0.1049368255045702</v>
      </c>
      <c r="L57" t="s">
        <v>899</v>
      </c>
      <c r="M57" t="s">
        <v>589</v>
      </c>
      <c r="N57">
        <v>19.76304347826087</v>
      </c>
      <c r="O57">
        <v>4.6</v>
      </c>
      <c r="P57">
        <v>0.23</v>
      </c>
      <c r="Q57">
        <v>0.05</v>
      </c>
      <c r="R57">
        <v>15</v>
      </c>
      <c r="S57">
        <v>0.04745176373283</v>
      </c>
      <c r="T57" t="s">
        <v>906</v>
      </c>
      <c r="U57">
        <v>0.211332238945977</v>
      </c>
      <c r="V57" t="s">
        <v>988</v>
      </c>
      <c r="W57" t="s">
        <v>996</v>
      </c>
      <c r="X57">
        <v>5089.578077</v>
      </c>
      <c r="Y57" s="2">
        <v>45056</v>
      </c>
      <c r="Z57" t="s">
        <v>1005</v>
      </c>
    </row>
    <row r="58" spans="1:26">
      <c r="A58" s="1" t="s">
        <v>82</v>
      </c>
      <c r="B58">
        <f>HYPERLINK("https://www.suredividend.com/sure-analysis-SLGN/","Silgan Holdings Inc.")</f>
        <v>0</v>
      </c>
      <c r="C58" t="s">
        <v>897</v>
      </c>
      <c r="D58">
        <v>49</v>
      </c>
      <c r="E58">
        <v>45.75</v>
      </c>
      <c r="F58">
        <v>53</v>
      </c>
      <c r="G58">
        <v>0.8632075471698113</v>
      </c>
      <c r="H58">
        <v>0.01398907103825137</v>
      </c>
      <c r="I58">
        <v>0.02985706870639104</v>
      </c>
      <c r="J58">
        <v>0.06</v>
      </c>
      <c r="K58">
        <v>0.1045637113421733</v>
      </c>
      <c r="L58" t="s">
        <v>899</v>
      </c>
      <c r="M58" t="s">
        <v>589</v>
      </c>
      <c r="N58">
        <v>11.2962962962963</v>
      </c>
      <c r="O58">
        <v>4.05</v>
      </c>
      <c r="P58">
        <v>0.64</v>
      </c>
      <c r="Q58">
        <v>0.1580246913580247</v>
      </c>
      <c r="R58">
        <v>18</v>
      </c>
      <c r="S58">
        <v>0.09984491222048941</v>
      </c>
      <c r="T58" t="s">
        <v>912</v>
      </c>
      <c r="U58">
        <v>0.09292097763274501</v>
      </c>
      <c r="V58" t="s">
        <v>988</v>
      </c>
      <c r="W58" t="s">
        <v>992</v>
      </c>
      <c r="X58">
        <v>5044.049405</v>
      </c>
      <c r="Y58" s="2">
        <v>45043</v>
      </c>
      <c r="Z58" t="s">
        <v>1012</v>
      </c>
    </row>
    <row r="59" spans="1:26">
      <c r="A59" s="1" t="s">
        <v>83</v>
      </c>
      <c r="B59">
        <f>HYPERLINK("https://www.suredividend.com/sure-analysis-DG/","Dollar General Corp.")</f>
        <v>0</v>
      </c>
      <c r="C59" t="s">
        <v>896</v>
      </c>
      <c r="D59">
        <v>153</v>
      </c>
      <c r="E59">
        <v>171.15</v>
      </c>
      <c r="F59">
        <v>181</v>
      </c>
      <c r="G59">
        <v>0.9455801104972376</v>
      </c>
      <c r="H59">
        <v>0.0137890739117733</v>
      </c>
      <c r="I59">
        <v>0.01125419049455223</v>
      </c>
      <c r="J59">
        <v>0.08</v>
      </c>
      <c r="K59">
        <v>0.1035024940154934</v>
      </c>
      <c r="L59" t="s">
        <v>899</v>
      </c>
      <c r="M59" t="s">
        <v>589</v>
      </c>
      <c r="N59">
        <v>16.99602780536246</v>
      </c>
      <c r="O59">
        <v>10.07</v>
      </c>
      <c r="P59">
        <v>2.36</v>
      </c>
      <c r="Q59">
        <v>0.2343594836146971</v>
      </c>
      <c r="R59">
        <v>9</v>
      </c>
      <c r="S59">
        <v>0.0601199707922162</v>
      </c>
      <c r="T59" t="s">
        <v>913</v>
      </c>
      <c r="U59">
        <v>-0.302982493722159</v>
      </c>
      <c r="V59" t="s">
        <v>988</v>
      </c>
      <c r="W59" t="s">
        <v>997</v>
      </c>
      <c r="X59">
        <v>37540.236967</v>
      </c>
      <c r="Y59" s="2">
        <v>45091</v>
      </c>
      <c r="Z59" t="s">
        <v>1016</v>
      </c>
    </row>
    <row r="60" spans="1:26">
      <c r="A60" s="1" t="s">
        <v>84</v>
      </c>
      <c r="B60">
        <f>HYPERLINK("https://www.suredividend.com/sure-analysis-JNJ/","Johnson &amp; Johnson")</f>
        <v>0</v>
      </c>
      <c r="C60" t="s">
        <v>896</v>
      </c>
      <c r="D60">
        <v>162</v>
      </c>
      <c r="E60">
        <v>165.48</v>
      </c>
      <c r="F60">
        <v>181</v>
      </c>
      <c r="G60">
        <v>0.9142541436464088</v>
      </c>
      <c r="H60">
        <v>0.02876480541455161</v>
      </c>
      <c r="I60">
        <v>0.01809103343273866</v>
      </c>
      <c r="J60">
        <v>0.06</v>
      </c>
      <c r="K60">
        <v>0.103408146995061</v>
      </c>
      <c r="L60" t="s">
        <v>899</v>
      </c>
      <c r="M60" t="s">
        <v>899</v>
      </c>
      <c r="N60">
        <v>15.53802816901408</v>
      </c>
      <c r="O60">
        <v>10.65</v>
      </c>
      <c r="P60">
        <v>4.76</v>
      </c>
      <c r="Q60">
        <v>0.4469483568075117</v>
      </c>
      <c r="R60">
        <v>61</v>
      </c>
      <c r="S60">
        <v>0.06000153927394081</v>
      </c>
      <c r="T60" t="s">
        <v>936</v>
      </c>
      <c r="U60">
        <v>-0.066612442798425</v>
      </c>
      <c r="V60" t="s">
        <v>988</v>
      </c>
      <c r="W60" t="s">
        <v>996</v>
      </c>
      <c r="X60">
        <v>430038.514731</v>
      </c>
      <c r="Y60" s="2">
        <v>45035</v>
      </c>
      <c r="Z60" t="s">
        <v>1003</v>
      </c>
    </row>
    <row r="61" spans="1:26">
      <c r="A61" s="1" t="s">
        <v>85</v>
      </c>
      <c r="B61">
        <f>HYPERLINK("https://www.suredividend.com/sure-analysis-BKH/","Black Hills Corporation")</f>
        <v>0</v>
      </c>
      <c r="C61" t="s">
        <v>896</v>
      </c>
      <c r="D61">
        <v>60</v>
      </c>
      <c r="E61">
        <v>59.48</v>
      </c>
      <c r="F61">
        <v>68</v>
      </c>
      <c r="G61">
        <v>0.8747058823529411</v>
      </c>
      <c r="H61">
        <v>0.04203093476798924</v>
      </c>
      <c r="I61">
        <v>0.02713514747775791</v>
      </c>
      <c r="J61">
        <v>0.04</v>
      </c>
      <c r="K61">
        <v>0.1032920980749759</v>
      </c>
      <c r="L61" t="s">
        <v>899</v>
      </c>
      <c r="M61" t="s">
        <v>899</v>
      </c>
      <c r="N61">
        <v>15.86133333333333</v>
      </c>
      <c r="O61">
        <v>3.75</v>
      </c>
      <c r="P61">
        <v>2.5</v>
      </c>
      <c r="Q61">
        <v>0.6666666666666666</v>
      </c>
      <c r="R61">
        <v>52</v>
      </c>
      <c r="S61">
        <v>0.04995366747811136</v>
      </c>
      <c r="T61" t="s">
        <v>937</v>
      </c>
      <c r="U61">
        <v>-0.137073070238306</v>
      </c>
      <c r="V61" t="s">
        <v>988</v>
      </c>
      <c r="W61" t="s">
        <v>999</v>
      </c>
      <c r="X61">
        <v>3981.21029</v>
      </c>
      <c r="Y61" s="2">
        <v>45077</v>
      </c>
      <c r="Z61" t="s">
        <v>1008</v>
      </c>
    </row>
    <row r="62" spans="1:26">
      <c r="A62" s="1" t="s">
        <v>86</v>
      </c>
      <c r="B62">
        <f>HYPERLINK("https://www.suredividend.com/sure-analysis-ITT/","ITT Inc")</f>
        <v>0</v>
      </c>
      <c r="C62" t="s">
        <v>896</v>
      </c>
      <c r="D62">
        <v>82</v>
      </c>
      <c r="E62">
        <v>87.06999999999999</v>
      </c>
      <c r="F62">
        <v>87</v>
      </c>
      <c r="G62">
        <v>1.000804597701149</v>
      </c>
      <c r="H62">
        <v>0.01332261398874469</v>
      </c>
      <c r="I62">
        <v>-0.0001608419007423922</v>
      </c>
      <c r="J62">
        <v>0.09</v>
      </c>
      <c r="K62">
        <v>0.1022314449832085</v>
      </c>
      <c r="L62" t="s">
        <v>899</v>
      </c>
      <c r="M62" t="s">
        <v>589</v>
      </c>
      <c r="N62">
        <v>17.95257731958763</v>
      </c>
      <c r="O62">
        <v>4.85</v>
      </c>
      <c r="P62">
        <v>1.16</v>
      </c>
      <c r="Q62">
        <v>0.2391752577319588</v>
      </c>
      <c r="R62">
        <v>27</v>
      </c>
      <c r="S62">
        <v>0.1002128764755552</v>
      </c>
      <c r="T62" t="s">
        <v>926</v>
      </c>
      <c r="U62">
        <v>0.268587347054144</v>
      </c>
      <c r="V62" t="s">
        <v>988</v>
      </c>
      <c r="W62" t="s">
        <v>993</v>
      </c>
      <c r="X62">
        <v>7174.568</v>
      </c>
      <c r="Y62" s="2">
        <v>45067</v>
      </c>
      <c r="Z62" t="s">
        <v>1014</v>
      </c>
    </row>
    <row r="63" spans="1:26">
      <c r="A63" s="1" t="s">
        <v>87</v>
      </c>
      <c r="B63">
        <f>HYPERLINK("https://www.suredividend.com/sure-analysis-FUL/","H.B. Fuller Company")</f>
        <v>0</v>
      </c>
      <c r="C63" t="s">
        <v>897</v>
      </c>
      <c r="D63">
        <v>67</v>
      </c>
      <c r="E63">
        <v>63.15</v>
      </c>
      <c r="F63">
        <v>66</v>
      </c>
      <c r="G63">
        <v>0.9568181818181818</v>
      </c>
      <c r="H63">
        <v>0.01298495645288994</v>
      </c>
      <c r="I63">
        <v>0.008867463715338086</v>
      </c>
      <c r="J63">
        <v>0.08</v>
      </c>
      <c r="K63">
        <v>0.1003871348795071</v>
      </c>
      <c r="L63" t="s">
        <v>899</v>
      </c>
      <c r="M63" t="s">
        <v>900</v>
      </c>
      <c r="N63">
        <v>14.35227272727273</v>
      </c>
      <c r="O63">
        <v>4.4</v>
      </c>
      <c r="P63">
        <v>0.82</v>
      </c>
      <c r="Q63">
        <v>0.1863636363636363</v>
      </c>
      <c r="R63">
        <v>54</v>
      </c>
      <c r="S63">
        <v>0.06051243834129849</v>
      </c>
      <c r="T63" t="s">
        <v>938</v>
      </c>
      <c r="U63">
        <v>0.032642288786633</v>
      </c>
      <c r="V63" t="s">
        <v>988</v>
      </c>
      <c r="W63" t="s">
        <v>992</v>
      </c>
      <c r="X63">
        <v>3399.279374</v>
      </c>
      <c r="Y63" s="2">
        <v>45028</v>
      </c>
      <c r="Z63" t="s">
        <v>1007</v>
      </c>
    </row>
    <row r="64" spans="1:26">
      <c r="A64" s="1" t="s">
        <v>88</v>
      </c>
      <c r="B64">
        <f>HYPERLINK("https://www.suredividend.com/sure-analysis-RBCAA/","Republic Bancorp, Inc. (KY)")</f>
        <v>0</v>
      </c>
      <c r="C64" t="s">
        <v>896</v>
      </c>
      <c r="D64">
        <v>40</v>
      </c>
      <c r="E64">
        <v>42.63</v>
      </c>
      <c r="F64">
        <v>52</v>
      </c>
      <c r="G64">
        <v>0.8198076923076923</v>
      </c>
      <c r="H64">
        <v>0.03518648838845883</v>
      </c>
      <c r="I64">
        <v>0.04053717846723925</v>
      </c>
      <c r="J64">
        <v>0.03</v>
      </c>
      <c r="K64">
        <v>0.1003792835699373</v>
      </c>
      <c r="L64" t="s">
        <v>899</v>
      </c>
      <c r="M64" t="s">
        <v>899</v>
      </c>
      <c r="N64">
        <v>9.473333333333334</v>
      </c>
      <c r="O64">
        <v>4.5</v>
      </c>
      <c r="P64">
        <v>1.5</v>
      </c>
      <c r="Q64">
        <v>0.3333333333333333</v>
      </c>
      <c r="R64">
        <v>22</v>
      </c>
      <c r="S64">
        <v>0.04170635302920389</v>
      </c>
      <c r="T64" t="s">
        <v>902</v>
      </c>
      <c r="U64">
        <v>-0.07048039352497901</v>
      </c>
      <c r="V64" t="s">
        <v>988</v>
      </c>
      <c r="W64" t="s">
        <v>994</v>
      </c>
      <c r="X64">
        <v>749.792384</v>
      </c>
      <c r="Y64" s="2">
        <v>45042</v>
      </c>
      <c r="Z64" t="s">
        <v>1007</v>
      </c>
    </row>
    <row r="65" spans="1:26">
      <c r="A65" s="1" t="s">
        <v>89</v>
      </c>
      <c r="B65">
        <f>HYPERLINK("https://www.suredividend.com/sure-analysis-FDS/","Factset Research Systems Inc.")</f>
        <v>0</v>
      </c>
      <c r="C65" t="s">
        <v>897</v>
      </c>
      <c r="D65">
        <v>393</v>
      </c>
      <c r="E65">
        <v>394.05</v>
      </c>
      <c r="F65">
        <v>406</v>
      </c>
      <c r="G65">
        <v>0.9705665024630542</v>
      </c>
      <c r="H65">
        <v>0.009947976145159243</v>
      </c>
      <c r="I65">
        <v>0.005992957303216473</v>
      </c>
      <c r="J65">
        <v>0.08500000000000001</v>
      </c>
      <c r="K65">
        <v>0.1003367590369437</v>
      </c>
      <c r="L65" t="s">
        <v>899</v>
      </c>
      <c r="M65" t="s">
        <v>589</v>
      </c>
      <c r="N65">
        <v>27.17586206896552</v>
      </c>
      <c r="O65">
        <v>14.5</v>
      </c>
      <c r="P65">
        <v>3.92</v>
      </c>
      <c r="Q65">
        <v>0.2703448275862069</v>
      </c>
      <c r="R65">
        <v>24</v>
      </c>
      <c r="S65">
        <v>0.08373302952331074</v>
      </c>
      <c r="T65" t="s">
        <v>934</v>
      </c>
      <c r="U65">
        <v>0.010042754759927</v>
      </c>
      <c r="V65" t="s">
        <v>988</v>
      </c>
      <c r="W65" t="s">
        <v>994</v>
      </c>
      <c r="X65">
        <v>15099.793064</v>
      </c>
      <c r="Y65" s="2">
        <v>45009</v>
      </c>
      <c r="Z65" t="s">
        <v>1005</v>
      </c>
    </row>
    <row r="66" spans="1:26">
      <c r="A66" s="1" t="s">
        <v>90</v>
      </c>
      <c r="B66">
        <f>HYPERLINK("https://www.suredividend.com/sure-analysis-UVV/","Universal Corp.")</f>
        <v>0</v>
      </c>
      <c r="C66" t="s">
        <v>897</v>
      </c>
      <c r="D66">
        <v>52</v>
      </c>
      <c r="E66">
        <v>50.39</v>
      </c>
      <c r="F66">
        <v>60</v>
      </c>
      <c r="G66">
        <v>0.8398333333333333</v>
      </c>
      <c r="H66">
        <v>0.06350466362373487</v>
      </c>
      <c r="I66">
        <v>0.03552688405425886</v>
      </c>
      <c r="J66">
        <v>0.015</v>
      </c>
      <c r="K66">
        <v>0.09989240709048253</v>
      </c>
      <c r="L66" t="s">
        <v>899</v>
      </c>
      <c r="M66" t="s">
        <v>899</v>
      </c>
      <c r="N66">
        <v>10.078</v>
      </c>
      <c r="O66">
        <v>5</v>
      </c>
      <c r="P66">
        <v>3.2</v>
      </c>
      <c r="Q66">
        <v>0.64</v>
      </c>
      <c r="R66">
        <v>53</v>
      </c>
      <c r="S66">
        <v>0.009805797673485328</v>
      </c>
      <c r="T66" t="s">
        <v>909</v>
      </c>
      <c r="U66">
        <v>-0.099924621589662</v>
      </c>
      <c r="V66" t="s">
        <v>988</v>
      </c>
      <c r="W66" t="s">
        <v>997</v>
      </c>
      <c r="X66">
        <v>1237.344641</v>
      </c>
      <c r="Y66" s="2">
        <v>45078</v>
      </c>
      <c r="Z66" t="s">
        <v>1008</v>
      </c>
    </row>
    <row r="67" spans="1:26">
      <c r="A67" s="1" t="s">
        <v>91</v>
      </c>
      <c r="B67">
        <f>HYPERLINK("https://www.suredividend.com/sure-analysis-CFR/","Cullen Frost Bankers Inc.")</f>
        <v>0</v>
      </c>
      <c r="C67" t="s">
        <v>897</v>
      </c>
      <c r="D67">
        <v>102</v>
      </c>
      <c r="E67">
        <v>103.57</v>
      </c>
      <c r="F67">
        <v>139</v>
      </c>
      <c r="G67">
        <v>0.7451079136690647</v>
      </c>
      <c r="H67">
        <v>0.03360046345466834</v>
      </c>
      <c r="I67">
        <v>0.06061109222122796</v>
      </c>
      <c r="J67">
        <v>0.01</v>
      </c>
      <c r="K67">
        <v>0.09930856227801099</v>
      </c>
      <c r="L67" t="s">
        <v>899</v>
      </c>
      <c r="M67" t="s">
        <v>899</v>
      </c>
      <c r="N67">
        <v>10.46161616161616</v>
      </c>
      <c r="O67">
        <v>9.9</v>
      </c>
      <c r="P67">
        <v>3.48</v>
      </c>
      <c r="Q67">
        <v>0.3515151515151515</v>
      </c>
      <c r="R67">
        <v>29</v>
      </c>
      <c r="S67">
        <v>0.0499309672496191</v>
      </c>
      <c r="T67" t="s">
        <v>934</v>
      </c>
      <c r="U67">
        <v>-0.108533103573528</v>
      </c>
      <c r="V67" t="s">
        <v>988</v>
      </c>
      <c r="W67" t="s">
        <v>994</v>
      </c>
      <c r="X67">
        <v>6669.762898</v>
      </c>
      <c r="Y67" s="2">
        <v>45049</v>
      </c>
      <c r="Z67" t="s">
        <v>1007</v>
      </c>
    </row>
    <row r="68" spans="1:26">
      <c r="A68" s="1" t="s">
        <v>92</v>
      </c>
      <c r="B68">
        <f>HYPERLINK("https://www.suredividend.com/sure-analysis-CSL/","Carlisle Companies Inc.")</f>
        <v>0</v>
      </c>
      <c r="C68" t="s">
        <v>896</v>
      </c>
      <c r="D68">
        <v>210</v>
      </c>
      <c r="E68">
        <v>241.66</v>
      </c>
      <c r="F68">
        <v>288</v>
      </c>
      <c r="G68">
        <v>0.8390972222222222</v>
      </c>
      <c r="H68">
        <v>0.01241413556236034</v>
      </c>
      <c r="I68">
        <v>0.03570850675135517</v>
      </c>
      <c r="J68">
        <v>0.05</v>
      </c>
      <c r="K68">
        <v>0.09789263800268522</v>
      </c>
      <c r="L68" t="s">
        <v>899</v>
      </c>
      <c r="M68" t="s">
        <v>900</v>
      </c>
      <c r="N68">
        <v>13.42555555555555</v>
      </c>
      <c r="O68">
        <v>18</v>
      </c>
      <c r="P68">
        <v>3</v>
      </c>
      <c r="Q68">
        <v>0.1666666666666667</v>
      </c>
      <c r="R68">
        <v>46</v>
      </c>
      <c r="S68">
        <v>0.05975292415044642</v>
      </c>
      <c r="T68" t="s">
        <v>922</v>
      </c>
      <c r="U68">
        <v>0.018358776149014</v>
      </c>
      <c r="V68" t="s">
        <v>988</v>
      </c>
      <c r="W68" t="s">
        <v>993</v>
      </c>
      <c r="X68">
        <v>12316.841332</v>
      </c>
      <c r="Y68" s="2">
        <v>45059</v>
      </c>
      <c r="Z68" t="s">
        <v>1008</v>
      </c>
    </row>
    <row r="69" spans="1:26">
      <c r="A69" s="1" t="s">
        <v>93</v>
      </c>
      <c r="B69">
        <f>HYPERLINK("https://www.suredividend.com/sure-analysis-FRT/","Federal Realty Investment Trust.")</f>
        <v>0</v>
      </c>
      <c r="C69" t="s">
        <v>897</v>
      </c>
      <c r="D69">
        <v>91</v>
      </c>
      <c r="E69">
        <v>90.09999999999999</v>
      </c>
      <c r="F69">
        <v>97</v>
      </c>
      <c r="G69">
        <v>0.9288659793814432</v>
      </c>
      <c r="H69">
        <v>0.04794672586015539</v>
      </c>
      <c r="I69">
        <v>0.01486760217414562</v>
      </c>
      <c r="J69">
        <v>0.044</v>
      </c>
      <c r="K69">
        <v>0.09785881766728344</v>
      </c>
      <c r="L69" t="s">
        <v>899</v>
      </c>
      <c r="M69" t="s">
        <v>899</v>
      </c>
      <c r="N69">
        <v>13.94736842105263</v>
      </c>
      <c r="O69">
        <v>6.46</v>
      </c>
      <c r="P69">
        <v>4.32</v>
      </c>
      <c r="Q69">
        <v>0.6687306501547988</v>
      </c>
      <c r="R69">
        <v>55</v>
      </c>
      <c r="S69">
        <v>0.02676873148446024</v>
      </c>
      <c r="T69" t="s">
        <v>939</v>
      </c>
      <c r="U69">
        <v>-0.05399772581473201</v>
      </c>
      <c r="V69" t="s">
        <v>989</v>
      </c>
      <c r="W69" t="s">
        <v>1001</v>
      </c>
      <c r="X69">
        <v>7344.53727</v>
      </c>
      <c r="Y69" s="2">
        <v>45067</v>
      </c>
      <c r="Z69" t="s">
        <v>1013</v>
      </c>
    </row>
    <row r="70" spans="1:26">
      <c r="A70" s="1" t="s">
        <v>94</v>
      </c>
      <c r="B70">
        <f>HYPERLINK("https://www.suredividend.com/sure-analysis-MDT/","Medtronic Plc")</f>
        <v>0</v>
      </c>
      <c r="C70" t="s">
        <v>897</v>
      </c>
      <c r="D70">
        <v>88</v>
      </c>
      <c r="E70">
        <v>87.48</v>
      </c>
      <c r="F70">
        <v>87</v>
      </c>
      <c r="G70">
        <v>1.00551724137931</v>
      </c>
      <c r="H70">
        <v>0.03155006858710562</v>
      </c>
      <c r="I70">
        <v>-0.00109981019576022</v>
      </c>
      <c r="J70">
        <v>0.07000000000000001</v>
      </c>
      <c r="K70">
        <v>0.09742974505531432</v>
      </c>
      <c r="L70" t="s">
        <v>899</v>
      </c>
      <c r="M70" t="s">
        <v>900</v>
      </c>
      <c r="N70">
        <v>17.15294117647059</v>
      </c>
      <c r="O70">
        <v>5.1</v>
      </c>
      <c r="P70">
        <v>2.76</v>
      </c>
      <c r="Q70">
        <v>0.5411764705882353</v>
      </c>
      <c r="R70">
        <v>46</v>
      </c>
      <c r="S70">
        <v>0.07487316557532875</v>
      </c>
      <c r="T70" t="s">
        <v>940</v>
      </c>
      <c r="U70">
        <v>0.002367273418934</v>
      </c>
      <c r="V70" t="s">
        <v>988</v>
      </c>
      <c r="W70" t="s">
        <v>996</v>
      </c>
      <c r="X70">
        <v>116383.866841</v>
      </c>
      <c r="Y70" s="2">
        <v>45071</v>
      </c>
      <c r="Z70" t="s">
        <v>1007</v>
      </c>
    </row>
    <row r="71" spans="1:26">
      <c r="A71" s="1" t="s">
        <v>95</v>
      </c>
      <c r="B71">
        <f>HYPERLINK("https://www.suredividend.com/sure-analysis-WLK/","Westlake Corporation")</f>
        <v>0</v>
      </c>
      <c r="C71" t="s">
        <v>897</v>
      </c>
      <c r="D71">
        <v>114</v>
      </c>
      <c r="E71">
        <v>112.8</v>
      </c>
      <c r="F71">
        <v>132</v>
      </c>
      <c r="G71">
        <v>0.8545454545454545</v>
      </c>
      <c r="H71">
        <v>0.01267730496453901</v>
      </c>
      <c r="I71">
        <v>0.03193648198855326</v>
      </c>
      <c r="J71">
        <v>0.05</v>
      </c>
      <c r="K71">
        <v>0.09560401248012185</v>
      </c>
      <c r="L71" t="s">
        <v>899</v>
      </c>
      <c r="M71" t="s">
        <v>589</v>
      </c>
      <c r="N71">
        <v>10.25454545454545</v>
      </c>
      <c r="O71">
        <v>11</v>
      </c>
      <c r="P71">
        <v>1.43</v>
      </c>
      <c r="Q71">
        <v>0.13</v>
      </c>
      <c r="R71">
        <v>17</v>
      </c>
      <c r="S71">
        <v>0.09971046963141461</v>
      </c>
      <c r="T71" t="s">
        <v>936</v>
      </c>
      <c r="U71">
        <v>0.146990725441128</v>
      </c>
      <c r="V71" t="s">
        <v>988</v>
      </c>
      <c r="W71" t="s">
        <v>993</v>
      </c>
      <c r="X71">
        <v>14393.28</v>
      </c>
      <c r="Y71" s="2">
        <v>45071</v>
      </c>
      <c r="Z71" t="s">
        <v>1005</v>
      </c>
    </row>
    <row r="72" spans="1:26">
      <c r="A72" s="1" t="s">
        <v>96</v>
      </c>
      <c r="B72">
        <f>HYPERLINK("https://www.suredividend.com/sure-analysis-LARK/","Landmark Bancorp Inc")</f>
        <v>0</v>
      </c>
      <c r="C72" t="s">
        <v>896</v>
      </c>
      <c r="D72">
        <v>20</v>
      </c>
      <c r="E72">
        <v>21.9549</v>
      </c>
      <c r="F72">
        <v>21</v>
      </c>
      <c r="G72">
        <v>1.045471428571429</v>
      </c>
      <c r="H72">
        <v>0.03826025169779867</v>
      </c>
      <c r="I72">
        <v>-0.008854151379307229</v>
      </c>
      <c r="J72">
        <v>0.07000000000000001</v>
      </c>
      <c r="K72">
        <v>0.09541283706147707</v>
      </c>
      <c r="L72" t="s">
        <v>899</v>
      </c>
      <c r="M72" t="s">
        <v>899</v>
      </c>
      <c r="N72">
        <v>9.302923728813559</v>
      </c>
      <c r="O72">
        <v>2.36</v>
      </c>
      <c r="P72">
        <v>0.84</v>
      </c>
      <c r="Q72">
        <v>0.3559322033898305</v>
      </c>
      <c r="R72">
        <v>21</v>
      </c>
      <c r="S72">
        <v>0.07033701387905711</v>
      </c>
      <c r="T72" t="s">
        <v>922</v>
      </c>
      <c r="U72">
        <v>-0.030346259164384</v>
      </c>
      <c r="V72" t="s">
        <v>988</v>
      </c>
      <c r="W72" t="s">
        <v>994</v>
      </c>
      <c r="X72">
        <v>114.507428</v>
      </c>
      <c r="Y72" s="2">
        <v>45057</v>
      </c>
      <c r="Z72" t="s">
        <v>1006</v>
      </c>
    </row>
    <row r="73" spans="1:26">
      <c r="A73" s="1" t="s">
        <v>97</v>
      </c>
      <c r="B73">
        <f>HYPERLINK("https://www.suredividend.com/sure-analysis-NIDB/","Northeast Indiana Bancorp Inc.")</f>
        <v>0</v>
      </c>
      <c r="C73" t="s">
        <v>897</v>
      </c>
      <c r="D73">
        <v>42</v>
      </c>
      <c r="E73">
        <v>39</v>
      </c>
      <c r="F73">
        <v>47</v>
      </c>
      <c r="G73">
        <v>0.8297872340425532</v>
      </c>
      <c r="H73">
        <v>0.03282051282051282</v>
      </c>
      <c r="I73">
        <v>0.03802222005236078</v>
      </c>
      <c r="J73">
        <v>0.03</v>
      </c>
      <c r="K73">
        <v>0.09528151028553244</v>
      </c>
      <c r="L73" t="s">
        <v>899</v>
      </c>
      <c r="M73" t="s">
        <v>899</v>
      </c>
      <c r="N73">
        <v>7.428571428571429</v>
      </c>
      <c r="O73">
        <v>5.25</v>
      </c>
      <c r="P73">
        <v>1.28</v>
      </c>
      <c r="Q73">
        <v>0.2438095238095238</v>
      </c>
      <c r="R73">
        <v>27</v>
      </c>
      <c r="S73">
        <v>0.02946206823925857</v>
      </c>
      <c r="T73" t="s">
        <v>910</v>
      </c>
      <c r="U73">
        <v>-0.07692307692307601</v>
      </c>
      <c r="V73" t="s">
        <v>988</v>
      </c>
      <c r="W73" t="s">
        <v>994</v>
      </c>
      <c r="X73">
        <v>47.437065</v>
      </c>
      <c r="Y73" s="2">
        <v>45040</v>
      </c>
      <c r="Z73" t="s">
        <v>1003</v>
      </c>
    </row>
    <row r="74" spans="1:26">
      <c r="A74" s="1" t="s">
        <v>98</v>
      </c>
      <c r="B74">
        <f>HYPERLINK("https://www.suredividend.com/sure-analysis-DE/","Deere &amp; Co.")</f>
        <v>0</v>
      </c>
      <c r="C74" t="s">
        <v>896</v>
      </c>
      <c r="D74">
        <v>364</v>
      </c>
      <c r="E74">
        <v>404.45</v>
      </c>
      <c r="F74">
        <v>532</v>
      </c>
      <c r="G74">
        <v>0.7602443609022557</v>
      </c>
      <c r="H74">
        <v>0.01236246754852269</v>
      </c>
      <c r="I74">
        <v>0.0563537016802298</v>
      </c>
      <c r="J74">
        <v>0.025</v>
      </c>
      <c r="K74">
        <v>0.09367582616057768</v>
      </c>
      <c r="L74" t="s">
        <v>899</v>
      </c>
      <c r="M74" t="s">
        <v>589</v>
      </c>
      <c r="N74">
        <v>12.83968253968254</v>
      </c>
      <c r="O74">
        <v>31.5</v>
      </c>
      <c r="P74">
        <v>5</v>
      </c>
      <c r="Q74">
        <v>0.1587301587301587</v>
      </c>
      <c r="R74">
        <v>3</v>
      </c>
      <c r="S74">
        <v>0.07204409913393905</v>
      </c>
      <c r="T74" t="s">
        <v>906</v>
      </c>
      <c r="U74">
        <v>0.317853832105193</v>
      </c>
      <c r="V74" t="s">
        <v>988</v>
      </c>
      <c r="W74" t="s">
        <v>993</v>
      </c>
      <c r="X74">
        <v>118581.561427</v>
      </c>
      <c r="Y74" s="2">
        <v>45068</v>
      </c>
      <c r="Z74" t="s">
        <v>1007</v>
      </c>
    </row>
    <row r="75" spans="1:26">
      <c r="A75" s="1" t="s">
        <v>99</v>
      </c>
      <c r="B75">
        <f>HYPERLINK("https://www.suredividend.com/sure-analysis-INTU/","Intuit Inc")</f>
        <v>0</v>
      </c>
      <c r="C75" t="s">
        <v>896</v>
      </c>
      <c r="D75">
        <v>413</v>
      </c>
      <c r="E75">
        <v>452.69</v>
      </c>
      <c r="F75">
        <v>370</v>
      </c>
      <c r="G75">
        <v>1.223486486486487</v>
      </c>
      <c r="H75">
        <v>0.006892133689721443</v>
      </c>
      <c r="I75">
        <v>-0.03953804945535111</v>
      </c>
      <c r="J75">
        <v>0.13</v>
      </c>
      <c r="K75">
        <v>0.09250247319284521</v>
      </c>
      <c r="L75" t="s">
        <v>899</v>
      </c>
      <c r="M75" t="s">
        <v>791</v>
      </c>
      <c r="N75">
        <v>31.83473980309423</v>
      </c>
      <c r="O75">
        <v>14.22</v>
      </c>
      <c r="P75">
        <v>3.12</v>
      </c>
      <c r="Q75">
        <v>0.2194092827004219</v>
      </c>
      <c r="R75">
        <v>11</v>
      </c>
      <c r="S75">
        <v>0.1300629855521807</v>
      </c>
      <c r="T75" t="s">
        <v>909</v>
      </c>
      <c r="U75">
        <v>0.09196386573878601</v>
      </c>
      <c r="V75" t="s">
        <v>988</v>
      </c>
      <c r="W75" t="s">
        <v>1000</v>
      </c>
      <c r="X75">
        <v>126780.235552</v>
      </c>
      <c r="Y75" s="2">
        <v>45071</v>
      </c>
      <c r="Z75" t="s">
        <v>1012</v>
      </c>
    </row>
    <row r="76" spans="1:26">
      <c r="A76" s="1" t="s">
        <v>100</v>
      </c>
      <c r="B76">
        <f>HYPERLINK("https://www.suredividend.com/sure-analysis-BDX/","Becton, Dickinson And Co.")</f>
        <v>0</v>
      </c>
      <c r="C76" t="s">
        <v>897</v>
      </c>
      <c r="D76">
        <v>252</v>
      </c>
      <c r="E76">
        <v>256.55</v>
      </c>
      <c r="F76">
        <v>232</v>
      </c>
      <c r="G76">
        <v>1.105818965517241</v>
      </c>
      <c r="H76">
        <v>0.01418826739427012</v>
      </c>
      <c r="I76">
        <v>-0.01991623957098643</v>
      </c>
      <c r="J76">
        <v>0.1</v>
      </c>
      <c r="K76">
        <v>0.09184010693700873</v>
      </c>
      <c r="L76" t="s">
        <v>899</v>
      </c>
      <c r="M76" t="s">
        <v>900</v>
      </c>
      <c r="N76">
        <v>21.01146601146601</v>
      </c>
      <c r="O76">
        <v>12.21</v>
      </c>
      <c r="P76">
        <v>3.64</v>
      </c>
      <c r="Q76">
        <v>0.2981162981162981</v>
      </c>
      <c r="R76">
        <v>51</v>
      </c>
      <c r="S76">
        <v>0.09991530830258055</v>
      </c>
      <c r="T76" t="s">
        <v>926</v>
      </c>
      <c r="U76">
        <v>0.037427035376848</v>
      </c>
      <c r="V76" t="s">
        <v>988</v>
      </c>
      <c r="W76" t="s">
        <v>996</v>
      </c>
      <c r="X76">
        <v>72864.02387800001</v>
      </c>
      <c r="Y76" s="2">
        <v>45069</v>
      </c>
      <c r="Z76" t="s">
        <v>1003</v>
      </c>
    </row>
    <row r="77" spans="1:26">
      <c r="A77" s="1" t="s">
        <v>101</v>
      </c>
      <c r="B77">
        <f>HYPERLINK("https://www.suredividend.com/sure-analysis-SEIC/","SEI Investments Co.")</f>
        <v>0</v>
      </c>
      <c r="C77" t="s">
        <v>897</v>
      </c>
      <c r="D77">
        <v>58</v>
      </c>
      <c r="E77">
        <v>56.98</v>
      </c>
      <c r="F77">
        <v>62</v>
      </c>
      <c r="G77">
        <v>0.919032258064516</v>
      </c>
      <c r="H77">
        <v>0.01509301509301509</v>
      </c>
      <c r="I77">
        <v>0.01703019937719974</v>
      </c>
      <c r="J77">
        <v>0.06</v>
      </c>
      <c r="K77">
        <v>0.09182953046804898</v>
      </c>
      <c r="L77" t="s">
        <v>899</v>
      </c>
      <c r="M77" t="s">
        <v>900</v>
      </c>
      <c r="N77">
        <v>16.51594202898551</v>
      </c>
      <c r="O77">
        <v>3.45</v>
      </c>
      <c r="P77">
        <v>0.86</v>
      </c>
      <c r="Q77">
        <v>0.2492753623188406</v>
      </c>
      <c r="R77">
        <v>32</v>
      </c>
      <c r="S77">
        <v>0.07938012944050121</v>
      </c>
      <c r="T77" t="s">
        <v>941</v>
      </c>
      <c r="U77">
        <v>0.051652412082375</v>
      </c>
      <c r="V77" t="s">
        <v>988</v>
      </c>
      <c r="W77" t="s">
        <v>994</v>
      </c>
      <c r="X77">
        <v>7595.780837</v>
      </c>
      <c r="Y77" s="2">
        <v>45041</v>
      </c>
      <c r="Z77" t="s">
        <v>1004</v>
      </c>
    </row>
    <row r="78" spans="1:26">
      <c r="A78" s="1" t="s">
        <v>102</v>
      </c>
      <c r="B78">
        <f>HYPERLINK("https://www.suredividend.com/sure-analysis-SYK/","Stryker Corp.")</f>
        <v>0</v>
      </c>
      <c r="C78" t="s">
        <v>897</v>
      </c>
      <c r="D78">
        <v>294</v>
      </c>
      <c r="E78">
        <v>297.88</v>
      </c>
      <c r="F78">
        <v>249</v>
      </c>
      <c r="G78">
        <v>1.196305220883534</v>
      </c>
      <c r="H78">
        <v>0.01007116959849604</v>
      </c>
      <c r="I78">
        <v>-0.03521265024570219</v>
      </c>
      <c r="J78">
        <v>0.12</v>
      </c>
      <c r="K78">
        <v>0.09087904220320087</v>
      </c>
      <c r="L78" t="s">
        <v>899</v>
      </c>
      <c r="M78" t="s">
        <v>589</v>
      </c>
      <c r="N78">
        <v>29.34778325123153</v>
      </c>
      <c r="O78">
        <v>10.15</v>
      </c>
      <c r="P78">
        <v>3</v>
      </c>
      <c r="Q78">
        <v>0.2955665024630542</v>
      </c>
      <c r="R78">
        <v>29</v>
      </c>
      <c r="S78">
        <v>0.1201260139579652</v>
      </c>
      <c r="T78" t="s">
        <v>906</v>
      </c>
      <c r="U78">
        <v>0.475751512139973</v>
      </c>
      <c r="V78" t="s">
        <v>988</v>
      </c>
      <c r="W78" t="s">
        <v>996</v>
      </c>
      <c r="X78">
        <v>112846.252452</v>
      </c>
      <c r="Y78" s="2">
        <v>45049</v>
      </c>
      <c r="Z78" t="s">
        <v>1003</v>
      </c>
    </row>
    <row r="79" spans="1:26">
      <c r="A79" s="1" t="s">
        <v>103</v>
      </c>
      <c r="B79">
        <f>HYPERLINK("https://www.suredividend.com/sure-analysis-RRX/","Regal Rexnord Corp")</f>
        <v>0</v>
      </c>
      <c r="C79" t="s">
        <v>896</v>
      </c>
      <c r="D79">
        <v>127</v>
      </c>
      <c r="E79">
        <v>148.38</v>
      </c>
      <c r="F79">
        <v>149</v>
      </c>
      <c r="G79">
        <v>0.9958389261744967</v>
      </c>
      <c r="H79">
        <v>0.009435233859010649</v>
      </c>
      <c r="I79">
        <v>0.0008342988706671051</v>
      </c>
      <c r="J79">
        <v>0.08</v>
      </c>
      <c r="K79">
        <v>0.08902860922008426</v>
      </c>
      <c r="L79" t="s">
        <v>899</v>
      </c>
      <c r="M79" t="s">
        <v>589</v>
      </c>
      <c r="N79">
        <v>13.93239436619718</v>
      </c>
      <c r="O79">
        <v>10.65</v>
      </c>
      <c r="P79">
        <v>1.4</v>
      </c>
      <c r="Q79">
        <v>0.1314553990610328</v>
      </c>
      <c r="R79">
        <v>19</v>
      </c>
      <c r="S79">
        <v>0.05960186535674428</v>
      </c>
      <c r="T79" t="s">
        <v>906</v>
      </c>
      <c r="U79">
        <v>0.279890418332157</v>
      </c>
      <c r="V79" t="s">
        <v>988</v>
      </c>
      <c r="W79" t="s">
        <v>993</v>
      </c>
      <c r="X79">
        <v>9834.426235000001</v>
      </c>
      <c r="Y79" s="2">
        <v>45061</v>
      </c>
      <c r="Z79" t="s">
        <v>1016</v>
      </c>
    </row>
    <row r="80" spans="1:26">
      <c r="A80" s="1" t="s">
        <v>104</v>
      </c>
      <c r="B80">
        <f>HYPERLINK("https://www.suredividend.com/sure-analysis-PPG/","PPG Industries, Inc.")</f>
        <v>0</v>
      </c>
      <c r="C80" t="s">
        <v>897</v>
      </c>
      <c r="D80">
        <v>142</v>
      </c>
      <c r="E80">
        <v>138.89</v>
      </c>
      <c r="F80">
        <v>134</v>
      </c>
      <c r="G80">
        <v>1.036492537313433</v>
      </c>
      <c r="H80">
        <v>0.01785585715314278</v>
      </c>
      <c r="I80">
        <v>-0.00714285825171046</v>
      </c>
      <c r="J80">
        <v>0.08</v>
      </c>
      <c r="K80">
        <v>0.08886825811787125</v>
      </c>
      <c r="L80" t="s">
        <v>899</v>
      </c>
      <c r="M80" t="s">
        <v>900</v>
      </c>
      <c r="N80">
        <v>19.6728045325779</v>
      </c>
      <c r="O80">
        <v>7.06</v>
      </c>
      <c r="P80">
        <v>2.48</v>
      </c>
      <c r="Q80">
        <v>0.3512747875354108</v>
      </c>
      <c r="R80">
        <v>51</v>
      </c>
      <c r="S80">
        <v>0.07976672700723597</v>
      </c>
      <c r="T80" t="s">
        <v>905</v>
      </c>
      <c r="U80">
        <v>0.170247454802362</v>
      </c>
      <c r="V80" t="s">
        <v>988</v>
      </c>
      <c r="W80" t="s">
        <v>992</v>
      </c>
      <c r="X80">
        <v>32696.93449</v>
      </c>
      <c r="Y80" s="2">
        <v>45040</v>
      </c>
      <c r="Z80" t="s">
        <v>1003</v>
      </c>
    </row>
    <row r="81" spans="1:26">
      <c r="A81" s="1" t="s">
        <v>105</v>
      </c>
      <c r="B81">
        <f>HYPERLINK("https://www.suredividend.com/sure-analysis-PSBQ/","PSB Holdings Inc (WI)")</f>
        <v>0</v>
      </c>
      <c r="C81" t="s">
        <v>897</v>
      </c>
      <c r="D81">
        <v>21</v>
      </c>
      <c r="E81">
        <v>20.45</v>
      </c>
      <c r="F81">
        <v>27</v>
      </c>
      <c r="G81">
        <v>0.7574074074074074</v>
      </c>
      <c r="H81">
        <v>0.02444987775061125</v>
      </c>
      <c r="I81">
        <v>0.05714385672295363</v>
      </c>
      <c r="J81">
        <v>0.01</v>
      </c>
      <c r="K81">
        <v>0.08814847568243445</v>
      </c>
      <c r="L81" t="s">
        <v>899</v>
      </c>
      <c r="M81" t="s">
        <v>900</v>
      </c>
      <c r="N81">
        <v>7.303571428571429</v>
      </c>
      <c r="O81">
        <v>2.8</v>
      </c>
      <c r="P81">
        <v>0.5</v>
      </c>
      <c r="Q81">
        <v>0.1785714285714286</v>
      </c>
      <c r="R81">
        <v>29</v>
      </c>
      <c r="S81">
        <v>0.04057159395880827</v>
      </c>
      <c r="T81" t="s">
        <v>942</v>
      </c>
      <c r="U81">
        <v>-0.148271553519367</v>
      </c>
      <c r="V81" t="s">
        <v>988</v>
      </c>
      <c r="W81" t="s">
        <v>994</v>
      </c>
      <c r="X81">
        <v>88.215288</v>
      </c>
      <c r="Y81" s="2">
        <v>45041</v>
      </c>
      <c r="Z81" t="s">
        <v>1004</v>
      </c>
    </row>
    <row r="82" spans="1:26">
      <c r="A82" s="1" t="s">
        <v>106</v>
      </c>
      <c r="B82">
        <f>HYPERLINK("https://www.suredividend.com/sure-analysis-GPC/","Genuine Parts Co.")</f>
        <v>0</v>
      </c>
      <c r="C82" t="s">
        <v>897</v>
      </c>
      <c r="D82">
        <v>173</v>
      </c>
      <c r="E82">
        <v>159.67</v>
      </c>
      <c r="F82">
        <v>163</v>
      </c>
      <c r="G82">
        <v>0.9795705521472392</v>
      </c>
      <c r="H82">
        <v>0.02379908561407904</v>
      </c>
      <c r="I82">
        <v>0.004136735859036955</v>
      </c>
      <c r="J82">
        <v>0.06</v>
      </c>
      <c r="K82">
        <v>0.08628513398677251</v>
      </c>
      <c r="L82" t="s">
        <v>899</v>
      </c>
      <c r="M82" t="s">
        <v>900</v>
      </c>
      <c r="N82">
        <v>17.64309392265193</v>
      </c>
      <c r="O82">
        <v>9.050000000000001</v>
      </c>
      <c r="P82">
        <v>3.8</v>
      </c>
      <c r="Q82">
        <v>0.4198895027624309</v>
      </c>
      <c r="R82">
        <v>67</v>
      </c>
      <c r="S82">
        <v>0.07001218289169242</v>
      </c>
      <c r="T82" t="s">
        <v>930</v>
      </c>
      <c r="U82">
        <v>0.194341780569337</v>
      </c>
      <c r="V82" t="s">
        <v>988</v>
      </c>
      <c r="W82" t="s">
        <v>995</v>
      </c>
      <c r="X82">
        <v>22436.132239</v>
      </c>
      <c r="Y82" s="2">
        <v>45055</v>
      </c>
      <c r="Z82" t="s">
        <v>1004</v>
      </c>
    </row>
    <row r="83" spans="1:26">
      <c r="A83" s="1" t="s">
        <v>107</v>
      </c>
      <c r="B83">
        <f>HYPERLINK("https://www.suredividend.com/sure-analysis-GL/","Globe Life Inc")</f>
        <v>0</v>
      </c>
      <c r="C83" t="s">
        <v>897</v>
      </c>
      <c r="D83">
        <v>108</v>
      </c>
      <c r="E83">
        <v>106.28</v>
      </c>
      <c r="F83">
        <v>105</v>
      </c>
      <c r="G83">
        <v>1.012190476190476</v>
      </c>
      <c r="H83">
        <v>0.008468197214904027</v>
      </c>
      <c r="I83">
        <v>-0.002420420194637729</v>
      </c>
      <c r="J83">
        <v>0.08</v>
      </c>
      <c r="K83">
        <v>0.08570017044589018</v>
      </c>
      <c r="L83" t="s">
        <v>899</v>
      </c>
      <c r="M83" t="s">
        <v>589</v>
      </c>
      <c r="N83">
        <v>13.18610421836228</v>
      </c>
      <c r="O83">
        <v>8.06</v>
      </c>
      <c r="P83">
        <v>0.9</v>
      </c>
      <c r="Q83">
        <v>0.1116625310173697</v>
      </c>
      <c r="R83">
        <v>18</v>
      </c>
      <c r="S83">
        <v>0.100082101138866</v>
      </c>
      <c r="T83" t="s">
        <v>924</v>
      </c>
      <c r="U83">
        <v>0.08026793246800701</v>
      </c>
      <c r="V83" t="s">
        <v>988</v>
      </c>
      <c r="W83" t="s">
        <v>994</v>
      </c>
      <c r="X83">
        <v>10155.56882</v>
      </c>
      <c r="Y83" s="2">
        <v>45052</v>
      </c>
      <c r="Z83" t="s">
        <v>1009</v>
      </c>
    </row>
    <row r="84" spans="1:26">
      <c r="A84" s="1" t="s">
        <v>108</v>
      </c>
      <c r="B84">
        <f>HYPERLINK("https://www.suredividend.com/sure-analysis-ATO/","Atmos Energy Corp.")</f>
        <v>0</v>
      </c>
      <c r="C84" t="s">
        <v>897</v>
      </c>
      <c r="D84">
        <v>118</v>
      </c>
      <c r="E84">
        <v>114.42</v>
      </c>
      <c r="F84">
        <v>114</v>
      </c>
      <c r="G84">
        <v>1.003684210526316</v>
      </c>
      <c r="H84">
        <v>0.02586960321622094</v>
      </c>
      <c r="I84">
        <v>-0.0007352176841101121</v>
      </c>
      <c r="J84">
        <v>0.06</v>
      </c>
      <c r="K84">
        <v>0.08407240480507072</v>
      </c>
      <c r="L84" t="s">
        <v>899</v>
      </c>
      <c r="M84" t="s">
        <v>900</v>
      </c>
      <c r="N84">
        <v>19.07</v>
      </c>
      <c r="O84">
        <v>6</v>
      </c>
      <c r="P84">
        <v>2.96</v>
      </c>
      <c r="Q84">
        <v>0.4933333333333333</v>
      </c>
      <c r="R84">
        <v>39</v>
      </c>
      <c r="S84">
        <v>0.08003917686469086</v>
      </c>
      <c r="T84" t="s">
        <v>929</v>
      </c>
      <c r="U84">
        <v>0.06699640790931301</v>
      </c>
      <c r="V84" t="s">
        <v>988</v>
      </c>
      <c r="W84" t="s">
        <v>999</v>
      </c>
      <c r="X84">
        <v>16532.237553</v>
      </c>
      <c r="Y84" s="2">
        <v>45052</v>
      </c>
      <c r="Z84" t="s">
        <v>1004</v>
      </c>
    </row>
    <row r="85" spans="1:26">
      <c r="A85" s="1" t="s">
        <v>109</v>
      </c>
      <c r="B85">
        <f>HYPERLINK("https://www.suredividend.com/sure-analysis-ODFL/","Old Dominion Freight Line, Inc.")</f>
        <v>0</v>
      </c>
      <c r="C85" t="s">
        <v>896</v>
      </c>
      <c r="D85">
        <v>306</v>
      </c>
      <c r="E85">
        <v>326.63</v>
      </c>
      <c r="F85">
        <v>268</v>
      </c>
      <c r="G85">
        <v>1.218768656716418</v>
      </c>
      <c r="H85">
        <v>0.004898509016318158</v>
      </c>
      <c r="I85">
        <v>-0.03879561224437056</v>
      </c>
      <c r="J85">
        <v>0.12</v>
      </c>
      <c r="K85">
        <v>0.08392677294729678</v>
      </c>
      <c r="L85" t="s">
        <v>899</v>
      </c>
      <c r="M85" t="s">
        <v>791</v>
      </c>
      <c r="N85">
        <v>26.77295081967213</v>
      </c>
      <c r="O85">
        <v>12.2</v>
      </c>
      <c r="P85">
        <v>1.6</v>
      </c>
      <c r="Q85">
        <v>0.1311475409836066</v>
      </c>
      <c r="R85">
        <v>6</v>
      </c>
      <c r="S85">
        <v>0.2498559668109293</v>
      </c>
      <c r="T85" t="s">
        <v>920</v>
      </c>
      <c r="U85">
        <v>0.273427192853867</v>
      </c>
      <c r="V85" t="s">
        <v>988</v>
      </c>
      <c r="W85" t="s">
        <v>993</v>
      </c>
      <c r="X85">
        <v>35815.478591</v>
      </c>
      <c r="Y85" s="2">
        <v>45043</v>
      </c>
      <c r="Z85" t="s">
        <v>1012</v>
      </c>
    </row>
    <row r="86" spans="1:26">
      <c r="A86" s="1" t="s">
        <v>110</v>
      </c>
      <c r="B86">
        <f>HYPERLINK("https://www.suredividend.com/sure-analysis-CINF/","Cincinnati Financial Corp.")</f>
        <v>0</v>
      </c>
      <c r="C86" t="s">
        <v>897</v>
      </c>
      <c r="D86">
        <v>105</v>
      </c>
      <c r="E86">
        <v>95.70999999999999</v>
      </c>
      <c r="F86">
        <v>94</v>
      </c>
      <c r="G86">
        <v>1.018191489361702</v>
      </c>
      <c r="H86">
        <v>0.03134468707554069</v>
      </c>
      <c r="I86">
        <v>-0.003599108414355179</v>
      </c>
      <c r="J86">
        <v>0.06</v>
      </c>
      <c r="K86">
        <v>0.08392310153152871</v>
      </c>
      <c r="L86" t="s">
        <v>899</v>
      </c>
      <c r="M86" t="s">
        <v>899</v>
      </c>
      <c r="N86">
        <v>20.27754237288136</v>
      </c>
      <c r="O86">
        <v>4.72</v>
      </c>
      <c r="P86">
        <v>3</v>
      </c>
      <c r="Q86">
        <v>0.6355932203389831</v>
      </c>
      <c r="R86">
        <v>63</v>
      </c>
      <c r="S86">
        <v>0.05006335758366887</v>
      </c>
      <c r="T86" t="s">
        <v>902</v>
      </c>
      <c r="U86">
        <v>-0.148783652661752</v>
      </c>
      <c r="V86" t="s">
        <v>988</v>
      </c>
      <c r="W86" t="s">
        <v>994</v>
      </c>
      <c r="X86">
        <v>15046.828283</v>
      </c>
      <c r="Y86" s="2">
        <v>45069</v>
      </c>
      <c r="Z86" t="s">
        <v>1011</v>
      </c>
    </row>
    <row r="87" spans="1:26">
      <c r="A87" s="1" t="s">
        <v>111</v>
      </c>
      <c r="B87">
        <f>HYPERLINK("https://www.suredividend.com/sure-analysis-V/","Visa Inc")</f>
        <v>0</v>
      </c>
      <c r="C87" t="s">
        <v>897</v>
      </c>
      <c r="D87">
        <v>233</v>
      </c>
      <c r="E87">
        <v>229.55</v>
      </c>
      <c r="F87">
        <v>214</v>
      </c>
      <c r="G87">
        <v>1.072663551401869</v>
      </c>
      <c r="H87">
        <v>0.007841428882596384</v>
      </c>
      <c r="I87">
        <v>-0.01393102368807153</v>
      </c>
      <c r="J87">
        <v>0.09</v>
      </c>
      <c r="K87">
        <v>0.08259539805757243</v>
      </c>
      <c r="L87" t="s">
        <v>899</v>
      </c>
      <c r="M87" t="s">
        <v>791</v>
      </c>
      <c r="N87">
        <v>26.81658878504673</v>
      </c>
      <c r="O87">
        <v>8.56</v>
      </c>
      <c r="P87">
        <v>1.8</v>
      </c>
      <c r="Q87">
        <v>0.2102803738317757</v>
      </c>
      <c r="R87">
        <v>15</v>
      </c>
      <c r="S87">
        <v>0.100082101138866</v>
      </c>
      <c r="T87" t="s">
        <v>943</v>
      </c>
      <c r="U87">
        <v>0.128462321992504</v>
      </c>
      <c r="V87" t="s">
        <v>988</v>
      </c>
      <c r="W87" t="s">
        <v>994</v>
      </c>
      <c r="X87">
        <v>433944.665232</v>
      </c>
      <c r="Y87" s="2">
        <v>45050</v>
      </c>
      <c r="Z87" t="s">
        <v>1010</v>
      </c>
    </row>
    <row r="88" spans="1:26">
      <c r="A88" s="1" t="s">
        <v>112</v>
      </c>
      <c r="B88">
        <f>HYPERLINK("https://www.suredividend.com/sure-analysis-KO/","Coca-Cola Co")</f>
        <v>0</v>
      </c>
      <c r="C88" t="s">
        <v>897</v>
      </c>
      <c r="D88">
        <v>64</v>
      </c>
      <c r="E88">
        <v>61.2</v>
      </c>
      <c r="F88">
        <v>60</v>
      </c>
      <c r="G88">
        <v>1.02</v>
      </c>
      <c r="H88">
        <v>0.03006535947712418</v>
      </c>
      <c r="I88">
        <v>-0.003952692922012169</v>
      </c>
      <c r="J88">
        <v>0.06</v>
      </c>
      <c r="K88">
        <v>0.08251236565193931</v>
      </c>
      <c r="L88" t="s">
        <v>899</v>
      </c>
      <c r="M88" t="s">
        <v>900</v>
      </c>
      <c r="N88">
        <v>23.53846153846154</v>
      </c>
      <c r="O88">
        <v>2.6</v>
      </c>
      <c r="P88">
        <v>1.84</v>
      </c>
      <c r="Q88">
        <v>0.7076923076923077</v>
      </c>
      <c r="R88">
        <v>61</v>
      </c>
      <c r="S88">
        <v>0.05014678675369377</v>
      </c>
      <c r="T88" t="s">
        <v>902</v>
      </c>
      <c r="U88">
        <v>-6.208764815200001E-05</v>
      </c>
      <c r="V88" t="s">
        <v>988</v>
      </c>
      <c r="W88" t="s">
        <v>997</v>
      </c>
      <c r="X88">
        <v>264664.185167</v>
      </c>
      <c r="Y88" s="2">
        <v>45041</v>
      </c>
      <c r="Z88" t="s">
        <v>1004</v>
      </c>
    </row>
    <row r="89" spans="1:26">
      <c r="A89" s="1" t="s">
        <v>113</v>
      </c>
      <c r="B89">
        <f>HYPERLINK("https://www.suredividend.com/sure-analysis-CSX/","CSX Corp.")</f>
        <v>0</v>
      </c>
      <c r="C89" t="s">
        <v>897</v>
      </c>
      <c r="D89">
        <v>32</v>
      </c>
      <c r="E89">
        <v>32.74</v>
      </c>
      <c r="F89">
        <v>34</v>
      </c>
      <c r="G89">
        <v>0.9629411764705883</v>
      </c>
      <c r="H89">
        <v>0.01343921808185706</v>
      </c>
      <c r="I89">
        <v>0.007581183284308901</v>
      </c>
      <c r="J89">
        <v>0.06</v>
      </c>
      <c r="K89">
        <v>0.08193178540625778</v>
      </c>
      <c r="L89" t="s">
        <v>899</v>
      </c>
      <c r="M89" t="s">
        <v>589</v>
      </c>
      <c r="N89">
        <v>17.23157894736842</v>
      </c>
      <c r="O89">
        <v>1.9</v>
      </c>
      <c r="P89">
        <v>0.44</v>
      </c>
      <c r="Q89">
        <v>0.2315789473684211</v>
      </c>
      <c r="R89">
        <v>18</v>
      </c>
      <c r="S89">
        <v>0.1095728171731842</v>
      </c>
      <c r="T89" t="s">
        <v>934</v>
      </c>
      <c r="U89">
        <v>0.11811211857316</v>
      </c>
      <c r="V89" t="s">
        <v>988</v>
      </c>
      <c r="W89" t="s">
        <v>993</v>
      </c>
      <c r="X89">
        <v>66562.218146</v>
      </c>
      <c r="Y89" s="2">
        <v>45041</v>
      </c>
      <c r="Z89" t="s">
        <v>1004</v>
      </c>
    </row>
    <row r="90" spans="1:26">
      <c r="A90" s="1" t="s">
        <v>114</v>
      </c>
      <c r="B90">
        <f>HYPERLINK("https://www.suredividend.com/sure-analysis-PH/","Parker-Hannifin Corp.")</f>
        <v>0</v>
      </c>
      <c r="C90" t="s">
        <v>896</v>
      </c>
      <c r="D90">
        <v>328</v>
      </c>
      <c r="E90">
        <v>370.12</v>
      </c>
      <c r="F90">
        <v>328</v>
      </c>
      <c r="G90">
        <v>1.128414634146341</v>
      </c>
      <c r="H90">
        <v>0.01599481249324543</v>
      </c>
      <c r="I90">
        <v>-0.02387315199843898</v>
      </c>
      <c r="J90">
        <v>0.09</v>
      </c>
      <c r="K90">
        <v>0.08023270383122316</v>
      </c>
      <c r="L90" t="s">
        <v>899</v>
      </c>
      <c r="M90" t="s">
        <v>900</v>
      </c>
      <c r="N90">
        <v>17.70909090909091</v>
      </c>
      <c r="O90">
        <v>20.9</v>
      </c>
      <c r="P90">
        <v>5.92</v>
      </c>
      <c r="Q90">
        <v>0.2832535885167464</v>
      </c>
      <c r="R90">
        <v>67</v>
      </c>
      <c r="S90">
        <v>0.09990262565483254</v>
      </c>
      <c r="T90" t="s">
        <v>943</v>
      </c>
      <c r="U90">
        <v>0.494705410331204</v>
      </c>
      <c r="V90" t="s">
        <v>988</v>
      </c>
      <c r="W90" t="s">
        <v>993</v>
      </c>
      <c r="X90">
        <v>47527.1092</v>
      </c>
      <c r="Y90" s="2">
        <v>45063</v>
      </c>
      <c r="Z90" t="s">
        <v>1007</v>
      </c>
    </row>
    <row r="91" spans="1:26">
      <c r="A91" s="1" t="s">
        <v>115</v>
      </c>
      <c r="B91">
        <f>HYPERLINK("https://www.suredividend.com/sure-analysis-TRV/","Travelers Companies Inc.")</f>
        <v>0</v>
      </c>
      <c r="C91" t="s">
        <v>897</v>
      </c>
      <c r="D91">
        <v>179</v>
      </c>
      <c r="E91">
        <v>173.72</v>
      </c>
      <c r="F91">
        <v>173</v>
      </c>
      <c r="G91">
        <v>1.004161849710983</v>
      </c>
      <c r="H91">
        <v>0.02302555836979047</v>
      </c>
      <c r="I91">
        <v>-0.0008302977456754457</v>
      </c>
      <c r="J91">
        <v>0.06</v>
      </c>
      <c r="K91">
        <v>0.08013075046843854</v>
      </c>
      <c r="L91" t="s">
        <v>899</v>
      </c>
      <c r="M91" t="s">
        <v>900</v>
      </c>
      <c r="N91">
        <v>12.02214532871972</v>
      </c>
      <c r="O91">
        <v>14.45</v>
      </c>
      <c r="P91">
        <v>4</v>
      </c>
      <c r="Q91">
        <v>0.2768166089965398</v>
      </c>
      <c r="R91">
        <v>19</v>
      </c>
      <c r="S91">
        <v>0.05988502997905321</v>
      </c>
      <c r="T91" t="s">
        <v>926</v>
      </c>
      <c r="U91">
        <v>0.064732186635809</v>
      </c>
      <c r="V91" t="s">
        <v>988</v>
      </c>
      <c r="W91" t="s">
        <v>994</v>
      </c>
      <c r="X91">
        <v>40125.248872</v>
      </c>
      <c r="Y91" s="2">
        <v>45037</v>
      </c>
      <c r="Z91" t="s">
        <v>1004</v>
      </c>
    </row>
    <row r="92" spans="1:26">
      <c r="A92" s="1" t="s">
        <v>116</v>
      </c>
      <c r="B92">
        <f>HYPERLINK("https://www.suredividend.com/sure-analysis-DHR/","Danaher Corp.")</f>
        <v>0</v>
      </c>
      <c r="C92" t="s">
        <v>897</v>
      </c>
      <c r="D92">
        <v>231</v>
      </c>
      <c r="E92">
        <v>238.18</v>
      </c>
      <c r="F92">
        <v>266</v>
      </c>
      <c r="G92">
        <v>0.8954135338345864</v>
      </c>
      <c r="H92">
        <v>0.004534385758669914</v>
      </c>
      <c r="I92">
        <v>0.02233980188617313</v>
      </c>
      <c r="J92">
        <v>0.05</v>
      </c>
      <c r="K92">
        <v>0.07800581583239818</v>
      </c>
      <c r="L92" t="s">
        <v>899</v>
      </c>
      <c r="M92" t="s">
        <v>791</v>
      </c>
      <c r="N92">
        <v>25.07157894736842</v>
      </c>
      <c r="O92">
        <v>9.5</v>
      </c>
      <c r="P92">
        <v>1.08</v>
      </c>
      <c r="Q92">
        <v>0.1136842105263158</v>
      </c>
      <c r="R92">
        <v>9</v>
      </c>
      <c r="S92">
        <v>0.100082101138866</v>
      </c>
      <c r="T92" t="s">
        <v>906</v>
      </c>
      <c r="U92">
        <v>-0.069833922904548</v>
      </c>
      <c r="V92" t="s">
        <v>988</v>
      </c>
      <c r="W92" t="s">
        <v>996</v>
      </c>
      <c r="X92">
        <v>175752.733564</v>
      </c>
      <c r="Y92" s="2">
        <v>45044</v>
      </c>
      <c r="Z92" t="s">
        <v>1006</v>
      </c>
    </row>
    <row r="93" spans="1:26">
      <c r="A93" s="1" t="s">
        <v>117</v>
      </c>
      <c r="B93">
        <f>HYPERLINK("https://www.suredividend.com/sure-analysis-ROP/","Roper Technologies Inc")</f>
        <v>0</v>
      </c>
      <c r="C93" t="s">
        <v>897</v>
      </c>
      <c r="D93">
        <v>453</v>
      </c>
      <c r="E93">
        <v>460.81</v>
      </c>
      <c r="F93">
        <v>405</v>
      </c>
      <c r="G93">
        <v>1.137802469135802</v>
      </c>
      <c r="H93">
        <v>0.005924350600030381</v>
      </c>
      <c r="I93">
        <v>-0.02548926938150586</v>
      </c>
      <c r="J93">
        <v>0.1</v>
      </c>
      <c r="K93">
        <v>0.07792413648004137</v>
      </c>
      <c r="L93" t="s">
        <v>899</v>
      </c>
      <c r="M93" t="s">
        <v>589</v>
      </c>
      <c r="N93">
        <v>28.44506172839506</v>
      </c>
      <c r="O93">
        <v>16.2</v>
      </c>
      <c r="P93">
        <v>2.73</v>
      </c>
      <c r="Q93">
        <v>0.1685185185185185</v>
      </c>
      <c r="R93">
        <v>30</v>
      </c>
      <c r="S93">
        <v>0.100165459638053</v>
      </c>
      <c r="T93" t="s">
        <v>919</v>
      </c>
      <c r="U93">
        <v>0.137378128801822</v>
      </c>
      <c r="V93" t="s">
        <v>988</v>
      </c>
      <c r="W93" t="s">
        <v>993</v>
      </c>
      <c r="X93">
        <v>49118.76735</v>
      </c>
      <c r="Y93" s="2">
        <v>45044</v>
      </c>
      <c r="Z93" t="s">
        <v>1012</v>
      </c>
    </row>
    <row r="94" spans="1:26">
      <c r="A94" s="1" t="s">
        <v>118</v>
      </c>
      <c r="B94">
        <f>HYPERLINK("https://www.suredividend.com/sure-analysis-RE/","Everest Re Group Ltd")</f>
        <v>0</v>
      </c>
      <c r="C94" t="s">
        <v>897</v>
      </c>
      <c r="D94">
        <v>361</v>
      </c>
      <c r="E94">
        <v>345.66</v>
      </c>
      <c r="F94">
        <v>440</v>
      </c>
      <c r="G94">
        <v>0.7855909090909091</v>
      </c>
      <c r="H94">
        <v>0.01909390730775907</v>
      </c>
      <c r="I94">
        <v>0.04944748276969002</v>
      </c>
      <c r="J94">
        <v>0.01</v>
      </c>
      <c r="K94">
        <v>0.07599154644091355</v>
      </c>
      <c r="L94" t="s">
        <v>899</v>
      </c>
      <c r="M94" t="s">
        <v>589</v>
      </c>
      <c r="N94">
        <v>7.855909090909091</v>
      </c>
      <c r="O94">
        <v>44</v>
      </c>
      <c r="P94">
        <v>6.6</v>
      </c>
      <c r="Q94">
        <v>0.15</v>
      </c>
      <c r="R94">
        <v>1</v>
      </c>
      <c r="S94">
        <v>0.02996744995959233</v>
      </c>
      <c r="T94" t="s">
        <v>934</v>
      </c>
      <c r="U94">
        <v>0.239959808743571</v>
      </c>
      <c r="V94" t="s">
        <v>988</v>
      </c>
      <c r="W94" t="s">
        <v>994</v>
      </c>
      <c r="X94">
        <v>13575.873928</v>
      </c>
      <c r="Y94" s="2">
        <v>45071</v>
      </c>
      <c r="Z94" t="s">
        <v>1008</v>
      </c>
    </row>
    <row r="95" spans="1:26">
      <c r="A95" s="1" t="s">
        <v>119</v>
      </c>
      <c r="B95">
        <f>HYPERLINK("https://www.suredividend.com/sure-analysis-CAT/","Caterpillar Inc.")</f>
        <v>0</v>
      </c>
      <c r="C95" t="s">
        <v>897</v>
      </c>
      <c r="D95">
        <v>214</v>
      </c>
      <c r="E95">
        <v>234.44</v>
      </c>
      <c r="F95">
        <v>239</v>
      </c>
      <c r="G95">
        <v>0.9809205020920502</v>
      </c>
      <c r="H95">
        <v>0.02218051527043167</v>
      </c>
      <c r="I95">
        <v>0.003860203531798945</v>
      </c>
      <c r="J95">
        <v>0.05</v>
      </c>
      <c r="K95">
        <v>0.07486420937111005</v>
      </c>
      <c r="L95" t="s">
        <v>899</v>
      </c>
      <c r="M95" t="s">
        <v>900</v>
      </c>
      <c r="N95">
        <v>14.69843260188088</v>
      </c>
      <c r="O95">
        <v>15.95</v>
      </c>
      <c r="P95">
        <v>5.2</v>
      </c>
      <c r="Q95">
        <v>0.3260188087774295</v>
      </c>
      <c r="R95">
        <v>30</v>
      </c>
      <c r="S95">
        <v>0.06276478294532173</v>
      </c>
      <c r="T95" t="s">
        <v>944</v>
      </c>
      <c r="U95">
        <v>0.294312566215924</v>
      </c>
      <c r="V95" t="s">
        <v>988</v>
      </c>
      <c r="W95" t="s">
        <v>993</v>
      </c>
      <c r="X95">
        <v>120819.977883</v>
      </c>
      <c r="Y95" s="2">
        <v>45044</v>
      </c>
      <c r="Z95" t="s">
        <v>1012</v>
      </c>
    </row>
    <row r="96" spans="1:26">
      <c r="A96" s="1" t="s">
        <v>120</v>
      </c>
      <c r="B96">
        <f>HYPERLINK("https://www.suredividend.com/sure-analysis-GGG/","Graco Inc.")</f>
        <v>0</v>
      </c>
      <c r="C96" t="s">
        <v>897</v>
      </c>
      <c r="D96">
        <v>79</v>
      </c>
      <c r="E96">
        <v>83.55</v>
      </c>
      <c r="F96">
        <v>77</v>
      </c>
      <c r="G96">
        <v>1.085064935064935</v>
      </c>
      <c r="H96">
        <v>0.01125074805505685</v>
      </c>
      <c r="I96">
        <v>-0.01619538795116593</v>
      </c>
      <c r="J96">
        <v>0.08</v>
      </c>
      <c r="K96">
        <v>0.07409108785388474</v>
      </c>
      <c r="L96" t="s">
        <v>899</v>
      </c>
      <c r="M96" t="s">
        <v>589</v>
      </c>
      <c r="N96">
        <v>28.32203389830508</v>
      </c>
      <c r="O96">
        <v>2.95</v>
      </c>
      <c r="P96">
        <v>0.9399999999999999</v>
      </c>
      <c r="Q96">
        <v>0.3186440677966101</v>
      </c>
      <c r="R96">
        <v>26</v>
      </c>
      <c r="S96">
        <v>0.09943565902862628</v>
      </c>
      <c r="T96" t="s">
        <v>945</v>
      </c>
      <c r="U96">
        <v>0.388078968485374</v>
      </c>
      <c r="V96" t="s">
        <v>988</v>
      </c>
      <c r="W96" t="s">
        <v>993</v>
      </c>
      <c r="X96">
        <v>14064.80842</v>
      </c>
      <c r="Y96" s="2">
        <v>45046</v>
      </c>
      <c r="Z96" t="s">
        <v>1006</v>
      </c>
    </row>
    <row r="97" spans="1:26">
      <c r="A97" s="1" t="s">
        <v>121</v>
      </c>
      <c r="B97">
        <f>HYPERLINK("https://www.suredividend.com/sure-analysis-FFMR/","First Farmers Financial Corp")</f>
        <v>0</v>
      </c>
      <c r="C97" t="s">
        <v>897</v>
      </c>
      <c r="D97">
        <v>64</v>
      </c>
      <c r="E97">
        <v>61.5</v>
      </c>
      <c r="F97">
        <v>60</v>
      </c>
      <c r="G97">
        <v>1.025</v>
      </c>
      <c r="H97">
        <v>0.02991869918699187</v>
      </c>
      <c r="I97">
        <v>-0.00492634806525849</v>
      </c>
      <c r="J97">
        <v>0.05</v>
      </c>
      <c r="K97">
        <v>0.07403843535976717</v>
      </c>
      <c r="L97" t="s">
        <v>899</v>
      </c>
      <c r="M97" t="s">
        <v>899</v>
      </c>
      <c r="N97">
        <v>10.25</v>
      </c>
      <c r="O97">
        <v>6</v>
      </c>
      <c r="P97">
        <v>1.84</v>
      </c>
      <c r="Q97">
        <v>0.3066666666666667</v>
      </c>
      <c r="R97">
        <v>32</v>
      </c>
      <c r="S97">
        <v>0.06994234673120125</v>
      </c>
      <c r="T97" t="s">
        <v>906</v>
      </c>
      <c r="U97">
        <v>0.03334461746784</v>
      </c>
      <c r="V97" t="s">
        <v>988</v>
      </c>
      <c r="W97" t="s">
        <v>994</v>
      </c>
      <c r="X97">
        <v>429.749998</v>
      </c>
      <c r="Y97" s="2">
        <v>45061</v>
      </c>
      <c r="Z97" t="s">
        <v>1004</v>
      </c>
    </row>
    <row r="98" spans="1:26">
      <c r="A98" s="1" t="s">
        <v>122</v>
      </c>
      <c r="B98">
        <f>HYPERLINK("https://www.suredividend.com/sure-analysis-CBSH/","Commerce Bancshares, Inc.")</f>
        <v>0</v>
      </c>
      <c r="C98" t="s">
        <v>897</v>
      </c>
      <c r="D98">
        <v>49</v>
      </c>
      <c r="E98">
        <v>45.69</v>
      </c>
      <c r="F98">
        <v>46</v>
      </c>
      <c r="G98">
        <v>0.9932608695652173</v>
      </c>
      <c r="H98">
        <v>0.02363755745239659</v>
      </c>
      <c r="I98">
        <v>0.001353303072063383</v>
      </c>
      <c r="J98">
        <v>0.05</v>
      </c>
      <c r="K98">
        <v>0.07362479042141779</v>
      </c>
      <c r="L98" t="s">
        <v>899</v>
      </c>
      <c r="M98" t="s">
        <v>900</v>
      </c>
      <c r="N98">
        <v>12.02368421052632</v>
      </c>
      <c r="O98">
        <v>3.8</v>
      </c>
      <c r="P98">
        <v>1.08</v>
      </c>
      <c r="Q98">
        <v>0.2842105263157895</v>
      </c>
      <c r="R98">
        <v>54</v>
      </c>
      <c r="S98">
        <v>0.06069091570555463</v>
      </c>
      <c r="T98" t="s">
        <v>918</v>
      </c>
      <c r="U98">
        <v>-0.295992751914872</v>
      </c>
      <c r="V98" t="s">
        <v>988</v>
      </c>
      <c r="W98" t="s">
        <v>994</v>
      </c>
      <c r="X98">
        <v>5698.355323</v>
      </c>
      <c r="Y98" s="2">
        <v>45064</v>
      </c>
      <c r="Z98" t="s">
        <v>1008</v>
      </c>
    </row>
    <row r="99" spans="1:26">
      <c r="A99" s="1" t="s">
        <v>123</v>
      </c>
      <c r="B99">
        <f>HYPERLINK("https://www.suredividend.com/sure-analysis-CNI/","Canadian National Railway Co.")</f>
        <v>0</v>
      </c>
      <c r="C99" t="s">
        <v>897</v>
      </c>
      <c r="D99">
        <v>119</v>
      </c>
      <c r="E99">
        <v>117.76</v>
      </c>
      <c r="F99">
        <v>109</v>
      </c>
      <c r="G99">
        <v>1.080366972477064</v>
      </c>
      <c r="H99">
        <v>0.02004076086956522</v>
      </c>
      <c r="I99">
        <v>-0.01534125985959101</v>
      </c>
      <c r="J99">
        <v>0.07000000000000001</v>
      </c>
      <c r="K99">
        <v>0.07288074336316464</v>
      </c>
      <c r="L99" t="s">
        <v>899</v>
      </c>
      <c r="M99" t="s">
        <v>900</v>
      </c>
      <c r="N99">
        <v>19.4003294892916</v>
      </c>
      <c r="O99">
        <v>6.07</v>
      </c>
      <c r="P99">
        <v>2.36</v>
      </c>
      <c r="Q99">
        <v>0.3887973640856672</v>
      </c>
      <c r="R99">
        <v>28</v>
      </c>
      <c r="S99">
        <v>0.06999857218918182</v>
      </c>
      <c r="T99" t="s">
        <v>926</v>
      </c>
      <c r="U99">
        <v>0.054949465268906</v>
      </c>
      <c r="V99" t="s">
        <v>988</v>
      </c>
      <c r="W99" t="s">
        <v>993</v>
      </c>
      <c r="X99">
        <v>77952.006861</v>
      </c>
      <c r="Y99" s="2">
        <v>45042</v>
      </c>
      <c r="Z99" t="s">
        <v>1003</v>
      </c>
    </row>
    <row r="100" spans="1:26">
      <c r="A100" s="1" t="s">
        <v>124</v>
      </c>
      <c r="B100">
        <f>HYPERLINK("https://www.suredividend.com/sure-analysis-SPGI/","S&amp;P Global Inc")</f>
        <v>0</v>
      </c>
      <c r="C100" t="s">
        <v>897</v>
      </c>
      <c r="D100">
        <v>354</v>
      </c>
      <c r="E100">
        <v>390.36</v>
      </c>
      <c r="F100">
        <v>326</v>
      </c>
      <c r="G100">
        <v>1.197423312883436</v>
      </c>
      <c r="H100">
        <v>0.009222256378727329</v>
      </c>
      <c r="I100">
        <v>-0.03539289129048584</v>
      </c>
      <c r="J100">
        <v>0.1</v>
      </c>
      <c r="K100">
        <v>0.07122035808488514</v>
      </c>
      <c r="L100" t="s">
        <v>899</v>
      </c>
      <c r="M100" t="s">
        <v>589</v>
      </c>
      <c r="N100">
        <v>31.10438247011952</v>
      </c>
      <c r="O100">
        <v>12.55</v>
      </c>
      <c r="P100">
        <v>3.6</v>
      </c>
      <c r="Q100">
        <v>0.2868525896414342</v>
      </c>
      <c r="R100">
        <v>50</v>
      </c>
      <c r="S100">
        <v>0.1198435461338727</v>
      </c>
      <c r="T100" t="s">
        <v>946</v>
      </c>
      <c r="U100">
        <v>0.151022964435525</v>
      </c>
      <c r="V100" t="s">
        <v>988</v>
      </c>
      <c r="W100" t="s">
        <v>994</v>
      </c>
      <c r="X100">
        <v>129989.88</v>
      </c>
      <c r="Y100" s="2">
        <v>45054</v>
      </c>
      <c r="Z100" t="s">
        <v>1004</v>
      </c>
    </row>
    <row r="101" spans="1:26">
      <c r="A101" s="1" t="s">
        <v>125</v>
      </c>
      <c r="B101">
        <f>HYPERLINK("https://www.suredividend.com/sure-analysis-BANF/","Bancfirst Corp.")</f>
        <v>0</v>
      </c>
      <c r="C101" t="s">
        <v>896</v>
      </c>
      <c r="D101">
        <v>74</v>
      </c>
      <c r="E101">
        <v>88.51000000000001</v>
      </c>
      <c r="F101">
        <v>95</v>
      </c>
      <c r="G101">
        <v>0.9316842105263159</v>
      </c>
      <c r="H101">
        <v>0.01852897977629646</v>
      </c>
      <c r="I101">
        <v>0.0142528877965209</v>
      </c>
      <c r="J101">
        <v>0.04</v>
      </c>
      <c r="K101">
        <v>0.07119303258766774</v>
      </c>
      <c r="L101" t="s">
        <v>899</v>
      </c>
      <c r="M101" t="s">
        <v>900</v>
      </c>
      <c r="N101">
        <v>14.00474683544304</v>
      </c>
      <c r="O101">
        <v>6.32</v>
      </c>
      <c r="P101">
        <v>1.64</v>
      </c>
      <c r="Q101">
        <v>0.2594936708860759</v>
      </c>
      <c r="R101">
        <v>29</v>
      </c>
      <c r="S101">
        <v>0.04048836820440749</v>
      </c>
      <c r="T101" t="s">
        <v>906</v>
      </c>
      <c r="U101">
        <v>-0.051720905316726</v>
      </c>
      <c r="V101" t="s">
        <v>988</v>
      </c>
      <c r="W101" t="s">
        <v>994</v>
      </c>
      <c r="X101">
        <v>2911.969972</v>
      </c>
      <c r="Y101" s="2">
        <v>45057</v>
      </c>
      <c r="Z101" t="s">
        <v>1011</v>
      </c>
    </row>
    <row r="102" spans="1:26">
      <c r="A102" s="1" t="s">
        <v>126</v>
      </c>
      <c r="B102">
        <f>HYPERLINK("https://www.suredividend.com/sure-analysis-HI/","Hillenbrand Inc")</f>
        <v>0</v>
      </c>
      <c r="C102" t="s">
        <v>897</v>
      </c>
      <c r="D102">
        <v>47</v>
      </c>
      <c r="E102">
        <v>49.32</v>
      </c>
      <c r="F102">
        <v>48</v>
      </c>
      <c r="G102">
        <v>1.0275</v>
      </c>
      <c r="H102">
        <v>0.0178426601784266</v>
      </c>
      <c r="I102">
        <v>-0.005411040770679776</v>
      </c>
      <c r="J102">
        <v>0.06</v>
      </c>
      <c r="K102">
        <v>0.06879034418638019</v>
      </c>
      <c r="L102" t="s">
        <v>899</v>
      </c>
      <c r="M102" t="s">
        <v>589</v>
      </c>
      <c r="N102">
        <v>14.50588235294118</v>
      </c>
      <c r="O102">
        <v>3.4</v>
      </c>
      <c r="P102">
        <v>0.88</v>
      </c>
      <c r="Q102">
        <v>0.2588235294117647</v>
      </c>
      <c r="R102">
        <v>15</v>
      </c>
      <c r="S102">
        <v>0.01111384065820276</v>
      </c>
      <c r="T102" t="s">
        <v>902</v>
      </c>
      <c r="U102">
        <v>0.192592001508875</v>
      </c>
      <c r="V102" t="s">
        <v>988</v>
      </c>
      <c r="W102" t="s">
        <v>993</v>
      </c>
      <c r="X102">
        <v>3431.219378</v>
      </c>
      <c r="Y102" s="2">
        <v>45062</v>
      </c>
      <c r="Z102" t="s">
        <v>1010</v>
      </c>
    </row>
    <row r="103" spans="1:26">
      <c r="A103" s="1" t="s">
        <v>127</v>
      </c>
      <c r="B103">
        <f>HYPERLINK("https://www.suredividend.com/sure-analysis-EMR/","Emerson Electric Co.")</f>
        <v>0</v>
      </c>
      <c r="C103" t="s">
        <v>897</v>
      </c>
      <c r="D103">
        <v>84</v>
      </c>
      <c r="E103">
        <v>86.68000000000001</v>
      </c>
      <c r="F103">
        <v>78</v>
      </c>
      <c r="G103">
        <v>1.111282051282051</v>
      </c>
      <c r="H103">
        <v>0.02399630826026765</v>
      </c>
      <c r="I103">
        <v>-0.02088176250024265</v>
      </c>
      <c r="J103">
        <v>0.07000000000000001</v>
      </c>
      <c r="K103">
        <v>0.06858173842530246</v>
      </c>
      <c r="L103" t="s">
        <v>899</v>
      </c>
      <c r="M103" t="s">
        <v>900</v>
      </c>
      <c r="N103">
        <v>21.14146341463415</v>
      </c>
      <c r="O103">
        <v>4.1</v>
      </c>
      <c r="P103">
        <v>2.08</v>
      </c>
      <c r="Q103">
        <v>0.5073170731707317</v>
      </c>
      <c r="R103">
        <v>66</v>
      </c>
      <c r="S103">
        <v>0.02988976347130756</v>
      </c>
      <c r="T103" t="s">
        <v>943</v>
      </c>
      <c r="U103">
        <v>0.08857001484413601</v>
      </c>
      <c r="V103" t="s">
        <v>988</v>
      </c>
      <c r="W103" t="s">
        <v>993</v>
      </c>
      <c r="X103">
        <v>49537.62</v>
      </c>
      <c r="Y103" s="2">
        <v>45052</v>
      </c>
      <c r="Z103" t="s">
        <v>1004</v>
      </c>
    </row>
    <row r="104" spans="1:26">
      <c r="A104" s="1" t="s">
        <v>128</v>
      </c>
      <c r="B104">
        <f>HYPERLINK("https://www.suredividend.com/sure-analysis-CASY/","Casey`s General Stores, Inc.")</f>
        <v>0</v>
      </c>
      <c r="C104" t="s">
        <v>897</v>
      </c>
      <c r="D104">
        <v>220</v>
      </c>
      <c r="E104">
        <v>224.66</v>
      </c>
      <c r="F104">
        <v>236</v>
      </c>
      <c r="G104">
        <v>0.9519491525423729</v>
      </c>
      <c r="H104">
        <v>0.0076560135315588</v>
      </c>
      <c r="I104">
        <v>0.009897389727026029</v>
      </c>
      <c r="J104">
        <v>0.05</v>
      </c>
      <c r="K104">
        <v>0.06692580316335706</v>
      </c>
      <c r="L104" t="s">
        <v>899</v>
      </c>
      <c r="M104" t="s">
        <v>589</v>
      </c>
      <c r="N104">
        <v>20.9766573295985</v>
      </c>
      <c r="O104">
        <v>10.71</v>
      </c>
      <c r="P104">
        <v>1.72</v>
      </c>
      <c r="Q104">
        <v>0.1605975723622782</v>
      </c>
      <c r="R104">
        <v>24</v>
      </c>
      <c r="S104">
        <v>0.02959144640951838</v>
      </c>
      <c r="T104" t="s">
        <v>917</v>
      </c>
      <c r="U104">
        <v>0.181029923700399</v>
      </c>
      <c r="V104" t="s">
        <v>988</v>
      </c>
      <c r="W104" t="s">
        <v>997</v>
      </c>
      <c r="X104">
        <v>8371.382465999999</v>
      </c>
      <c r="Y104" s="2">
        <v>45098</v>
      </c>
      <c r="Z104" t="s">
        <v>1010</v>
      </c>
    </row>
    <row r="105" spans="1:26">
      <c r="A105" s="1" t="s">
        <v>129</v>
      </c>
      <c r="B105">
        <f>HYPERLINK("https://www.suredividend.com/sure-analysis-KWR/","Quaker Houghton")</f>
        <v>0</v>
      </c>
      <c r="C105" t="s">
        <v>897</v>
      </c>
      <c r="D105">
        <v>204</v>
      </c>
      <c r="E105">
        <v>187.67</v>
      </c>
      <c r="F105">
        <v>195</v>
      </c>
      <c r="G105">
        <v>0.9624102564102563</v>
      </c>
      <c r="H105">
        <v>0.009271593754995471</v>
      </c>
      <c r="I105">
        <v>0.007692326542748429</v>
      </c>
      <c r="J105">
        <v>0.05</v>
      </c>
      <c r="K105">
        <v>0.06628977598912589</v>
      </c>
      <c r="L105" t="s">
        <v>899</v>
      </c>
      <c r="M105" t="s">
        <v>791</v>
      </c>
      <c r="N105">
        <v>28.87230769230769</v>
      </c>
      <c r="O105">
        <v>6.5</v>
      </c>
      <c r="P105">
        <v>1.74</v>
      </c>
      <c r="Q105">
        <v>0.2676923076923077</v>
      </c>
      <c r="R105">
        <v>15</v>
      </c>
      <c r="S105">
        <v>0.04029694359974445</v>
      </c>
      <c r="T105" t="s">
        <v>911</v>
      </c>
      <c r="U105">
        <v>0.243048545592797</v>
      </c>
      <c r="V105" t="s">
        <v>988</v>
      </c>
      <c r="W105" t="s">
        <v>993</v>
      </c>
      <c r="X105">
        <v>3374.464243</v>
      </c>
      <c r="Y105" s="2">
        <v>45064</v>
      </c>
      <c r="Z105" t="s">
        <v>1005</v>
      </c>
    </row>
    <row r="106" spans="1:26">
      <c r="A106" s="1" t="s">
        <v>130</v>
      </c>
      <c r="B106">
        <f>HYPERLINK("https://www.suredividend.com/sure-analysis-PNR/","Pentair plc")</f>
        <v>0</v>
      </c>
      <c r="C106" t="s">
        <v>897</v>
      </c>
      <c r="D106">
        <v>58</v>
      </c>
      <c r="E106">
        <v>60.12</v>
      </c>
      <c r="F106">
        <v>58</v>
      </c>
      <c r="G106">
        <v>1.036551724137931</v>
      </c>
      <c r="H106">
        <v>0.01463739188290086</v>
      </c>
      <c r="I106">
        <v>-0.007154196885807096</v>
      </c>
      <c r="J106">
        <v>0.06</v>
      </c>
      <c r="K106">
        <v>0.06588895835831621</v>
      </c>
      <c r="L106" t="s">
        <v>899</v>
      </c>
      <c r="M106" t="s">
        <v>900</v>
      </c>
      <c r="N106">
        <v>16.47123287671233</v>
      </c>
      <c r="O106">
        <v>3.65</v>
      </c>
      <c r="P106">
        <v>0.88</v>
      </c>
      <c r="Q106">
        <v>0.2410958904109589</v>
      </c>
      <c r="R106">
        <v>46</v>
      </c>
      <c r="S106">
        <v>0.04941452284458392</v>
      </c>
      <c r="T106" t="s">
        <v>915</v>
      </c>
      <c r="U106">
        <v>0.374245055067913</v>
      </c>
      <c r="V106" t="s">
        <v>988</v>
      </c>
      <c r="W106" t="s">
        <v>993</v>
      </c>
      <c r="X106">
        <v>9934.95687</v>
      </c>
      <c r="Y106" s="2">
        <v>45057</v>
      </c>
      <c r="Z106" t="s">
        <v>1008</v>
      </c>
    </row>
    <row r="107" spans="1:26">
      <c r="A107" s="1" t="s">
        <v>131</v>
      </c>
      <c r="B107">
        <f>HYPERLINK("https://www.suredividend.com/sure-analysis-CHE/","Chemed Corp.")</f>
        <v>0</v>
      </c>
      <c r="C107" t="s">
        <v>897</v>
      </c>
      <c r="D107">
        <v>549</v>
      </c>
      <c r="E107">
        <v>541.87</v>
      </c>
      <c r="F107">
        <v>525</v>
      </c>
      <c r="G107">
        <v>1.032133333333333</v>
      </c>
      <c r="H107">
        <v>0.002805100854448484</v>
      </c>
      <c r="I107">
        <v>-0.00630560722583795</v>
      </c>
      <c r="J107">
        <v>0.07000000000000001</v>
      </c>
      <c r="K107">
        <v>0.06578777706408223</v>
      </c>
      <c r="L107" t="s">
        <v>899</v>
      </c>
      <c r="M107" t="s">
        <v>589</v>
      </c>
      <c r="N107">
        <v>25.80333333333333</v>
      </c>
      <c r="O107">
        <v>21</v>
      </c>
      <c r="P107">
        <v>1.52</v>
      </c>
      <c r="Q107">
        <v>0.07238095238095238</v>
      </c>
      <c r="R107">
        <v>14</v>
      </c>
      <c r="S107">
        <v>0.05000563166277994</v>
      </c>
      <c r="T107" t="s">
        <v>947</v>
      </c>
      <c r="U107">
        <v>0.165281756169733</v>
      </c>
      <c r="V107" t="s">
        <v>988</v>
      </c>
      <c r="W107" t="s">
        <v>996</v>
      </c>
      <c r="X107">
        <v>8138.765479</v>
      </c>
      <c r="Y107" s="2">
        <v>45049</v>
      </c>
      <c r="Z107" t="s">
        <v>1005</v>
      </c>
    </row>
    <row r="108" spans="1:26">
      <c r="A108" s="1" t="s">
        <v>132</v>
      </c>
      <c r="B108">
        <f>HYPERLINK("https://www.suredividend.com/sure-analysis-NDSN/","Nordson Corp.")</f>
        <v>0</v>
      </c>
      <c r="C108" t="s">
        <v>897</v>
      </c>
      <c r="D108">
        <v>237</v>
      </c>
      <c r="E108">
        <v>235.74</v>
      </c>
      <c r="F108">
        <v>209</v>
      </c>
      <c r="G108">
        <v>1.127942583732057</v>
      </c>
      <c r="H108">
        <v>0.01102909985577331</v>
      </c>
      <c r="I108">
        <v>-0.02379146273992627</v>
      </c>
      <c r="J108">
        <v>0.08</v>
      </c>
      <c r="K108">
        <v>0.06538094702923147</v>
      </c>
      <c r="L108" t="s">
        <v>899</v>
      </c>
      <c r="M108" t="s">
        <v>900</v>
      </c>
      <c r="N108">
        <v>25.90549450549451</v>
      </c>
      <c r="O108">
        <v>9.1</v>
      </c>
      <c r="P108">
        <v>2.6</v>
      </c>
      <c r="Q108">
        <v>0.2857142857142858</v>
      </c>
      <c r="R108">
        <v>59</v>
      </c>
      <c r="S108">
        <v>0.07998569482738827</v>
      </c>
      <c r="T108" t="s">
        <v>936</v>
      </c>
      <c r="U108">
        <v>0.166616189509065</v>
      </c>
      <c r="V108" t="s">
        <v>988</v>
      </c>
      <c r="W108" t="s">
        <v>993</v>
      </c>
      <c r="X108">
        <v>13435.074842</v>
      </c>
      <c r="Y108" s="2">
        <v>45098</v>
      </c>
      <c r="Z108" t="s">
        <v>1010</v>
      </c>
    </row>
    <row r="109" spans="1:26">
      <c r="A109" s="1" t="s">
        <v>133</v>
      </c>
      <c r="B109">
        <f>HYPERLINK("https://www.suredividend.com/sure-analysis-COST/","Costco Wholesale Corp")</f>
        <v>0</v>
      </c>
      <c r="C109" t="s">
        <v>897</v>
      </c>
      <c r="D109">
        <v>482</v>
      </c>
      <c r="E109">
        <v>524.4400000000001</v>
      </c>
      <c r="F109">
        <v>448</v>
      </c>
      <c r="G109">
        <v>1.170625</v>
      </c>
      <c r="H109">
        <v>0.007779726946838532</v>
      </c>
      <c r="I109">
        <v>-0.03101636796932206</v>
      </c>
      <c r="J109">
        <v>0.09</v>
      </c>
      <c r="K109">
        <v>0.06445774313165997</v>
      </c>
      <c r="L109" t="s">
        <v>899</v>
      </c>
      <c r="M109" t="s">
        <v>791</v>
      </c>
      <c r="N109">
        <v>36.29342560553633</v>
      </c>
      <c r="O109">
        <v>14.45</v>
      </c>
      <c r="P109">
        <v>4.08</v>
      </c>
      <c r="Q109">
        <v>0.2823529411764706</v>
      </c>
      <c r="R109">
        <v>20</v>
      </c>
      <c r="S109">
        <v>0.09997050830829379</v>
      </c>
      <c r="T109" t="s">
        <v>948</v>
      </c>
      <c r="U109">
        <v>0.09299001670204801</v>
      </c>
      <c r="V109" t="s">
        <v>988</v>
      </c>
      <c r="W109" t="s">
        <v>997</v>
      </c>
      <c r="X109">
        <v>232379.364</v>
      </c>
      <c r="Y109" s="2">
        <v>45072</v>
      </c>
      <c r="Z109" t="s">
        <v>1004</v>
      </c>
    </row>
    <row r="110" spans="1:26">
      <c r="A110" s="1" t="s">
        <v>134</v>
      </c>
      <c r="B110">
        <f>HYPERLINK("https://www.suredividend.com/sure-analysis-JBHT/","J.B. Hunt Transport Services, Inc.")</f>
        <v>0</v>
      </c>
      <c r="C110" t="s">
        <v>897</v>
      </c>
      <c r="D110">
        <v>172</v>
      </c>
      <c r="E110">
        <v>175.18</v>
      </c>
      <c r="F110">
        <v>180</v>
      </c>
      <c r="G110">
        <v>0.9732222222222222</v>
      </c>
      <c r="H110">
        <v>0.009590135860258019</v>
      </c>
      <c r="I110">
        <v>0.005443328198909247</v>
      </c>
      <c r="J110">
        <v>0.05</v>
      </c>
      <c r="K110">
        <v>0.06426324387488891</v>
      </c>
      <c r="L110" t="s">
        <v>899</v>
      </c>
      <c r="M110" t="s">
        <v>589</v>
      </c>
      <c r="N110">
        <v>20.48888888888889</v>
      </c>
      <c r="O110">
        <v>8.550000000000001</v>
      </c>
      <c r="P110">
        <v>1.68</v>
      </c>
      <c r="Q110">
        <v>0.1964912280701754</v>
      </c>
      <c r="R110">
        <v>21</v>
      </c>
      <c r="S110">
        <v>0.03959498820755258</v>
      </c>
      <c r="T110" t="s">
        <v>943</v>
      </c>
      <c r="U110">
        <v>0.09287503867921601</v>
      </c>
      <c r="V110" t="s">
        <v>988</v>
      </c>
      <c r="W110" t="s">
        <v>993</v>
      </c>
      <c r="X110">
        <v>18157.009517</v>
      </c>
      <c r="Y110" s="2">
        <v>45064</v>
      </c>
      <c r="Z110" t="s">
        <v>1014</v>
      </c>
    </row>
    <row r="111" spans="1:26">
      <c r="A111" s="1" t="s">
        <v>135</v>
      </c>
      <c r="B111">
        <f>HYPERLINK("https://www.suredividend.com/sure-analysis-AOS/","A.O. Smith Corp.")</f>
        <v>0</v>
      </c>
      <c r="C111" t="s">
        <v>897</v>
      </c>
      <c r="D111">
        <v>68</v>
      </c>
      <c r="E111">
        <v>69.48999999999999</v>
      </c>
      <c r="F111">
        <v>65</v>
      </c>
      <c r="G111">
        <v>1.069076923076923</v>
      </c>
      <c r="H111">
        <v>0.01726867175133113</v>
      </c>
      <c r="I111">
        <v>-0.01327028051065338</v>
      </c>
      <c r="J111">
        <v>0.06</v>
      </c>
      <c r="K111">
        <v>0.06359077918870204</v>
      </c>
      <c r="L111" t="s">
        <v>899</v>
      </c>
      <c r="M111" t="s">
        <v>900</v>
      </c>
      <c r="N111">
        <v>20.43823529411765</v>
      </c>
      <c r="O111">
        <v>3.4</v>
      </c>
      <c r="P111">
        <v>1.2</v>
      </c>
      <c r="Q111">
        <v>0.3529411764705883</v>
      </c>
      <c r="R111">
        <v>29</v>
      </c>
      <c r="S111">
        <v>0.0796084730466029</v>
      </c>
      <c r="T111" t="s">
        <v>928</v>
      </c>
      <c r="U111">
        <v>0.269877818346618</v>
      </c>
      <c r="V111" t="s">
        <v>988</v>
      </c>
      <c r="W111" t="s">
        <v>993</v>
      </c>
      <c r="X111">
        <v>10616.371371</v>
      </c>
      <c r="Y111" s="2">
        <v>45059</v>
      </c>
      <c r="Z111" t="s">
        <v>1008</v>
      </c>
    </row>
    <row r="112" spans="1:26">
      <c r="A112" s="1" t="s">
        <v>136</v>
      </c>
      <c r="B112">
        <f>HYPERLINK("https://www.suredividend.com/sure-analysis-UBSI/","United Bankshares, Inc.")</f>
        <v>0</v>
      </c>
      <c r="C112" t="s">
        <v>897</v>
      </c>
      <c r="D112">
        <v>33</v>
      </c>
      <c r="E112">
        <v>29.54</v>
      </c>
      <c r="F112">
        <v>32</v>
      </c>
      <c r="G112">
        <v>0.923125</v>
      </c>
      <c r="H112">
        <v>0.04874746106973595</v>
      </c>
      <c r="I112">
        <v>0.01612678030814085</v>
      </c>
      <c r="J112">
        <v>0</v>
      </c>
      <c r="K112">
        <v>0.06060462597518224</v>
      </c>
      <c r="L112" t="s">
        <v>899</v>
      </c>
      <c r="M112" t="s">
        <v>899</v>
      </c>
      <c r="N112">
        <v>10.94074074074074</v>
      </c>
      <c r="O112">
        <v>2.7</v>
      </c>
      <c r="P112">
        <v>1.44</v>
      </c>
      <c r="Q112">
        <v>0.5333333333333333</v>
      </c>
      <c r="R112">
        <v>48</v>
      </c>
      <c r="S112">
        <v>0.02001586442069092</v>
      </c>
      <c r="T112" t="s">
        <v>926</v>
      </c>
      <c r="U112">
        <v>-0.128140347563279</v>
      </c>
      <c r="V112" t="s">
        <v>988</v>
      </c>
      <c r="W112" t="s">
        <v>994</v>
      </c>
      <c r="X112">
        <v>3985.943477</v>
      </c>
      <c r="Y112" s="2">
        <v>45047</v>
      </c>
      <c r="Z112" t="s">
        <v>1004</v>
      </c>
    </row>
    <row r="113" spans="1:26">
      <c r="A113" s="1" t="s">
        <v>137</v>
      </c>
      <c r="B113">
        <f>HYPERLINK("https://www.suredividend.com/sure-analysis-GD/","General Dynamics Corp.")</f>
        <v>0</v>
      </c>
      <c r="C113" t="s">
        <v>897</v>
      </c>
      <c r="D113">
        <v>214</v>
      </c>
      <c r="E113">
        <v>212.39</v>
      </c>
      <c r="F113">
        <v>189</v>
      </c>
      <c r="G113">
        <v>1.123756613756614</v>
      </c>
      <c r="H113">
        <v>0.02485992749187815</v>
      </c>
      <c r="I113">
        <v>-0.02306527265963243</v>
      </c>
      <c r="J113">
        <v>0.06</v>
      </c>
      <c r="K113">
        <v>0.06019399873201747</v>
      </c>
      <c r="L113" t="s">
        <v>899</v>
      </c>
      <c r="M113" t="s">
        <v>900</v>
      </c>
      <c r="N113">
        <v>16.82963549920761</v>
      </c>
      <c r="O113">
        <v>12.62</v>
      </c>
      <c r="P113">
        <v>5.28</v>
      </c>
      <c r="Q113">
        <v>0.4183835182250397</v>
      </c>
      <c r="R113">
        <v>32</v>
      </c>
      <c r="S113">
        <v>0.06012505378897903</v>
      </c>
      <c r="T113" t="s">
        <v>911</v>
      </c>
      <c r="U113">
        <v>-0.023027102614583</v>
      </c>
      <c r="V113" t="s">
        <v>988</v>
      </c>
      <c r="W113" t="s">
        <v>993</v>
      </c>
      <c r="X113">
        <v>58266.138296</v>
      </c>
      <c r="Y113" s="2">
        <v>45043</v>
      </c>
      <c r="Z113" t="s">
        <v>1016</v>
      </c>
    </row>
    <row r="114" spans="1:26">
      <c r="A114" s="1" t="s">
        <v>138</v>
      </c>
      <c r="B114">
        <f>HYPERLINK("https://www.suredividend.com/sure-analysis-CL/","Colgate-Palmolive Co.")</f>
        <v>0</v>
      </c>
      <c r="C114" t="s">
        <v>897</v>
      </c>
      <c r="D114">
        <v>80</v>
      </c>
      <c r="E114">
        <v>77.11</v>
      </c>
      <c r="F114">
        <v>76</v>
      </c>
      <c r="G114">
        <v>1.014605263157895</v>
      </c>
      <c r="H114">
        <v>0.02489949422902347</v>
      </c>
      <c r="I114">
        <v>-0.002895725985821218</v>
      </c>
      <c r="J114">
        <v>0.04</v>
      </c>
      <c r="K114">
        <v>0.05956099808963633</v>
      </c>
      <c r="L114" t="s">
        <v>899</v>
      </c>
      <c r="M114" t="s">
        <v>900</v>
      </c>
      <c r="N114">
        <v>24.47936507936508</v>
      </c>
      <c r="O114">
        <v>3.15</v>
      </c>
      <c r="P114">
        <v>1.92</v>
      </c>
      <c r="Q114">
        <v>0.6095238095238095</v>
      </c>
      <c r="R114">
        <v>61</v>
      </c>
      <c r="S114">
        <v>0.03038784497717151</v>
      </c>
      <c r="T114" t="s">
        <v>915</v>
      </c>
      <c r="U114">
        <v>-0.016108966793199</v>
      </c>
      <c r="V114" t="s">
        <v>988</v>
      </c>
      <c r="W114" t="s">
        <v>997</v>
      </c>
      <c r="X114">
        <v>63968.003825</v>
      </c>
      <c r="Y114" s="2">
        <v>45048</v>
      </c>
      <c r="Z114" t="s">
        <v>1004</v>
      </c>
    </row>
    <row r="115" spans="1:26">
      <c r="A115" s="1" t="s">
        <v>139</v>
      </c>
      <c r="B115">
        <f>HYPERLINK("https://www.suredividend.com/sure-analysis-EVR/","Evercore Inc")</f>
        <v>0</v>
      </c>
      <c r="C115" t="s">
        <v>897</v>
      </c>
      <c r="D115">
        <v>111</v>
      </c>
      <c r="E115">
        <v>116.74</v>
      </c>
      <c r="F115">
        <v>108</v>
      </c>
      <c r="G115">
        <v>1.080925925925926</v>
      </c>
      <c r="H115">
        <v>0.02604077437039575</v>
      </c>
      <c r="I115">
        <v>-0.01544311554877498</v>
      </c>
      <c r="J115">
        <v>0.05</v>
      </c>
      <c r="K115">
        <v>0.05898308356183746</v>
      </c>
      <c r="L115" t="s">
        <v>899</v>
      </c>
      <c r="M115" t="s">
        <v>900</v>
      </c>
      <c r="N115">
        <v>11.91224489795918</v>
      </c>
      <c r="O115">
        <v>9.800000000000001</v>
      </c>
      <c r="P115">
        <v>3.04</v>
      </c>
      <c r="Q115">
        <v>0.3102040816326531</v>
      </c>
      <c r="R115">
        <v>18</v>
      </c>
      <c r="S115">
        <v>0.05000563166277994</v>
      </c>
      <c r="T115" t="s">
        <v>946</v>
      </c>
      <c r="U115">
        <v>0.223511459022217</v>
      </c>
      <c r="V115" t="s">
        <v>988</v>
      </c>
      <c r="W115" t="s">
        <v>994</v>
      </c>
      <c r="X115">
        <v>4476.651661</v>
      </c>
      <c r="Y115" s="2">
        <v>45044</v>
      </c>
      <c r="Z115" t="s">
        <v>1006</v>
      </c>
    </row>
    <row r="116" spans="1:26">
      <c r="A116" s="1" t="s">
        <v>140</v>
      </c>
      <c r="B116">
        <f>HYPERLINK("https://www.suredividend.com/sure-analysis-HRL/","Hormel Foods Corp.")</f>
        <v>0</v>
      </c>
      <c r="C116" t="s">
        <v>897</v>
      </c>
      <c r="D116">
        <v>41</v>
      </c>
      <c r="E116">
        <v>40.47</v>
      </c>
      <c r="F116">
        <v>39</v>
      </c>
      <c r="G116">
        <v>1.037692307692308</v>
      </c>
      <c r="H116">
        <v>0.02718062762540153</v>
      </c>
      <c r="I116">
        <v>-0.007372550977554071</v>
      </c>
      <c r="J116">
        <v>0.04</v>
      </c>
      <c r="K116">
        <v>0.05800607545180192</v>
      </c>
      <c r="L116" t="s">
        <v>899</v>
      </c>
      <c r="M116" t="s">
        <v>900</v>
      </c>
      <c r="N116">
        <v>23.12571428571428</v>
      </c>
      <c r="O116">
        <v>1.75</v>
      </c>
      <c r="P116">
        <v>1.1</v>
      </c>
      <c r="Q116">
        <v>0.6285714285714287</v>
      </c>
      <c r="R116">
        <v>57</v>
      </c>
      <c r="S116">
        <v>0.04026125343417397</v>
      </c>
      <c r="T116" t="s">
        <v>945</v>
      </c>
      <c r="U116">
        <v>-0.125029727801439</v>
      </c>
      <c r="V116" t="s">
        <v>988</v>
      </c>
      <c r="W116" t="s">
        <v>997</v>
      </c>
      <c r="X116">
        <v>22108.761</v>
      </c>
      <c r="Y116" s="2">
        <v>45083</v>
      </c>
      <c r="Z116" t="s">
        <v>1004</v>
      </c>
    </row>
    <row r="117" spans="1:26">
      <c r="A117" s="1" t="s">
        <v>141</v>
      </c>
      <c r="B117">
        <f>HYPERLINK("https://www.suredividend.com/sure-analysis-TNC/","Tennant Co.")</f>
        <v>0</v>
      </c>
      <c r="C117" t="s">
        <v>897</v>
      </c>
      <c r="D117">
        <v>74</v>
      </c>
      <c r="E117">
        <v>79.37</v>
      </c>
      <c r="F117">
        <v>74</v>
      </c>
      <c r="G117">
        <v>1.072567567567568</v>
      </c>
      <c r="H117">
        <v>0.01335517197933728</v>
      </c>
      <c r="I117">
        <v>-0.01391337570088425</v>
      </c>
      <c r="J117">
        <v>0.06</v>
      </c>
      <c r="K117">
        <v>0.05790738922323357</v>
      </c>
      <c r="L117" t="s">
        <v>899</v>
      </c>
      <c r="M117" t="s">
        <v>900</v>
      </c>
      <c r="N117">
        <v>19.35853658536586</v>
      </c>
      <c r="O117">
        <v>4.1</v>
      </c>
      <c r="P117">
        <v>1.06</v>
      </c>
      <c r="Q117">
        <v>0.2585365853658537</v>
      </c>
      <c r="R117">
        <v>52</v>
      </c>
      <c r="S117">
        <v>0.04955591526723868</v>
      </c>
      <c r="T117" t="s">
        <v>934</v>
      </c>
      <c r="U117">
        <v>0.349093437086216</v>
      </c>
      <c r="V117" t="s">
        <v>988</v>
      </c>
      <c r="W117" t="s">
        <v>993</v>
      </c>
      <c r="X117">
        <v>1469.150844</v>
      </c>
      <c r="Y117" s="2">
        <v>45077</v>
      </c>
      <c r="Z117" t="s">
        <v>1008</v>
      </c>
    </row>
    <row r="118" spans="1:26">
      <c r="A118" s="1" t="s">
        <v>142</v>
      </c>
      <c r="B118">
        <f>HYPERLINK("https://www.suredividend.com/sure-analysis-ITW/","Illinois Tool Works, Inc.")</f>
        <v>0</v>
      </c>
      <c r="C118" t="s">
        <v>897</v>
      </c>
      <c r="D118">
        <v>230</v>
      </c>
      <c r="E118">
        <v>242.25</v>
      </c>
      <c r="F118">
        <v>188</v>
      </c>
      <c r="G118">
        <v>1.288563829787234</v>
      </c>
      <c r="H118">
        <v>0.02163054695562435</v>
      </c>
      <c r="I118">
        <v>-0.04944158098289031</v>
      </c>
      <c r="J118">
        <v>0.09</v>
      </c>
      <c r="K118">
        <v>0.05703058550957296</v>
      </c>
      <c r="L118" t="s">
        <v>899</v>
      </c>
      <c r="M118" t="s">
        <v>900</v>
      </c>
      <c r="N118">
        <v>25.10362694300518</v>
      </c>
      <c r="O118">
        <v>9.65</v>
      </c>
      <c r="P118">
        <v>5.24</v>
      </c>
      <c r="Q118">
        <v>0.5430051813471503</v>
      </c>
      <c r="R118">
        <v>58</v>
      </c>
      <c r="S118">
        <v>0.05007172899151691</v>
      </c>
      <c r="T118" t="s">
        <v>906</v>
      </c>
      <c r="U118">
        <v>0.321893114642101</v>
      </c>
      <c r="V118" t="s">
        <v>988</v>
      </c>
      <c r="W118" t="s">
        <v>993</v>
      </c>
      <c r="X118">
        <v>73620.448697</v>
      </c>
      <c r="Y118" s="2">
        <v>45057</v>
      </c>
      <c r="Z118" t="s">
        <v>1010</v>
      </c>
    </row>
    <row r="119" spans="1:26">
      <c r="A119" s="1" t="s">
        <v>143</v>
      </c>
      <c r="B119">
        <f>HYPERLINK("https://www.suredividend.com/sure-analysis-WMT/","Walmart Inc")</f>
        <v>0</v>
      </c>
      <c r="C119" t="s">
        <v>897</v>
      </c>
      <c r="D119">
        <v>150</v>
      </c>
      <c r="E119">
        <v>155.46</v>
      </c>
      <c r="F119">
        <v>131</v>
      </c>
      <c r="G119">
        <v>1.186717557251908</v>
      </c>
      <c r="H119">
        <v>0.01466615206483983</v>
      </c>
      <c r="I119">
        <v>-0.0336587324495039</v>
      </c>
      <c r="J119">
        <v>0.08</v>
      </c>
      <c r="K119">
        <v>0.05646266706897785</v>
      </c>
      <c r="L119" t="s">
        <v>899</v>
      </c>
      <c r="M119" t="s">
        <v>900</v>
      </c>
      <c r="N119">
        <v>24.8736</v>
      </c>
      <c r="O119">
        <v>6.25</v>
      </c>
      <c r="P119">
        <v>2.28</v>
      </c>
      <c r="Q119">
        <v>0.3648</v>
      </c>
      <c r="R119">
        <v>50</v>
      </c>
      <c r="S119">
        <v>0.02021836907521157</v>
      </c>
      <c r="T119" t="s">
        <v>948</v>
      </c>
      <c r="U119">
        <v>0.311297363513519</v>
      </c>
      <c r="V119" t="s">
        <v>988</v>
      </c>
      <c r="W119" t="s">
        <v>997</v>
      </c>
      <c r="X119">
        <v>419409.068694</v>
      </c>
      <c r="Y119" s="2">
        <v>45069</v>
      </c>
      <c r="Z119" t="s">
        <v>1004</v>
      </c>
    </row>
    <row r="120" spans="1:26">
      <c r="A120" s="1" t="s">
        <v>144</v>
      </c>
      <c r="B120">
        <f>HYPERLINK("https://www.suredividend.com/sure-analysis-RPM/","RPM International, Inc.")</f>
        <v>0</v>
      </c>
      <c r="C120" t="s">
        <v>897</v>
      </c>
      <c r="D120">
        <v>82</v>
      </c>
      <c r="E120">
        <v>82.17</v>
      </c>
      <c r="F120">
        <v>77</v>
      </c>
      <c r="G120">
        <v>1.067142857142857</v>
      </c>
      <c r="H120">
        <v>0.02044541803577948</v>
      </c>
      <c r="I120">
        <v>-0.01291287412790376</v>
      </c>
      <c r="J120">
        <v>0.05</v>
      </c>
      <c r="K120">
        <v>0.05620808761566187</v>
      </c>
      <c r="L120" t="s">
        <v>899</v>
      </c>
      <c r="M120" t="s">
        <v>900</v>
      </c>
      <c r="N120">
        <v>19.19859813084112</v>
      </c>
      <c r="O120">
        <v>4.28</v>
      </c>
      <c r="P120">
        <v>1.68</v>
      </c>
      <c r="Q120">
        <v>0.3925233644859813</v>
      </c>
      <c r="R120">
        <v>49</v>
      </c>
      <c r="S120">
        <v>0.04959293402845044</v>
      </c>
      <c r="T120" t="s">
        <v>949</v>
      </c>
      <c r="U120">
        <v>0.026746387269694</v>
      </c>
      <c r="V120" t="s">
        <v>988</v>
      </c>
      <c r="W120" t="s">
        <v>992</v>
      </c>
      <c r="X120">
        <v>10592.668637</v>
      </c>
      <c r="Y120" s="2">
        <v>45028</v>
      </c>
      <c r="Z120" t="s">
        <v>1003</v>
      </c>
    </row>
    <row r="121" spans="1:26">
      <c r="A121" s="1" t="s">
        <v>145</v>
      </c>
      <c r="B121">
        <f>HYPERLINK("https://www.suredividend.com/sure-analysis-MGEE/","MGE Energy, Inc.")</f>
        <v>0</v>
      </c>
      <c r="C121" t="s">
        <v>897</v>
      </c>
      <c r="D121">
        <v>77.90000000000001</v>
      </c>
      <c r="E121">
        <v>75.87</v>
      </c>
      <c r="F121">
        <v>67.2</v>
      </c>
      <c r="G121">
        <v>1.129017857142857</v>
      </c>
      <c r="H121">
        <v>0.02148411756952682</v>
      </c>
      <c r="I121">
        <v>-0.02397748126827082</v>
      </c>
      <c r="J121">
        <v>0.06</v>
      </c>
      <c r="K121">
        <v>0.05619198303660244</v>
      </c>
      <c r="L121" t="s">
        <v>899</v>
      </c>
      <c r="M121" t="s">
        <v>900</v>
      </c>
      <c r="N121">
        <v>22.58035714285715</v>
      </c>
      <c r="O121">
        <v>3.36</v>
      </c>
      <c r="P121">
        <v>1.63</v>
      </c>
      <c r="Q121">
        <v>0.4851190476190476</v>
      </c>
      <c r="R121">
        <v>45</v>
      </c>
      <c r="S121">
        <v>0.06181049906838898</v>
      </c>
      <c r="T121" t="s">
        <v>912</v>
      </c>
      <c r="U121">
        <v>0.012704523066491</v>
      </c>
      <c r="V121" t="s">
        <v>988</v>
      </c>
      <c r="W121" t="s">
        <v>999</v>
      </c>
      <c r="X121">
        <v>2743.714882</v>
      </c>
      <c r="Y121" s="2">
        <v>45067</v>
      </c>
      <c r="Z121" t="s">
        <v>1013</v>
      </c>
    </row>
    <row r="122" spans="1:26">
      <c r="A122" s="1" t="s">
        <v>146</v>
      </c>
      <c r="B122">
        <f>HYPERLINK("https://www.suredividend.com/sure-analysis-HWKN/","Hawkins Inc")</f>
        <v>0</v>
      </c>
      <c r="C122" t="s">
        <v>897</v>
      </c>
      <c r="D122">
        <v>46</v>
      </c>
      <c r="E122">
        <v>46.57</v>
      </c>
      <c r="F122">
        <v>39</v>
      </c>
      <c r="G122">
        <v>1.194102564102564</v>
      </c>
      <c r="H122">
        <v>0.01288383079235559</v>
      </c>
      <c r="I122">
        <v>-0.0348569807740956</v>
      </c>
      <c r="J122">
        <v>0.08</v>
      </c>
      <c r="K122">
        <v>0.05476319713978928</v>
      </c>
      <c r="L122" t="s">
        <v>899</v>
      </c>
      <c r="M122" t="s">
        <v>589</v>
      </c>
      <c r="N122">
        <v>18.12062256809338</v>
      </c>
      <c r="O122">
        <v>2.57</v>
      </c>
      <c r="P122">
        <v>0.6</v>
      </c>
      <c r="Q122">
        <v>0.2334630350194553</v>
      </c>
      <c r="R122">
        <v>12</v>
      </c>
      <c r="S122">
        <v>0.05115774595007161</v>
      </c>
      <c r="T122" t="s">
        <v>930</v>
      </c>
      <c r="U122">
        <v>0.294283419442877</v>
      </c>
      <c r="V122" t="s">
        <v>988</v>
      </c>
      <c r="W122" t="s">
        <v>993</v>
      </c>
      <c r="X122">
        <v>981.02583</v>
      </c>
      <c r="Y122" s="2">
        <v>45076</v>
      </c>
      <c r="Z122" t="s">
        <v>1016</v>
      </c>
    </row>
    <row r="123" spans="1:26">
      <c r="A123" s="1" t="s">
        <v>147</v>
      </c>
      <c r="B123">
        <f>HYPERLINK("https://www.suredividend.com/sure-analysis-RNR/","RenaissanceRe Holdings Ltd")</f>
        <v>0</v>
      </c>
      <c r="C123" t="s">
        <v>898</v>
      </c>
      <c r="D123">
        <v>206</v>
      </c>
      <c r="E123">
        <v>187.79</v>
      </c>
      <c r="F123">
        <v>134</v>
      </c>
      <c r="G123">
        <v>1.401417910447761</v>
      </c>
      <c r="H123">
        <v>0.008094147718195858</v>
      </c>
      <c r="I123">
        <v>-0.06526938495195789</v>
      </c>
      <c r="J123">
        <v>0.12</v>
      </c>
      <c r="K123">
        <v>0.05408618781819485</v>
      </c>
      <c r="L123" t="s">
        <v>899</v>
      </c>
      <c r="M123" t="s">
        <v>589</v>
      </c>
      <c r="N123">
        <v>11.736875</v>
      </c>
      <c r="O123">
        <v>16</v>
      </c>
      <c r="P123">
        <v>1.52</v>
      </c>
      <c r="Q123">
        <v>0.095</v>
      </c>
      <c r="R123">
        <v>28</v>
      </c>
      <c r="S123">
        <v>0.02622006774714669</v>
      </c>
      <c r="T123" t="s">
        <v>916</v>
      </c>
      <c r="U123">
        <v>0.208366874056114</v>
      </c>
      <c r="V123" t="s">
        <v>988</v>
      </c>
      <c r="W123" t="s">
        <v>994</v>
      </c>
      <c r="X123">
        <v>8249.910845</v>
      </c>
      <c r="Y123" s="2">
        <v>45057</v>
      </c>
      <c r="Z123" t="s">
        <v>1012</v>
      </c>
    </row>
    <row r="124" spans="1:26">
      <c r="A124" s="1" t="s">
        <v>148</v>
      </c>
      <c r="B124">
        <f>HYPERLINK("https://www.suredividend.com/sure-analysis-BEN/","Franklin Resources, Inc.")</f>
        <v>0</v>
      </c>
      <c r="C124" t="s">
        <v>897</v>
      </c>
      <c r="D124">
        <v>25</v>
      </c>
      <c r="E124">
        <v>25.53</v>
      </c>
      <c r="F124">
        <v>21</v>
      </c>
      <c r="G124">
        <v>1.215714285714286</v>
      </c>
      <c r="H124">
        <v>0.04700352526439482</v>
      </c>
      <c r="I124">
        <v>-0.03831310926870379</v>
      </c>
      <c r="J124">
        <v>0.045</v>
      </c>
      <c r="K124">
        <v>0.05240231001169859</v>
      </c>
      <c r="L124" t="s">
        <v>899</v>
      </c>
      <c r="M124" t="s">
        <v>899</v>
      </c>
      <c r="N124">
        <v>10.95708154506438</v>
      </c>
      <c r="O124">
        <v>2.33</v>
      </c>
      <c r="P124">
        <v>1.2</v>
      </c>
      <c r="Q124">
        <v>0.5150214592274678</v>
      </c>
      <c r="R124">
        <v>43</v>
      </c>
      <c r="S124">
        <v>0.04142312668144399</v>
      </c>
      <c r="T124" t="s">
        <v>906</v>
      </c>
      <c r="U124">
        <v>0.05639485085095</v>
      </c>
      <c r="V124" t="s">
        <v>988</v>
      </c>
      <c r="W124" t="s">
        <v>994</v>
      </c>
      <c r="X124">
        <v>12787.042781</v>
      </c>
      <c r="Y124" s="2">
        <v>45063</v>
      </c>
      <c r="Z124" t="s">
        <v>1010</v>
      </c>
    </row>
    <row r="125" spans="1:26">
      <c r="A125" s="1" t="s">
        <v>149</v>
      </c>
      <c r="B125">
        <f>HYPERLINK("https://www.suredividend.com/sure-analysis-BRO/","Brown &amp; Brown, Inc.")</f>
        <v>0</v>
      </c>
      <c r="C125" t="s">
        <v>897</v>
      </c>
      <c r="D125">
        <v>61</v>
      </c>
      <c r="E125">
        <v>66.43000000000001</v>
      </c>
      <c r="F125">
        <v>59</v>
      </c>
      <c r="G125">
        <v>1.125932203389831</v>
      </c>
      <c r="H125">
        <v>0.00692458226704802</v>
      </c>
      <c r="I125">
        <v>-0.02344310246143932</v>
      </c>
      <c r="J125">
        <v>0.07000000000000001</v>
      </c>
      <c r="K125">
        <v>0.05240125803195461</v>
      </c>
      <c r="L125" t="s">
        <v>899</v>
      </c>
      <c r="M125" t="s">
        <v>589</v>
      </c>
      <c r="N125">
        <v>27.11428571428571</v>
      </c>
      <c r="O125">
        <v>2.45</v>
      </c>
      <c r="P125">
        <v>0.46</v>
      </c>
      <c r="Q125">
        <v>0.1877551020408163</v>
      </c>
      <c r="R125">
        <v>29</v>
      </c>
      <c r="S125">
        <v>0.09068691621347957</v>
      </c>
      <c r="T125" t="s">
        <v>907</v>
      </c>
      <c r="U125">
        <v>0.13302416652027</v>
      </c>
      <c r="V125" t="s">
        <v>988</v>
      </c>
      <c r="W125" t="s">
        <v>994</v>
      </c>
      <c r="X125">
        <v>18842.488458</v>
      </c>
      <c r="Y125" s="2">
        <v>45041</v>
      </c>
      <c r="Z125" t="s">
        <v>1004</v>
      </c>
    </row>
    <row r="126" spans="1:26">
      <c r="A126" s="1" t="s">
        <v>150</v>
      </c>
      <c r="B126">
        <f>HYPERLINK("https://www.suredividend.com/sure-analysis-AXS/","Axis Capital Holdings Ltd")</f>
        <v>0</v>
      </c>
      <c r="C126" t="s">
        <v>897</v>
      </c>
      <c r="D126">
        <v>57</v>
      </c>
      <c r="E126">
        <v>53.66</v>
      </c>
      <c r="F126">
        <v>49</v>
      </c>
      <c r="G126">
        <v>1.095102040816327</v>
      </c>
      <c r="H126">
        <v>0.03279910547894149</v>
      </c>
      <c r="I126">
        <v>-0.0180054390371418</v>
      </c>
      <c r="J126">
        <v>0.04</v>
      </c>
      <c r="K126">
        <v>0.05230250640064549</v>
      </c>
      <c r="L126" t="s">
        <v>899</v>
      </c>
      <c r="M126" t="s">
        <v>899</v>
      </c>
      <c r="N126">
        <v>6.749685534591195</v>
      </c>
      <c r="O126">
        <v>7.95</v>
      </c>
      <c r="P126">
        <v>1.76</v>
      </c>
      <c r="Q126">
        <v>0.2213836477987421</v>
      </c>
      <c r="R126">
        <v>19</v>
      </c>
      <c r="S126">
        <v>0.02996744995959233</v>
      </c>
      <c r="T126" t="s">
        <v>906</v>
      </c>
      <c r="U126">
        <v>-0.039219056622692</v>
      </c>
      <c r="V126" t="s">
        <v>988</v>
      </c>
      <c r="W126" t="s">
        <v>994</v>
      </c>
      <c r="X126">
        <v>4571.827117</v>
      </c>
      <c r="Y126" s="2">
        <v>45047</v>
      </c>
      <c r="Z126" t="s">
        <v>1004</v>
      </c>
    </row>
    <row r="127" spans="1:26">
      <c r="A127" s="1" t="s">
        <v>151</v>
      </c>
      <c r="B127">
        <f>HYPERLINK("https://www.suredividend.com/sure-analysis-SCL/","Stepan Co.")</f>
        <v>0</v>
      </c>
      <c r="C127" t="s">
        <v>897</v>
      </c>
      <c r="D127">
        <v>89</v>
      </c>
      <c r="E127">
        <v>92.17</v>
      </c>
      <c r="F127">
        <v>78</v>
      </c>
      <c r="G127">
        <v>1.181666666666667</v>
      </c>
      <c r="H127">
        <v>0.01584029510686774</v>
      </c>
      <c r="I127">
        <v>-0.03283403960035591</v>
      </c>
      <c r="J127">
        <v>0.07000000000000001</v>
      </c>
      <c r="K127">
        <v>0.05182811328220138</v>
      </c>
      <c r="L127" t="s">
        <v>899</v>
      </c>
      <c r="M127" t="s">
        <v>900</v>
      </c>
      <c r="N127">
        <v>20.03695652173913</v>
      </c>
      <c r="O127">
        <v>4.6</v>
      </c>
      <c r="P127">
        <v>1.46</v>
      </c>
      <c r="Q127">
        <v>0.3173913043478261</v>
      </c>
      <c r="R127">
        <v>55</v>
      </c>
      <c r="S127">
        <v>0.08048096642439129</v>
      </c>
      <c r="T127" t="s">
        <v>934</v>
      </c>
      <c r="U127">
        <v>-0.08468796270825901</v>
      </c>
      <c r="V127" t="s">
        <v>988</v>
      </c>
      <c r="W127" t="s">
        <v>992</v>
      </c>
      <c r="X127">
        <v>2059.191538</v>
      </c>
      <c r="Y127" s="2">
        <v>45058</v>
      </c>
      <c r="Z127" t="s">
        <v>1004</v>
      </c>
    </row>
    <row r="128" spans="1:26">
      <c r="A128" s="1" t="s">
        <v>152</v>
      </c>
      <c r="B128">
        <f>HYPERLINK("https://www.suredividend.com/sure-analysis-AWR/","American States Water Co.")</f>
        <v>0</v>
      </c>
      <c r="C128" t="s">
        <v>897</v>
      </c>
      <c r="D128">
        <v>91.8</v>
      </c>
      <c r="E128">
        <v>84.64</v>
      </c>
      <c r="F128">
        <v>69.3</v>
      </c>
      <c r="G128">
        <v>1.221356421356421</v>
      </c>
      <c r="H128">
        <v>0.01878544423440454</v>
      </c>
      <c r="I128">
        <v>-0.03920327071757068</v>
      </c>
      <c r="J128">
        <v>0.074</v>
      </c>
      <c r="K128">
        <v>0.05163040399514141</v>
      </c>
      <c r="L128" t="s">
        <v>899</v>
      </c>
      <c r="M128" t="s">
        <v>900</v>
      </c>
      <c r="N128">
        <v>30.55595667870036</v>
      </c>
      <c r="O128">
        <v>2.77</v>
      </c>
      <c r="P128">
        <v>1.59</v>
      </c>
      <c r="Q128">
        <v>0.5740072202166066</v>
      </c>
      <c r="R128">
        <v>68</v>
      </c>
      <c r="S128">
        <v>0.0719069301576436</v>
      </c>
      <c r="T128" t="s">
        <v>908</v>
      </c>
      <c r="U128">
        <v>0.08909782707998501</v>
      </c>
      <c r="V128" t="s">
        <v>988</v>
      </c>
      <c r="W128" t="s">
        <v>999</v>
      </c>
      <c r="X128">
        <v>3129.682496</v>
      </c>
      <c r="Y128" s="2">
        <v>45067</v>
      </c>
      <c r="Z128" t="s">
        <v>1013</v>
      </c>
    </row>
    <row r="129" spans="1:26">
      <c r="A129" s="1" t="s">
        <v>153</v>
      </c>
      <c r="B129">
        <f>HYPERLINK("https://www.suredividend.com/sure-analysis-SJW/","SJW Group")</f>
        <v>0</v>
      </c>
      <c r="C129" t="s">
        <v>898</v>
      </c>
      <c r="D129">
        <v>77</v>
      </c>
      <c r="E129">
        <v>68.77</v>
      </c>
      <c r="F129">
        <v>54</v>
      </c>
      <c r="G129">
        <v>1.273518518518518</v>
      </c>
      <c r="H129">
        <v>0.02210266104405991</v>
      </c>
      <c r="I129">
        <v>-0.04720614593315797</v>
      </c>
      <c r="J129">
        <v>0.08</v>
      </c>
      <c r="K129">
        <v>0.05153847662560374</v>
      </c>
      <c r="L129" t="s">
        <v>899</v>
      </c>
      <c r="M129" t="s">
        <v>900</v>
      </c>
      <c r="N129">
        <v>28.06938775510204</v>
      </c>
      <c r="O129">
        <v>2.45</v>
      </c>
      <c r="P129">
        <v>1.52</v>
      </c>
      <c r="Q129">
        <v>0.6204081632653061</v>
      </c>
      <c r="R129">
        <v>55</v>
      </c>
      <c r="S129">
        <v>0.0595720409403111</v>
      </c>
      <c r="T129" t="s">
        <v>907</v>
      </c>
      <c r="U129">
        <v>0.143922671692363</v>
      </c>
      <c r="V129" t="s">
        <v>988</v>
      </c>
      <c r="W129" t="s">
        <v>999</v>
      </c>
      <c r="X129">
        <v>2161.254321</v>
      </c>
      <c r="Y129" s="2">
        <v>45049</v>
      </c>
      <c r="Z129" t="s">
        <v>1003</v>
      </c>
    </row>
    <row r="130" spans="1:26">
      <c r="A130" s="1" t="s">
        <v>154</v>
      </c>
      <c r="B130">
        <f>HYPERLINK("https://www.suredividend.com/sure-analysis-LECO/","Lincoln Electric Holdings, Inc.")</f>
        <v>0</v>
      </c>
      <c r="C130" t="s">
        <v>897</v>
      </c>
      <c r="D130">
        <v>174</v>
      </c>
      <c r="E130">
        <v>189.59</v>
      </c>
      <c r="F130">
        <v>162</v>
      </c>
      <c r="G130">
        <v>1.170308641975309</v>
      </c>
      <c r="H130">
        <v>0.01350282187879108</v>
      </c>
      <c r="I130">
        <v>-0.03096398646995169</v>
      </c>
      <c r="J130">
        <v>0.07000000000000001</v>
      </c>
      <c r="K130">
        <v>0.05126328419778647</v>
      </c>
      <c r="L130" t="s">
        <v>899</v>
      </c>
      <c r="M130" t="s">
        <v>589</v>
      </c>
      <c r="N130">
        <v>21.06555555555556</v>
      </c>
      <c r="O130">
        <v>9</v>
      </c>
      <c r="P130">
        <v>2.56</v>
      </c>
      <c r="Q130">
        <v>0.2844444444444444</v>
      </c>
      <c r="R130">
        <v>27</v>
      </c>
      <c r="S130">
        <v>0.0799150058822331</v>
      </c>
      <c r="T130" t="s">
        <v>906</v>
      </c>
      <c r="U130">
        <v>0.5334914897248221</v>
      </c>
      <c r="V130" t="s">
        <v>988</v>
      </c>
      <c r="W130" t="s">
        <v>993</v>
      </c>
      <c r="X130">
        <v>10915.238338</v>
      </c>
      <c r="Y130" s="2">
        <v>45076</v>
      </c>
      <c r="Z130" t="s">
        <v>1008</v>
      </c>
    </row>
    <row r="131" spans="1:26">
      <c r="A131" s="1" t="s">
        <v>155</v>
      </c>
      <c r="B131">
        <f>HYPERLINK("https://www.suredividend.com/sure-analysis-ABBV/","Abbvie Inc")</f>
        <v>0</v>
      </c>
      <c r="C131" t="s">
        <v>897</v>
      </c>
      <c r="D131">
        <v>146</v>
      </c>
      <c r="E131">
        <v>135.92</v>
      </c>
      <c r="F131">
        <v>120</v>
      </c>
      <c r="G131">
        <v>1.132666666666666</v>
      </c>
      <c r="H131">
        <v>0.04355503237198352</v>
      </c>
      <c r="I131">
        <v>-0.0246071313283025</v>
      </c>
      <c r="J131">
        <v>0.03</v>
      </c>
      <c r="K131">
        <v>0.05000054497515483</v>
      </c>
      <c r="L131" t="s">
        <v>899</v>
      </c>
      <c r="M131" t="s">
        <v>899</v>
      </c>
      <c r="N131">
        <v>12.44688644688645</v>
      </c>
      <c r="O131">
        <v>10.92</v>
      </c>
      <c r="P131">
        <v>5.92</v>
      </c>
      <c r="Q131">
        <v>0.5421245421245421</v>
      </c>
      <c r="R131">
        <v>51</v>
      </c>
      <c r="S131">
        <v>0.0501226304546607</v>
      </c>
      <c r="T131" t="s">
        <v>911</v>
      </c>
      <c r="U131">
        <v>-0.073179413290929</v>
      </c>
      <c r="V131" t="s">
        <v>988</v>
      </c>
      <c r="W131" t="s">
        <v>996</v>
      </c>
      <c r="X131">
        <v>239802.253306</v>
      </c>
      <c r="Y131" s="2">
        <v>45057</v>
      </c>
      <c r="Z131" t="s">
        <v>1008</v>
      </c>
    </row>
    <row r="132" spans="1:26">
      <c r="A132" s="1" t="s">
        <v>156</v>
      </c>
      <c r="B132">
        <f>HYPERLINK("https://www.suredividend.com/sure-analysis-NOC/","Northrop Grumman Corp.")</f>
        <v>0</v>
      </c>
      <c r="C132" t="s">
        <v>897</v>
      </c>
      <c r="D132">
        <v>463</v>
      </c>
      <c r="E132">
        <v>454.05</v>
      </c>
      <c r="F132">
        <v>361</v>
      </c>
      <c r="G132">
        <v>1.257756232686981</v>
      </c>
      <c r="H132">
        <v>0.01647395661270785</v>
      </c>
      <c r="I132">
        <v>-0.04482993245840317</v>
      </c>
      <c r="J132">
        <v>0.08</v>
      </c>
      <c r="K132">
        <v>0.0485725979419076</v>
      </c>
      <c r="L132" t="s">
        <v>899</v>
      </c>
      <c r="M132" t="s">
        <v>589</v>
      </c>
      <c r="N132">
        <v>20.13525498891353</v>
      </c>
      <c r="O132">
        <v>22.55</v>
      </c>
      <c r="P132">
        <v>7.48</v>
      </c>
      <c r="Q132">
        <v>0.3317073170731707</v>
      </c>
      <c r="R132">
        <v>20</v>
      </c>
      <c r="S132">
        <v>0.06336869558828861</v>
      </c>
      <c r="T132" t="s">
        <v>914</v>
      </c>
      <c r="U132">
        <v>-0.00951805052734</v>
      </c>
      <c r="V132" t="s">
        <v>988</v>
      </c>
      <c r="W132" t="s">
        <v>993</v>
      </c>
      <c r="X132">
        <v>68951.781002</v>
      </c>
      <c r="Y132" s="2">
        <v>45049</v>
      </c>
      <c r="Z132" t="s">
        <v>1016</v>
      </c>
    </row>
    <row r="133" spans="1:26">
      <c r="A133" s="1" t="s">
        <v>157</v>
      </c>
      <c r="B133">
        <f>HYPERLINK("https://www.suredividend.com/sure-analysis-JKHY/","Jack Henry &amp; Associates, Inc.")</f>
        <v>0</v>
      </c>
      <c r="C133" t="s">
        <v>897</v>
      </c>
      <c r="D133">
        <v>155</v>
      </c>
      <c r="E133">
        <v>162.8</v>
      </c>
      <c r="F133">
        <v>122</v>
      </c>
      <c r="G133">
        <v>1.334426229508197</v>
      </c>
      <c r="H133">
        <v>0.01277641277641278</v>
      </c>
      <c r="I133">
        <v>-0.05606718107966679</v>
      </c>
      <c r="J133">
        <v>0.095</v>
      </c>
      <c r="K133">
        <v>0.04781400501577115</v>
      </c>
      <c r="L133" t="s">
        <v>899</v>
      </c>
      <c r="M133" t="s">
        <v>589</v>
      </c>
      <c r="N133">
        <v>33.49794238683128</v>
      </c>
      <c r="O133">
        <v>4.86</v>
      </c>
      <c r="P133">
        <v>2.08</v>
      </c>
      <c r="Q133">
        <v>0.4279835390946502</v>
      </c>
      <c r="R133">
        <v>33</v>
      </c>
      <c r="S133">
        <v>0.08997698704834534</v>
      </c>
      <c r="T133" t="s">
        <v>946</v>
      </c>
      <c r="U133">
        <v>-0.09606075715461201</v>
      </c>
      <c r="V133" t="s">
        <v>988</v>
      </c>
      <c r="W133" t="s">
        <v>1000</v>
      </c>
      <c r="X133">
        <v>11864.099654</v>
      </c>
      <c r="Y133" s="2">
        <v>45065</v>
      </c>
      <c r="Z133" t="s">
        <v>1008</v>
      </c>
    </row>
    <row r="134" spans="1:26">
      <c r="A134" s="1" t="s">
        <v>158</v>
      </c>
      <c r="B134">
        <f>HYPERLINK("https://www.suredividend.com/sure-analysis-FELE/","Franklin Electric Co., Inc.")</f>
        <v>0</v>
      </c>
      <c r="C134" t="s">
        <v>897</v>
      </c>
      <c r="D134">
        <v>97</v>
      </c>
      <c r="E134">
        <v>97.90000000000001</v>
      </c>
      <c r="F134">
        <v>84</v>
      </c>
      <c r="G134">
        <v>1.165476190476191</v>
      </c>
      <c r="H134">
        <v>0.009193054136874362</v>
      </c>
      <c r="I134">
        <v>-0.03016172689054386</v>
      </c>
      <c r="J134">
        <v>0.07000000000000001</v>
      </c>
      <c r="K134">
        <v>0.04775617628126971</v>
      </c>
      <c r="L134" t="s">
        <v>899</v>
      </c>
      <c r="M134" t="s">
        <v>589</v>
      </c>
      <c r="N134">
        <v>22.25</v>
      </c>
      <c r="O134">
        <v>4.4</v>
      </c>
      <c r="P134">
        <v>0.9</v>
      </c>
      <c r="Q134">
        <v>0.2045454545454545</v>
      </c>
      <c r="R134">
        <v>31</v>
      </c>
      <c r="S134">
        <v>0.08607365672211231</v>
      </c>
      <c r="T134" t="s">
        <v>950</v>
      </c>
      <c r="U134">
        <v>0.36625558050511</v>
      </c>
      <c r="V134" t="s">
        <v>988</v>
      </c>
      <c r="W134" t="s">
        <v>993</v>
      </c>
      <c r="X134">
        <v>4521.090041</v>
      </c>
      <c r="Y134" s="2">
        <v>45049</v>
      </c>
      <c r="Z134" t="s">
        <v>1007</v>
      </c>
    </row>
    <row r="135" spans="1:26">
      <c r="A135" s="1" t="s">
        <v>159</v>
      </c>
      <c r="B135">
        <f>HYPERLINK("https://www.suredividend.com/sure-analysis-SHW/","Sherwin-Williams Co.")</f>
        <v>0</v>
      </c>
      <c r="C135" t="s">
        <v>897</v>
      </c>
      <c r="D135">
        <v>236</v>
      </c>
      <c r="E135">
        <v>247.04</v>
      </c>
      <c r="F135">
        <v>191</v>
      </c>
      <c r="G135">
        <v>1.293403141361257</v>
      </c>
      <c r="H135">
        <v>0.009795984455958549</v>
      </c>
      <c r="I135">
        <v>-0.05015395722536531</v>
      </c>
      <c r="J135">
        <v>0.09</v>
      </c>
      <c r="K135">
        <v>0.04686380428477466</v>
      </c>
      <c r="L135" t="s">
        <v>899</v>
      </c>
      <c r="M135" t="s">
        <v>589</v>
      </c>
      <c r="N135">
        <v>29.76385542168674</v>
      </c>
      <c r="O135">
        <v>8.300000000000001</v>
      </c>
      <c r="P135">
        <v>2.42</v>
      </c>
      <c r="Q135">
        <v>0.2915662650602409</v>
      </c>
      <c r="R135">
        <v>45</v>
      </c>
      <c r="S135">
        <v>0.1101175267224515</v>
      </c>
      <c r="T135" t="s">
        <v>908</v>
      </c>
      <c r="U135">
        <v>0.07929903232698</v>
      </c>
      <c r="V135" t="s">
        <v>988</v>
      </c>
      <c r="W135" t="s">
        <v>992</v>
      </c>
      <c r="X135">
        <v>63709.223665</v>
      </c>
      <c r="Y135" s="2">
        <v>45041</v>
      </c>
      <c r="Z135" t="s">
        <v>1017</v>
      </c>
    </row>
    <row r="136" spans="1:26">
      <c r="A136" s="1" t="s">
        <v>160</v>
      </c>
      <c r="B136">
        <f>HYPERLINK("https://www.suredividend.com/sure-analysis-CB/","Chubb Limited")</f>
        <v>0</v>
      </c>
      <c r="C136" t="s">
        <v>897</v>
      </c>
      <c r="D136">
        <v>190</v>
      </c>
      <c r="E136">
        <v>193.24</v>
      </c>
      <c r="F136">
        <v>175</v>
      </c>
      <c r="G136">
        <v>1.104228571428572</v>
      </c>
      <c r="H136">
        <v>0.01780169737114469</v>
      </c>
      <c r="I136">
        <v>-0.01963408382172194</v>
      </c>
      <c r="J136">
        <v>0.05</v>
      </c>
      <c r="K136">
        <v>0.04666792498837879</v>
      </c>
      <c r="L136" t="s">
        <v>899</v>
      </c>
      <c r="M136" t="s">
        <v>900</v>
      </c>
      <c r="N136">
        <v>10.64683195592287</v>
      </c>
      <c r="O136">
        <v>18.15</v>
      </c>
      <c r="P136">
        <v>3.44</v>
      </c>
      <c r="Q136">
        <v>0.1895316804407714</v>
      </c>
      <c r="R136">
        <v>31</v>
      </c>
      <c r="S136">
        <v>0.04023417129032292</v>
      </c>
      <c r="T136" t="s">
        <v>902</v>
      </c>
      <c r="U136">
        <v>0.010544723559225</v>
      </c>
      <c r="V136" t="s">
        <v>988</v>
      </c>
      <c r="W136" t="s">
        <v>994</v>
      </c>
      <c r="X136">
        <v>80035.07825399999</v>
      </c>
      <c r="Y136" s="2">
        <v>45078</v>
      </c>
      <c r="Z136" t="s">
        <v>1008</v>
      </c>
    </row>
    <row r="137" spans="1:26">
      <c r="A137" s="1" t="s">
        <v>161</v>
      </c>
      <c r="B137">
        <f>HYPERLINK("https://www.suredividend.com/sure-analysis-GWW/","W.W. Grainger Inc.")</f>
        <v>0</v>
      </c>
      <c r="C137" t="s">
        <v>897</v>
      </c>
      <c r="D137">
        <v>692</v>
      </c>
      <c r="E137">
        <v>737.9</v>
      </c>
      <c r="F137">
        <v>639</v>
      </c>
      <c r="G137">
        <v>1.154773082942097</v>
      </c>
      <c r="H137">
        <v>0.01008266702805258</v>
      </c>
      <c r="I137">
        <v>-0.02837055043856906</v>
      </c>
      <c r="J137">
        <v>0.065</v>
      </c>
      <c r="K137">
        <v>0.04509588293299949</v>
      </c>
      <c r="L137" t="s">
        <v>899</v>
      </c>
      <c r="M137" t="s">
        <v>900</v>
      </c>
      <c r="N137">
        <v>20.78591549295774</v>
      </c>
      <c r="O137">
        <v>35.5</v>
      </c>
      <c r="P137">
        <v>7.44</v>
      </c>
      <c r="Q137">
        <v>0.2095774647887324</v>
      </c>
      <c r="R137">
        <v>52</v>
      </c>
      <c r="S137">
        <v>0.06028946075110442</v>
      </c>
      <c r="T137" t="s">
        <v>907</v>
      </c>
      <c r="U137">
        <v>0.623899647887324</v>
      </c>
      <c r="V137" t="s">
        <v>988</v>
      </c>
      <c r="W137" t="s">
        <v>993</v>
      </c>
      <c r="X137">
        <v>37018.202736</v>
      </c>
      <c r="Y137" s="2">
        <v>45044</v>
      </c>
      <c r="Z137" t="s">
        <v>1012</v>
      </c>
    </row>
    <row r="138" spans="1:26">
      <c r="A138" s="1" t="s">
        <v>162</v>
      </c>
      <c r="B138">
        <f>HYPERLINK("https://www.suredividend.com/sure-analysis-UNF/","Unifirst Corp.")</f>
        <v>0</v>
      </c>
      <c r="C138" t="s">
        <v>897</v>
      </c>
      <c r="D138">
        <v>169</v>
      </c>
      <c r="E138">
        <v>165.73</v>
      </c>
      <c r="F138">
        <v>155</v>
      </c>
      <c r="G138">
        <v>1.069225806451613</v>
      </c>
      <c r="H138">
        <v>0.007482049116032101</v>
      </c>
      <c r="I138">
        <v>-0.01329776129773319</v>
      </c>
      <c r="J138">
        <v>0.05</v>
      </c>
      <c r="K138">
        <v>0.0446244538894085</v>
      </c>
      <c r="L138" t="s">
        <v>899</v>
      </c>
      <c r="M138" t="s">
        <v>791</v>
      </c>
      <c r="N138">
        <v>23.50780141843972</v>
      </c>
      <c r="O138">
        <v>7.05</v>
      </c>
      <c r="P138">
        <v>1.24</v>
      </c>
      <c r="Q138">
        <v>0.175886524822695</v>
      </c>
      <c r="R138">
        <v>5</v>
      </c>
      <c r="S138">
        <v>0.1003267269360468</v>
      </c>
      <c r="T138" t="s">
        <v>951</v>
      </c>
      <c r="U138">
        <v>0.015957515284113</v>
      </c>
      <c r="V138" t="s">
        <v>988</v>
      </c>
      <c r="W138" t="s">
        <v>993</v>
      </c>
      <c r="X138">
        <v>2503.144819</v>
      </c>
      <c r="Y138" s="2">
        <v>45033</v>
      </c>
      <c r="Z138" t="s">
        <v>1010</v>
      </c>
    </row>
    <row r="139" spans="1:26">
      <c r="A139" s="1" t="s">
        <v>163</v>
      </c>
      <c r="B139">
        <f>HYPERLINK("https://www.suredividend.com/sure-analysis-SRCE/","1st Source Corp.")</f>
        <v>0</v>
      </c>
      <c r="C139" t="s">
        <v>897</v>
      </c>
      <c r="D139">
        <v>43</v>
      </c>
      <c r="E139">
        <v>41.88</v>
      </c>
      <c r="F139">
        <v>50</v>
      </c>
      <c r="G139">
        <v>0.8376</v>
      </c>
      <c r="H139">
        <v>0.03056351480420248</v>
      </c>
      <c r="I139">
        <v>0.03607851110434401</v>
      </c>
      <c r="J139">
        <v>-0.02</v>
      </c>
      <c r="K139">
        <v>0.04416133970272029</v>
      </c>
      <c r="L139" t="s">
        <v>899</v>
      </c>
      <c r="M139" t="s">
        <v>899</v>
      </c>
      <c r="N139">
        <v>9.204395604395605</v>
      </c>
      <c r="O139">
        <v>4.55</v>
      </c>
      <c r="P139">
        <v>1.28</v>
      </c>
      <c r="Q139">
        <v>0.2813186813186813</v>
      </c>
      <c r="R139">
        <v>35</v>
      </c>
      <c r="S139">
        <v>0.01953427031337696</v>
      </c>
      <c r="T139" t="s">
        <v>952</v>
      </c>
      <c r="U139">
        <v>-0.070477678591245</v>
      </c>
      <c r="V139" t="s">
        <v>988</v>
      </c>
      <c r="W139" t="s">
        <v>994</v>
      </c>
      <c r="X139">
        <v>1034.249718</v>
      </c>
      <c r="Y139" s="2">
        <v>45037</v>
      </c>
      <c r="Z139" t="s">
        <v>1004</v>
      </c>
    </row>
    <row r="140" spans="1:26">
      <c r="A140" s="1" t="s">
        <v>164</v>
      </c>
      <c r="B140">
        <f>HYPERLINK("https://www.suredividend.com/sure-analysis-MSEX/","Middlesex Water Co.")</f>
        <v>0</v>
      </c>
      <c r="C140" t="s">
        <v>897</v>
      </c>
      <c r="D140">
        <v>73.40000000000001</v>
      </c>
      <c r="E140">
        <v>78.26000000000001</v>
      </c>
      <c r="F140">
        <v>78.59999999999999</v>
      </c>
      <c r="G140">
        <v>0.995674300254453</v>
      </c>
      <c r="H140">
        <v>0.01597239969332993</v>
      </c>
      <c r="I140">
        <v>0.0008673924980597825</v>
      </c>
      <c r="J140">
        <v>0.027</v>
      </c>
      <c r="K140">
        <v>0.04339910300142713</v>
      </c>
      <c r="L140" t="s">
        <v>899</v>
      </c>
      <c r="M140" t="s">
        <v>900</v>
      </c>
      <c r="N140">
        <v>29.87022900763359</v>
      </c>
      <c r="O140">
        <v>2.62</v>
      </c>
      <c r="P140">
        <v>1.25</v>
      </c>
      <c r="Q140">
        <v>0.4770992366412213</v>
      </c>
      <c r="R140">
        <v>50</v>
      </c>
      <c r="S140">
        <v>0.03713728933664817</v>
      </c>
      <c r="T140" t="s">
        <v>943</v>
      </c>
      <c r="U140">
        <v>-0.072574098674987</v>
      </c>
      <c r="V140" t="s">
        <v>988</v>
      </c>
      <c r="W140" t="s">
        <v>999</v>
      </c>
      <c r="X140">
        <v>1383.72226</v>
      </c>
      <c r="Y140" s="2">
        <v>45063</v>
      </c>
      <c r="Z140" t="s">
        <v>1013</v>
      </c>
    </row>
    <row r="141" spans="1:26">
      <c r="A141" s="1" t="s">
        <v>165</v>
      </c>
      <c r="B141">
        <f>HYPERLINK("https://www.suredividend.com/sure-analysis-GATX/","GATX Corp.")</f>
        <v>0</v>
      </c>
      <c r="C141" t="s">
        <v>897</v>
      </c>
      <c r="D141">
        <v>113</v>
      </c>
      <c r="E141">
        <v>122.32</v>
      </c>
      <c r="F141">
        <v>114</v>
      </c>
      <c r="G141">
        <v>1.072982456140351</v>
      </c>
      <c r="H141">
        <v>0.01798561151079137</v>
      </c>
      <c r="I141">
        <v>-0.01398964523566859</v>
      </c>
      <c r="J141">
        <v>0.04</v>
      </c>
      <c r="K141">
        <v>0.04316671733939925</v>
      </c>
      <c r="L141" t="s">
        <v>899</v>
      </c>
      <c r="M141" t="s">
        <v>589</v>
      </c>
      <c r="N141">
        <v>18.25671641791045</v>
      </c>
      <c r="O141">
        <v>6.7</v>
      </c>
      <c r="P141">
        <v>2.2</v>
      </c>
      <c r="Q141">
        <v>0.3283582089552239</v>
      </c>
      <c r="R141">
        <v>18</v>
      </c>
      <c r="S141">
        <v>0.04026125343417397</v>
      </c>
      <c r="T141" t="s">
        <v>916</v>
      </c>
      <c r="U141">
        <v>0.330505248273236</v>
      </c>
      <c r="V141" t="s">
        <v>988</v>
      </c>
      <c r="W141" t="s">
        <v>993</v>
      </c>
      <c r="X141">
        <v>4317.896</v>
      </c>
      <c r="Y141" s="2">
        <v>45041</v>
      </c>
      <c r="Z141" t="s">
        <v>1012</v>
      </c>
    </row>
    <row r="142" spans="1:26">
      <c r="A142" s="1" t="s">
        <v>166</v>
      </c>
      <c r="B142">
        <f>HYPERLINK("https://www.suredividend.com/sure-analysis-CHD/","Church &amp; Dwight Co., Inc.")</f>
        <v>0</v>
      </c>
      <c r="C142" t="s">
        <v>897</v>
      </c>
      <c r="D142">
        <v>97</v>
      </c>
      <c r="E142">
        <v>97.12</v>
      </c>
      <c r="F142">
        <v>84</v>
      </c>
      <c r="G142">
        <v>1.156190476190476</v>
      </c>
      <c r="H142">
        <v>0.01122322899505766</v>
      </c>
      <c r="I142">
        <v>-0.02860889470293937</v>
      </c>
      <c r="J142">
        <v>0.06</v>
      </c>
      <c r="K142">
        <v>0.04168452818377477</v>
      </c>
      <c r="L142" t="s">
        <v>899</v>
      </c>
      <c r="M142" t="s">
        <v>589</v>
      </c>
      <c r="N142">
        <v>31.32903225806452</v>
      </c>
      <c r="O142">
        <v>3.1</v>
      </c>
      <c r="P142">
        <v>1.09</v>
      </c>
      <c r="Q142">
        <v>0.3516129032258065</v>
      </c>
      <c r="R142">
        <v>27</v>
      </c>
      <c r="S142">
        <v>0.07017052810122615</v>
      </c>
      <c r="T142" t="s">
        <v>931</v>
      </c>
      <c r="U142">
        <v>0.07362844850076701</v>
      </c>
      <c r="V142" t="s">
        <v>988</v>
      </c>
      <c r="W142" t="s">
        <v>997</v>
      </c>
      <c r="X142">
        <v>23722.91968</v>
      </c>
      <c r="Y142" s="2">
        <v>45048</v>
      </c>
      <c r="Z142" t="s">
        <v>1004</v>
      </c>
    </row>
    <row r="143" spans="1:26">
      <c r="A143" s="1" t="s">
        <v>167</v>
      </c>
      <c r="B143">
        <f>HYPERLINK("https://www.suredividend.com/sure-analysis-MCK/","Mckesson Corporation")</f>
        <v>0</v>
      </c>
      <c r="C143" t="s">
        <v>897</v>
      </c>
      <c r="D143">
        <v>389</v>
      </c>
      <c r="E143">
        <v>415.76</v>
      </c>
      <c r="F143">
        <v>345</v>
      </c>
      <c r="G143">
        <v>1.205101449275362</v>
      </c>
      <c r="H143">
        <v>0.00519530498364441</v>
      </c>
      <c r="I143">
        <v>-0.03662520794426483</v>
      </c>
      <c r="J143">
        <v>0.07000000000000001</v>
      </c>
      <c r="K143">
        <v>0.03641318908419167</v>
      </c>
      <c r="L143" t="s">
        <v>899</v>
      </c>
      <c r="M143" t="s">
        <v>589</v>
      </c>
      <c r="N143">
        <v>15.65951035781544</v>
      </c>
      <c r="O143">
        <v>26.55</v>
      </c>
      <c r="P143">
        <v>2.16</v>
      </c>
      <c r="Q143">
        <v>0.08135593220338984</v>
      </c>
      <c r="R143">
        <v>15</v>
      </c>
      <c r="S143">
        <v>0.07003448782339894</v>
      </c>
      <c r="T143" t="s">
        <v>912</v>
      </c>
      <c r="U143">
        <v>0.349134078465205</v>
      </c>
      <c r="V143" t="s">
        <v>988</v>
      </c>
      <c r="W143" t="s">
        <v>996</v>
      </c>
      <c r="X143">
        <v>56537.376644</v>
      </c>
      <c r="Y143" s="2">
        <v>45058</v>
      </c>
      <c r="Z143" t="s">
        <v>1004</v>
      </c>
    </row>
    <row r="144" spans="1:26">
      <c r="A144" s="1" t="s">
        <v>168</v>
      </c>
      <c r="B144">
        <f>HYPERLINK("https://www.suredividend.com/sure-analysis-ANDE/","Andersons Inc.")</f>
        <v>0</v>
      </c>
      <c r="C144" t="s">
        <v>897</v>
      </c>
      <c r="D144">
        <v>37</v>
      </c>
      <c r="E144">
        <v>45.24</v>
      </c>
      <c r="F144">
        <v>41</v>
      </c>
      <c r="G144">
        <v>1.103414634146342</v>
      </c>
      <c r="H144">
        <v>0.01635720601237842</v>
      </c>
      <c r="I144">
        <v>-0.01948949247720655</v>
      </c>
      <c r="J144">
        <v>0.04</v>
      </c>
      <c r="K144">
        <v>0.03622728036618428</v>
      </c>
      <c r="L144" t="s">
        <v>899</v>
      </c>
      <c r="M144" t="s">
        <v>900</v>
      </c>
      <c r="N144">
        <v>14.36190476190476</v>
      </c>
      <c r="O144">
        <v>3.15</v>
      </c>
      <c r="P144">
        <v>0.74</v>
      </c>
      <c r="Q144">
        <v>0.2349206349206349</v>
      </c>
      <c r="R144">
        <v>27</v>
      </c>
      <c r="S144">
        <v>0.03992533304330625</v>
      </c>
      <c r="T144" t="s">
        <v>924</v>
      </c>
      <c r="U144">
        <v>0.423953516919677</v>
      </c>
      <c r="V144" t="s">
        <v>988</v>
      </c>
      <c r="W144" t="s">
        <v>997</v>
      </c>
      <c r="X144">
        <v>1526.054409</v>
      </c>
      <c r="Y144" s="2">
        <v>45058</v>
      </c>
      <c r="Z144" t="s">
        <v>1006</v>
      </c>
    </row>
    <row r="145" spans="1:26">
      <c r="A145" s="1" t="s">
        <v>169</v>
      </c>
      <c r="B145">
        <f>HYPERLINK("https://www.suredividend.com/sure-analysis-AFL/","Aflac Inc.")</f>
        <v>0</v>
      </c>
      <c r="C145" t="s">
        <v>898</v>
      </c>
      <c r="D145">
        <v>70</v>
      </c>
      <c r="E145">
        <v>67.14</v>
      </c>
      <c r="F145">
        <v>58</v>
      </c>
      <c r="G145">
        <v>1.157586206896552</v>
      </c>
      <c r="H145">
        <v>0.02502234137622877</v>
      </c>
      <c r="I145">
        <v>-0.02884325388027642</v>
      </c>
      <c r="J145">
        <v>0.04</v>
      </c>
      <c r="K145">
        <v>0.03571721068343603</v>
      </c>
      <c r="L145" t="s">
        <v>899</v>
      </c>
      <c r="M145" t="s">
        <v>900</v>
      </c>
      <c r="N145">
        <v>11.59585492227979</v>
      </c>
      <c r="O145">
        <v>5.79</v>
      </c>
      <c r="P145">
        <v>1.68</v>
      </c>
      <c r="Q145">
        <v>0.2901554404145077</v>
      </c>
      <c r="R145">
        <v>41</v>
      </c>
      <c r="S145">
        <v>0.03959498820755258</v>
      </c>
      <c r="T145" t="s">
        <v>922</v>
      </c>
      <c r="U145">
        <v>0.233408959391562</v>
      </c>
      <c r="V145" t="s">
        <v>988</v>
      </c>
      <c r="W145" t="s">
        <v>994</v>
      </c>
      <c r="X145">
        <v>40567.800444</v>
      </c>
      <c r="Y145" s="2">
        <v>45045</v>
      </c>
      <c r="Z145" t="s">
        <v>1003</v>
      </c>
    </row>
    <row r="146" spans="1:26">
      <c r="A146" s="1" t="s">
        <v>170</v>
      </c>
      <c r="B146">
        <f>HYPERLINK("https://www.suredividend.com/sure-analysis-ECL/","Ecolab, Inc.")</f>
        <v>0</v>
      </c>
      <c r="C146" t="s">
        <v>897</v>
      </c>
      <c r="D146">
        <v>170</v>
      </c>
      <c r="E146">
        <v>178.15</v>
      </c>
      <c r="F146">
        <v>98</v>
      </c>
      <c r="G146">
        <v>1.817857142857143</v>
      </c>
      <c r="H146">
        <v>0.01190008419870895</v>
      </c>
      <c r="I146">
        <v>-0.1126641058021696</v>
      </c>
      <c r="J146">
        <v>0.15</v>
      </c>
      <c r="K146">
        <v>0.03449600703228262</v>
      </c>
      <c r="L146" t="s">
        <v>899</v>
      </c>
      <c r="M146" t="s">
        <v>791</v>
      </c>
      <c r="N146">
        <v>36.35714285714285</v>
      </c>
      <c r="O146">
        <v>4.9</v>
      </c>
      <c r="P146">
        <v>2.12</v>
      </c>
      <c r="Q146">
        <v>0.4326530612244898</v>
      </c>
      <c r="R146">
        <v>31</v>
      </c>
      <c r="S146">
        <v>0.09319698831383527</v>
      </c>
      <c r="T146" t="s">
        <v>953</v>
      </c>
      <c r="U146">
        <v>0.130789464330146</v>
      </c>
      <c r="V146" t="s">
        <v>988</v>
      </c>
      <c r="W146" t="s">
        <v>992</v>
      </c>
      <c r="X146">
        <v>50723.039024</v>
      </c>
      <c r="Y146" s="2">
        <v>45049</v>
      </c>
      <c r="Z146" t="s">
        <v>1007</v>
      </c>
    </row>
    <row r="147" spans="1:26">
      <c r="A147" s="1" t="s">
        <v>171</v>
      </c>
      <c r="B147">
        <f>HYPERLINK("https://www.suredividend.com/sure-analysis-MCD/","McDonald`s Corp")</f>
        <v>0</v>
      </c>
      <c r="C147" t="s">
        <v>898</v>
      </c>
      <c r="D147">
        <v>297</v>
      </c>
      <c r="E147">
        <v>289.91</v>
      </c>
      <c r="F147">
        <v>231</v>
      </c>
      <c r="G147">
        <v>1.255021645021645</v>
      </c>
      <c r="H147">
        <v>0.02097202580111069</v>
      </c>
      <c r="I147">
        <v>-0.04441404756301981</v>
      </c>
      <c r="J147">
        <v>0.06</v>
      </c>
      <c r="K147">
        <v>0.03443686344306141</v>
      </c>
      <c r="L147" t="s">
        <v>899</v>
      </c>
      <c r="M147" t="s">
        <v>900</v>
      </c>
      <c r="N147">
        <v>26.33151680290645</v>
      </c>
      <c r="O147">
        <v>11.01</v>
      </c>
      <c r="P147">
        <v>6.08</v>
      </c>
      <c r="Q147">
        <v>0.5522252497729337</v>
      </c>
      <c r="R147">
        <v>48</v>
      </c>
      <c r="S147">
        <v>0.04007732447526613</v>
      </c>
      <c r="T147" t="s">
        <v>918</v>
      </c>
      <c r="U147">
        <v>0.19562792220727</v>
      </c>
      <c r="V147" t="s">
        <v>988</v>
      </c>
      <c r="W147" t="s">
        <v>995</v>
      </c>
      <c r="X147">
        <v>211661.521389</v>
      </c>
      <c r="Y147" s="2">
        <v>45058</v>
      </c>
      <c r="Z147" t="s">
        <v>1016</v>
      </c>
    </row>
    <row r="148" spans="1:26">
      <c r="A148" s="1" t="s">
        <v>172</v>
      </c>
      <c r="B148">
        <f>HYPERLINK("https://www.suredividend.com/sure-analysis-MGRC/","McGrath Rentcorp")</f>
        <v>0</v>
      </c>
      <c r="C148" t="s">
        <v>898</v>
      </c>
      <c r="D148">
        <v>91</v>
      </c>
      <c r="E148">
        <v>91.81</v>
      </c>
      <c r="F148">
        <v>85</v>
      </c>
      <c r="G148">
        <v>1.080117647058824</v>
      </c>
      <c r="H148">
        <v>0.02025923102058599</v>
      </c>
      <c r="I148">
        <v>-0.01529580596143465</v>
      </c>
      <c r="J148">
        <v>0.03</v>
      </c>
      <c r="K148">
        <v>0.0343896787211746</v>
      </c>
      <c r="L148" t="s">
        <v>899</v>
      </c>
      <c r="M148" t="s">
        <v>900</v>
      </c>
      <c r="N148">
        <v>19.49256900212314</v>
      </c>
      <c r="O148">
        <v>4.71</v>
      </c>
      <c r="P148">
        <v>1.86</v>
      </c>
      <c r="Q148">
        <v>0.3949044585987261</v>
      </c>
      <c r="R148">
        <v>31</v>
      </c>
      <c r="S148">
        <v>0.03035803310185115</v>
      </c>
      <c r="T148" t="s">
        <v>911</v>
      </c>
      <c r="U148">
        <v>0.24221669584701</v>
      </c>
      <c r="V148" t="s">
        <v>988</v>
      </c>
      <c r="W148" t="s">
        <v>993</v>
      </c>
      <c r="X148">
        <v>2247.209316</v>
      </c>
      <c r="Y148" s="2">
        <v>45069</v>
      </c>
      <c r="Z148" t="s">
        <v>1003</v>
      </c>
    </row>
    <row r="149" spans="1:26">
      <c r="A149" s="1" t="s">
        <v>173</v>
      </c>
      <c r="B149">
        <f>HYPERLINK("https://www.suredividend.com/sure-analysis-MSFT/","Microsoft Corporation")</f>
        <v>0</v>
      </c>
      <c r="C149" t="s">
        <v>897</v>
      </c>
      <c r="D149">
        <v>296</v>
      </c>
      <c r="E149">
        <v>335.02</v>
      </c>
      <c r="F149">
        <v>233</v>
      </c>
      <c r="G149">
        <v>1.437854077253219</v>
      </c>
      <c r="H149">
        <v>0.008118918273535908</v>
      </c>
      <c r="I149">
        <v>-0.07005548471079137</v>
      </c>
      <c r="J149">
        <v>0.1</v>
      </c>
      <c r="K149">
        <v>0.03239942625224046</v>
      </c>
      <c r="L149" t="s">
        <v>899</v>
      </c>
      <c r="M149" t="s">
        <v>791</v>
      </c>
      <c r="N149">
        <v>34.53814432989691</v>
      </c>
      <c r="O149">
        <v>9.699999999999999</v>
      </c>
      <c r="P149">
        <v>2.72</v>
      </c>
      <c r="Q149">
        <v>0.2804123711340207</v>
      </c>
      <c r="R149">
        <v>21</v>
      </c>
      <c r="S149">
        <v>0.08869163325077611</v>
      </c>
      <c r="T149" t="s">
        <v>937</v>
      </c>
      <c r="U149">
        <v>0.266334742975852</v>
      </c>
      <c r="V149" t="s">
        <v>988</v>
      </c>
      <c r="W149" t="s">
        <v>1000</v>
      </c>
      <c r="X149">
        <v>2491037.047377</v>
      </c>
      <c r="Y149" s="2">
        <v>45042</v>
      </c>
      <c r="Z149" t="s">
        <v>1007</v>
      </c>
    </row>
    <row r="150" spans="1:26">
      <c r="A150" s="1" t="s">
        <v>174</v>
      </c>
      <c r="B150">
        <f>HYPERLINK("https://www.suredividend.com/sure-analysis-MATW/","Matthews International Corp.")</f>
        <v>0</v>
      </c>
      <c r="C150" t="s">
        <v>897</v>
      </c>
      <c r="D150">
        <v>38</v>
      </c>
      <c r="E150">
        <v>39.8</v>
      </c>
      <c r="F150">
        <v>32</v>
      </c>
      <c r="G150">
        <v>1.24375</v>
      </c>
      <c r="H150">
        <v>0.02311557788944724</v>
      </c>
      <c r="I150">
        <v>-0.04268826809053905</v>
      </c>
      <c r="J150">
        <v>0.05</v>
      </c>
      <c r="K150">
        <v>0.03012448021142022</v>
      </c>
      <c r="L150" t="s">
        <v>899</v>
      </c>
      <c r="M150" t="s">
        <v>900</v>
      </c>
      <c r="N150">
        <v>14.52554744525547</v>
      </c>
      <c r="O150">
        <v>2.74</v>
      </c>
      <c r="P150">
        <v>0.92</v>
      </c>
      <c r="Q150">
        <v>0.3357664233576642</v>
      </c>
      <c r="R150">
        <v>29</v>
      </c>
      <c r="S150">
        <v>0.04925151964895069</v>
      </c>
      <c r="T150" t="s">
        <v>907</v>
      </c>
      <c r="U150">
        <v>0.4109272415308911</v>
      </c>
      <c r="V150" t="s">
        <v>988</v>
      </c>
      <c r="W150" t="s">
        <v>993</v>
      </c>
      <c r="X150">
        <v>1212.235086</v>
      </c>
      <c r="Y150" s="2">
        <v>45050</v>
      </c>
      <c r="Z150" t="s">
        <v>1010</v>
      </c>
    </row>
    <row r="151" spans="1:26">
      <c r="A151" s="1" t="s">
        <v>175</v>
      </c>
      <c r="B151">
        <f>HYPERLINK("https://www.suredividend.com/sure-analysis-LANC/","Lancaster Colony Corp.")</f>
        <v>0</v>
      </c>
      <c r="C151" t="s">
        <v>898</v>
      </c>
      <c r="D151">
        <v>219</v>
      </c>
      <c r="E151">
        <v>200.33</v>
      </c>
      <c r="F151">
        <v>144</v>
      </c>
      <c r="G151">
        <v>1.391180555555556</v>
      </c>
      <c r="H151">
        <v>0.01697199620625967</v>
      </c>
      <c r="I151">
        <v>-0.06389772605969535</v>
      </c>
      <c r="J151">
        <v>0.08</v>
      </c>
      <c r="K151">
        <v>0.02970004931675674</v>
      </c>
      <c r="L151" t="s">
        <v>899</v>
      </c>
      <c r="M151" t="s">
        <v>589</v>
      </c>
      <c r="N151">
        <v>40.47070707070707</v>
      </c>
      <c r="O151">
        <v>4.95</v>
      </c>
      <c r="P151">
        <v>3.4</v>
      </c>
      <c r="Q151">
        <v>0.6868686868686869</v>
      </c>
      <c r="R151">
        <v>60</v>
      </c>
      <c r="S151">
        <v>0.06000153927394081</v>
      </c>
      <c r="T151" t="s">
        <v>926</v>
      </c>
      <c r="U151">
        <v>0.547871358159954</v>
      </c>
      <c r="V151" t="s">
        <v>988</v>
      </c>
      <c r="W151" t="s">
        <v>997</v>
      </c>
      <c r="X151">
        <v>5513.48226</v>
      </c>
      <c r="Y151" s="2">
        <v>45052</v>
      </c>
      <c r="Z151" t="s">
        <v>1004</v>
      </c>
    </row>
    <row r="152" spans="1:26">
      <c r="A152" s="1" t="s">
        <v>176</v>
      </c>
      <c r="B152">
        <f>HYPERLINK("https://www.suredividend.com/sure-analysis-ABT/","Abbott Laboratories")</f>
        <v>0</v>
      </c>
      <c r="C152" t="s">
        <v>898</v>
      </c>
      <c r="D152">
        <v>110</v>
      </c>
      <c r="E152">
        <v>108.05</v>
      </c>
      <c r="F152">
        <v>88</v>
      </c>
      <c r="G152">
        <v>1.227840909090909</v>
      </c>
      <c r="H152">
        <v>0.01888014807959278</v>
      </c>
      <c r="I152">
        <v>-0.04022025553690201</v>
      </c>
      <c r="J152">
        <v>0.05</v>
      </c>
      <c r="K152">
        <v>0.0293456282668263</v>
      </c>
      <c r="L152" t="s">
        <v>899</v>
      </c>
      <c r="M152" t="s">
        <v>900</v>
      </c>
      <c r="N152">
        <v>24.55681818181818</v>
      </c>
      <c r="O152">
        <v>4.4</v>
      </c>
      <c r="P152">
        <v>2.04</v>
      </c>
      <c r="Q152">
        <v>0.4636363636363636</v>
      </c>
      <c r="R152">
        <v>51</v>
      </c>
      <c r="S152">
        <v>0.06990981876632385</v>
      </c>
      <c r="T152" t="s">
        <v>911</v>
      </c>
      <c r="U152">
        <v>0.005788051926775</v>
      </c>
      <c r="V152" t="s">
        <v>988</v>
      </c>
      <c r="W152" t="s">
        <v>996</v>
      </c>
      <c r="X152">
        <v>187893.201632</v>
      </c>
      <c r="Y152" s="2">
        <v>45036</v>
      </c>
      <c r="Z152" t="s">
        <v>1003</v>
      </c>
    </row>
    <row r="153" spans="1:26">
      <c r="A153" s="1" t="s">
        <v>177</v>
      </c>
      <c r="B153">
        <f>HYPERLINK("https://www.suredividend.com/sure-analysis-MSA/","MSA Safety Inc")</f>
        <v>0</v>
      </c>
      <c r="C153" t="s">
        <v>897</v>
      </c>
      <c r="D153">
        <v>140</v>
      </c>
      <c r="E153">
        <v>162.32</v>
      </c>
      <c r="F153">
        <v>132</v>
      </c>
      <c r="G153">
        <v>1.22969696969697</v>
      </c>
      <c r="H153">
        <v>0.01158206012814194</v>
      </c>
      <c r="I153">
        <v>-0.04051016206044156</v>
      </c>
      <c r="J153">
        <v>0.06</v>
      </c>
      <c r="K153">
        <v>0.02897996158178451</v>
      </c>
      <c r="L153" t="s">
        <v>899</v>
      </c>
      <c r="M153" t="s">
        <v>900</v>
      </c>
      <c r="N153">
        <v>27.05333333333333</v>
      </c>
      <c r="O153">
        <v>6</v>
      </c>
      <c r="P153">
        <v>1.88</v>
      </c>
      <c r="Q153">
        <v>0.3133333333333333</v>
      </c>
      <c r="R153">
        <v>53</v>
      </c>
      <c r="S153">
        <v>0.04024473558263919</v>
      </c>
      <c r="T153" t="s">
        <v>954</v>
      </c>
      <c r="U153">
        <v>0.3681749294924631</v>
      </c>
      <c r="V153" t="s">
        <v>988</v>
      </c>
      <c r="W153" t="s">
        <v>993</v>
      </c>
      <c r="X153">
        <v>6373.831452</v>
      </c>
      <c r="Y153" s="2">
        <v>45049</v>
      </c>
      <c r="Z153" t="s">
        <v>1012</v>
      </c>
    </row>
    <row r="154" spans="1:26">
      <c r="A154" s="1" t="s">
        <v>178</v>
      </c>
      <c r="B154">
        <f>HYPERLINK("https://www.suredividend.com/sure-analysis-ABC/","Amerisource Bergen Corp.")</f>
        <v>0</v>
      </c>
      <c r="C154" t="s">
        <v>897</v>
      </c>
      <c r="D154">
        <v>168</v>
      </c>
      <c r="E154">
        <v>187.67</v>
      </c>
      <c r="F154">
        <v>159</v>
      </c>
      <c r="G154">
        <v>1.180314465408805</v>
      </c>
      <c r="H154">
        <v>0.01033729418660415</v>
      </c>
      <c r="I154">
        <v>-0.03261253860619695</v>
      </c>
      <c r="J154">
        <v>0.05</v>
      </c>
      <c r="K154">
        <v>0.027433149292031</v>
      </c>
      <c r="L154" t="s">
        <v>899</v>
      </c>
      <c r="M154" t="s">
        <v>589</v>
      </c>
      <c r="N154">
        <v>15.90423728813559</v>
      </c>
      <c r="O154">
        <v>11.8</v>
      </c>
      <c r="P154">
        <v>1.94</v>
      </c>
      <c r="Q154">
        <v>0.1644067796610169</v>
      </c>
      <c r="R154">
        <v>19</v>
      </c>
      <c r="S154">
        <v>0.06992524489229845</v>
      </c>
      <c r="T154" t="s">
        <v>943</v>
      </c>
      <c r="U154">
        <v>0.315391487728987</v>
      </c>
      <c r="V154" t="s">
        <v>988</v>
      </c>
      <c r="W154" t="s">
        <v>996</v>
      </c>
      <c r="X154">
        <v>37998.475169</v>
      </c>
      <c r="Y154" s="2">
        <v>45057</v>
      </c>
      <c r="Z154" t="s">
        <v>1010</v>
      </c>
    </row>
    <row r="155" spans="1:26">
      <c r="A155" s="1" t="s">
        <v>179</v>
      </c>
      <c r="B155">
        <f>HYPERLINK("https://www.suredividend.com/sure-analysis-ATR/","Aptargroup Inc.")</f>
        <v>0</v>
      </c>
      <c r="C155" t="s">
        <v>898</v>
      </c>
      <c r="D155">
        <v>121</v>
      </c>
      <c r="E155">
        <v>112.83</v>
      </c>
      <c r="F155">
        <v>85</v>
      </c>
      <c r="G155">
        <v>1.327411764705882</v>
      </c>
      <c r="H155">
        <v>0.01400336789860853</v>
      </c>
      <c r="I155">
        <v>-0.05507167500592558</v>
      </c>
      <c r="J155">
        <v>0.07000000000000001</v>
      </c>
      <c r="K155">
        <v>0.02572741991259186</v>
      </c>
      <c r="L155" t="s">
        <v>899</v>
      </c>
      <c r="M155" t="s">
        <v>589</v>
      </c>
      <c r="N155">
        <v>26.67375886524822</v>
      </c>
      <c r="O155">
        <v>4.23</v>
      </c>
      <c r="P155">
        <v>1.58</v>
      </c>
      <c r="Q155">
        <v>0.3735224586288416</v>
      </c>
      <c r="R155">
        <v>28</v>
      </c>
      <c r="S155">
        <v>0.03974975894363819</v>
      </c>
      <c r="T155" t="s">
        <v>950</v>
      </c>
      <c r="U155">
        <v>0.114998072989238</v>
      </c>
      <c r="V155" t="s">
        <v>988</v>
      </c>
      <c r="W155" t="s">
        <v>995</v>
      </c>
      <c r="X155">
        <v>7379.14101</v>
      </c>
      <c r="Y155" s="2">
        <v>45062</v>
      </c>
      <c r="Z155" t="s">
        <v>1011</v>
      </c>
    </row>
    <row r="156" spans="1:26">
      <c r="A156" s="1" t="s">
        <v>180</v>
      </c>
      <c r="B156">
        <f>HYPERLINK("https://www.suredividend.com/sure-analysis-TMP/","Tompkins Financial Corp")</f>
        <v>0</v>
      </c>
      <c r="C156" t="s">
        <v>898</v>
      </c>
      <c r="D156">
        <v>59</v>
      </c>
      <c r="E156">
        <v>56.93</v>
      </c>
      <c r="F156">
        <v>57</v>
      </c>
      <c r="G156">
        <v>0.9987719298245614</v>
      </c>
      <c r="H156">
        <v>0.04215703495520815</v>
      </c>
      <c r="I156">
        <v>0.0002457951769974098</v>
      </c>
      <c r="J156">
        <v>-0.02</v>
      </c>
      <c r="K156">
        <v>0.02453015064867037</v>
      </c>
      <c r="L156" t="s">
        <v>899</v>
      </c>
      <c r="M156" t="s">
        <v>899</v>
      </c>
      <c r="N156">
        <v>11.05436893203883</v>
      </c>
      <c r="O156">
        <v>5.15</v>
      </c>
      <c r="P156">
        <v>2.4</v>
      </c>
      <c r="Q156">
        <v>0.4660194174757281</v>
      </c>
      <c r="R156">
        <v>36</v>
      </c>
      <c r="S156">
        <v>0.02001586442069092</v>
      </c>
      <c r="T156" t="s">
        <v>955</v>
      </c>
      <c r="U156">
        <v>-0.177802843100866</v>
      </c>
      <c r="V156" t="s">
        <v>988</v>
      </c>
      <c r="W156" t="s">
        <v>994</v>
      </c>
      <c r="X156">
        <v>826.559611</v>
      </c>
      <c r="Y156" s="2">
        <v>45047</v>
      </c>
      <c r="Z156" t="s">
        <v>1004</v>
      </c>
    </row>
    <row r="157" spans="1:26">
      <c r="A157" s="1" t="s">
        <v>181</v>
      </c>
      <c r="B157">
        <f>HYPERLINK("https://www.suredividend.com/sure-analysis-PG/","Procter &amp; Gamble Co.")</f>
        <v>0</v>
      </c>
      <c r="C157" t="s">
        <v>898</v>
      </c>
      <c r="D157">
        <v>156</v>
      </c>
      <c r="E157">
        <v>148.46</v>
      </c>
      <c r="F157">
        <v>120</v>
      </c>
      <c r="G157">
        <v>1.237166666666667</v>
      </c>
      <c r="H157">
        <v>0.02532668732318469</v>
      </c>
      <c r="I157">
        <v>-0.04167160145985804</v>
      </c>
      <c r="J157">
        <v>0.04</v>
      </c>
      <c r="K157">
        <v>0.02440005536333012</v>
      </c>
      <c r="L157" t="s">
        <v>899</v>
      </c>
      <c r="M157" t="s">
        <v>900</v>
      </c>
      <c r="N157">
        <v>24.74333333333334</v>
      </c>
      <c r="O157">
        <v>6</v>
      </c>
      <c r="P157">
        <v>3.76</v>
      </c>
      <c r="Q157">
        <v>0.6266666666666666</v>
      </c>
      <c r="R157">
        <v>67</v>
      </c>
      <c r="S157">
        <v>0.04474812797648475</v>
      </c>
      <c r="T157" t="s">
        <v>915</v>
      </c>
      <c r="U157">
        <v>0.05560971308832301</v>
      </c>
      <c r="V157" t="s">
        <v>988</v>
      </c>
      <c r="W157" t="s">
        <v>997</v>
      </c>
      <c r="X157">
        <v>349915.665544</v>
      </c>
      <c r="Y157" s="2">
        <v>45042</v>
      </c>
      <c r="Z157" t="s">
        <v>1007</v>
      </c>
    </row>
    <row r="158" spans="1:26">
      <c r="A158" s="1" t="s">
        <v>182</v>
      </c>
      <c r="B158">
        <f>HYPERLINK("https://www.suredividend.com/sure-analysis-LIN/","Linde Plc.")</f>
        <v>0</v>
      </c>
      <c r="C158" t="s">
        <v>898</v>
      </c>
      <c r="D158">
        <v>367</v>
      </c>
      <c r="E158">
        <v>370.59</v>
      </c>
      <c r="F158">
        <v>287</v>
      </c>
      <c r="G158">
        <v>1.291254355400697</v>
      </c>
      <c r="H158">
        <v>0.013761839229337</v>
      </c>
      <c r="I158">
        <v>-0.04983803827416045</v>
      </c>
      <c r="J158">
        <v>0.06</v>
      </c>
      <c r="K158">
        <v>0.02311348209347464</v>
      </c>
      <c r="L158" t="s">
        <v>899</v>
      </c>
      <c r="M158" t="s">
        <v>589</v>
      </c>
      <c r="N158">
        <v>27.14945054945055</v>
      </c>
      <c r="O158">
        <v>13.65</v>
      </c>
      <c r="P158">
        <v>5.1</v>
      </c>
      <c r="Q158">
        <v>0.3736263736263736</v>
      </c>
      <c r="R158">
        <v>30</v>
      </c>
      <c r="S158">
        <v>0.06990981876632385</v>
      </c>
      <c r="T158" t="s">
        <v>930</v>
      </c>
      <c r="U158">
        <v>0.06133483783849501</v>
      </c>
      <c r="V158" t="s">
        <v>988</v>
      </c>
      <c r="W158" t="s">
        <v>992</v>
      </c>
      <c r="X158">
        <v>181714.058872</v>
      </c>
      <c r="Y158" s="2">
        <v>45059</v>
      </c>
      <c r="Z158" t="s">
        <v>1008</v>
      </c>
    </row>
    <row r="159" spans="1:26">
      <c r="A159" s="1" t="s">
        <v>183</v>
      </c>
      <c r="B159">
        <f>HYPERLINK("https://www.suredividend.com/sure-analysis-TR/","Tootsie Roll Industries, Inc.")</f>
        <v>0</v>
      </c>
      <c r="C159" t="s">
        <v>898</v>
      </c>
      <c r="D159">
        <v>37</v>
      </c>
      <c r="E159">
        <v>36.91</v>
      </c>
      <c r="F159">
        <v>34</v>
      </c>
      <c r="G159">
        <v>1.085588235294118</v>
      </c>
      <c r="H159">
        <v>0.009753454348415064</v>
      </c>
      <c r="I159">
        <v>-0.01629025347348612</v>
      </c>
      <c r="J159">
        <v>0.03</v>
      </c>
      <c r="K159">
        <v>0.02231073935756767</v>
      </c>
      <c r="L159" t="s">
        <v>899</v>
      </c>
      <c r="M159" t="s">
        <v>589</v>
      </c>
      <c r="N159">
        <v>32.66371681415929</v>
      </c>
      <c r="O159">
        <v>1.13</v>
      </c>
      <c r="P159">
        <v>0.36</v>
      </c>
      <c r="Q159">
        <v>0.3185840707964602</v>
      </c>
      <c r="R159">
        <v>56</v>
      </c>
      <c r="S159">
        <v>0</v>
      </c>
      <c r="T159" t="s">
        <v>953</v>
      </c>
      <c r="U159">
        <v>0.098129520375345</v>
      </c>
      <c r="V159" t="s">
        <v>988</v>
      </c>
      <c r="W159" t="s">
        <v>997</v>
      </c>
      <c r="X159">
        <v>1508.565441</v>
      </c>
      <c r="Y159" s="2">
        <v>45063</v>
      </c>
      <c r="Z159" t="s">
        <v>1016</v>
      </c>
    </row>
    <row r="160" spans="1:26">
      <c r="A160" s="1" t="s">
        <v>184</v>
      </c>
      <c r="B160">
        <f>HYPERLINK("https://www.suredividend.com/sure-analysis-CTAS/","Cintas Corporation")</f>
        <v>0</v>
      </c>
      <c r="C160" t="s">
        <v>898</v>
      </c>
      <c r="D160">
        <v>463</v>
      </c>
      <c r="E160">
        <v>482.59</v>
      </c>
      <c r="F160">
        <v>360</v>
      </c>
      <c r="G160">
        <v>1.340527777777778</v>
      </c>
      <c r="H160">
        <v>0.009531900785345739</v>
      </c>
      <c r="I160">
        <v>-0.05692803101850663</v>
      </c>
      <c r="J160">
        <v>0.07000000000000001</v>
      </c>
      <c r="K160">
        <v>0.02114468704177463</v>
      </c>
      <c r="L160" t="s">
        <v>899</v>
      </c>
      <c r="M160" t="s">
        <v>589</v>
      </c>
      <c r="N160">
        <v>37.5556420233463</v>
      </c>
      <c r="O160">
        <v>12.85</v>
      </c>
      <c r="P160">
        <v>4.6</v>
      </c>
      <c r="Q160">
        <v>0.3579766536964981</v>
      </c>
      <c r="R160">
        <v>40</v>
      </c>
      <c r="S160">
        <v>0.1000491131904697</v>
      </c>
      <c r="T160" t="s">
        <v>931</v>
      </c>
      <c r="U160">
        <v>0.288987608261443</v>
      </c>
      <c r="V160" t="s">
        <v>988</v>
      </c>
      <c r="W160" t="s">
        <v>993</v>
      </c>
      <c r="X160">
        <v>49080.273592</v>
      </c>
      <c r="Y160" s="2">
        <v>45021</v>
      </c>
      <c r="Z160" t="s">
        <v>1004</v>
      </c>
    </row>
    <row r="161" spans="1:26">
      <c r="A161" s="1" t="s">
        <v>185</v>
      </c>
      <c r="B161">
        <f>HYPERLINK("https://www.suredividend.com/sure-analysis-HEI/","Heico Corp.")</f>
        <v>0</v>
      </c>
      <c r="C161" t="s">
        <v>898</v>
      </c>
      <c r="D161">
        <v>165</v>
      </c>
      <c r="E161">
        <v>173.74</v>
      </c>
      <c r="F161">
        <v>102</v>
      </c>
      <c r="G161">
        <v>1.703333333333333</v>
      </c>
      <c r="H161">
        <v>0.001151145389662714</v>
      </c>
      <c r="I161">
        <v>-0.1010406146430233</v>
      </c>
      <c r="J161">
        <v>0.12</v>
      </c>
      <c r="K161">
        <v>0.008328376117706204</v>
      </c>
      <c r="L161" t="s">
        <v>899</v>
      </c>
      <c r="M161" t="s">
        <v>791</v>
      </c>
      <c r="N161">
        <v>56.04516129032258</v>
      </c>
      <c r="O161">
        <v>3.1</v>
      </c>
      <c r="P161">
        <v>0.2</v>
      </c>
      <c r="Q161">
        <v>0.06451612903225806</v>
      </c>
      <c r="R161">
        <v>9</v>
      </c>
      <c r="S161">
        <v>0.09856054330611763</v>
      </c>
      <c r="T161" t="s">
        <v>956</v>
      </c>
      <c r="U161">
        <v>0.317988410137602</v>
      </c>
      <c r="V161" t="s">
        <v>988</v>
      </c>
      <c r="W161" t="s">
        <v>993</v>
      </c>
      <c r="X161">
        <v>25750.049768</v>
      </c>
      <c r="Y161" s="2">
        <v>45086</v>
      </c>
      <c r="Z161" t="s">
        <v>1014</v>
      </c>
    </row>
    <row r="162" spans="1:26">
      <c r="A162" s="1" t="s">
        <v>186</v>
      </c>
      <c r="B162">
        <f>HYPERLINK("https://www.suredividend.com/sure-analysis-CWT/","California Water Service Group")</f>
        <v>0</v>
      </c>
      <c r="C162" t="s">
        <v>898</v>
      </c>
      <c r="D162">
        <v>56</v>
      </c>
      <c r="E162">
        <v>50.28</v>
      </c>
      <c r="F162">
        <v>36</v>
      </c>
      <c r="G162">
        <v>1.396666666666667</v>
      </c>
      <c r="H162">
        <v>0.02068416865552904</v>
      </c>
      <c r="I162">
        <v>-0.06463428679799554</v>
      </c>
      <c r="J162">
        <v>0.05</v>
      </c>
      <c r="K162">
        <v>0.007351664320766504</v>
      </c>
      <c r="L162" t="s">
        <v>899</v>
      </c>
      <c r="M162" t="s">
        <v>900</v>
      </c>
      <c r="N162">
        <v>27.93333333333333</v>
      </c>
      <c r="O162">
        <v>1.8</v>
      </c>
      <c r="P162">
        <v>1.04</v>
      </c>
      <c r="Q162">
        <v>0.5777777777777778</v>
      </c>
      <c r="R162">
        <v>55</v>
      </c>
      <c r="S162">
        <v>0.05973259432914246</v>
      </c>
      <c r="T162" t="s">
        <v>907</v>
      </c>
      <c r="U162">
        <v>0.051551576723834</v>
      </c>
      <c r="V162" t="s">
        <v>988</v>
      </c>
      <c r="W162" t="s">
        <v>999</v>
      </c>
      <c r="X162">
        <v>2926.64957</v>
      </c>
      <c r="Y162" s="2">
        <v>45071</v>
      </c>
      <c r="Z162" t="s">
        <v>1008</v>
      </c>
    </row>
    <row r="163" spans="1:26">
      <c r="A163" s="1" t="s">
        <v>187</v>
      </c>
      <c r="B163">
        <f>HYPERLINK("https://www.suredividend.com/sure-analysis-BF.B/","Brown-Forman Corp.")</f>
        <v>0</v>
      </c>
      <c r="C163" t="s">
        <v>898</v>
      </c>
      <c r="D163">
        <v>64</v>
      </c>
      <c r="E163">
        <v>65.04000000000001</v>
      </c>
      <c r="F163">
        <v>42</v>
      </c>
      <c r="G163">
        <v>1.548571428571429</v>
      </c>
      <c r="H163">
        <v>0.01260762607626076</v>
      </c>
      <c r="I163">
        <v>-0.08375049808249191</v>
      </c>
      <c r="J163">
        <v>0.08</v>
      </c>
      <c r="K163">
        <v>0.00480877774072086</v>
      </c>
      <c r="L163" t="s">
        <v>899</v>
      </c>
      <c r="M163" t="s">
        <v>589</v>
      </c>
      <c r="N163">
        <v>36.95454545454546</v>
      </c>
      <c r="O163">
        <v>1.76</v>
      </c>
      <c r="P163">
        <v>0.82</v>
      </c>
      <c r="Q163">
        <v>0.4659090909090909</v>
      </c>
      <c r="R163">
        <v>39</v>
      </c>
      <c r="S163">
        <v>0.06051243834129849</v>
      </c>
      <c r="T163" t="s">
        <v>951</v>
      </c>
      <c r="U163">
        <v>-0.079705120767478</v>
      </c>
      <c r="V163" t="s">
        <v>988</v>
      </c>
      <c r="W163" t="s">
        <v>997</v>
      </c>
      <c r="X163">
        <v>31418.208335</v>
      </c>
      <c r="Y163" s="2">
        <v>45034</v>
      </c>
      <c r="Z163" t="s">
        <v>1008</v>
      </c>
    </row>
    <row r="164" spans="1:26">
      <c r="A164" s="1" t="s">
        <v>188</v>
      </c>
      <c r="B164">
        <f>HYPERLINK("https://www.suredividend.com/sure-analysis-AMAT/","Applied Materials Inc.")</f>
        <v>0</v>
      </c>
      <c r="C164" t="s">
        <v>898</v>
      </c>
      <c r="D164">
        <v>127</v>
      </c>
      <c r="E164">
        <v>136.07</v>
      </c>
      <c r="F164">
        <v>118</v>
      </c>
      <c r="G164">
        <v>1.153135593220339</v>
      </c>
      <c r="H164">
        <v>0.009406922907327111</v>
      </c>
      <c r="I164">
        <v>-0.02809475801863259</v>
      </c>
      <c r="J164">
        <v>0.02</v>
      </c>
      <c r="K164">
        <v>0.004087344645242519</v>
      </c>
      <c r="L164" t="s">
        <v>899</v>
      </c>
      <c r="M164" t="s">
        <v>791</v>
      </c>
      <c r="N164">
        <v>18.51292517006803</v>
      </c>
      <c r="O164">
        <v>7.35</v>
      </c>
      <c r="P164">
        <v>1.28</v>
      </c>
      <c r="Q164">
        <v>0.1741496598639456</v>
      </c>
      <c r="R164">
        <v>6</v>
      </c>
      <c r="S164">
        <v>0.09984491222048941</v>
      </c>
      <c r="T164" t="s">
        <v>947</v>
      </c>
      <c r="U164">
        <v>0.415137509724065</v>
      </c>
      <c r="V164" t="s">
        <v>988</v>
      </c>
      <c r="W164" t="s">
        <v>1000</v>
      </c>
      <c r="X164">
        <v>114264.430759</v>
      </c>
      <c r="Y164" s="2">
        <v>45068</v>
      </c>
      <c r="Z164" t="s">
        <v>1004</v>
      </c>
    </row>
    <row r="165" spans="1:26">
      <c r="A165" s="1" t="s">
        <v>189</v>
      </c>
      <c r="B165">
        <f>HYPERLINK("https://www.suredividend.com/sure-analysis-XOM/","Exxon Mobil Corp.")</f>
        <v>0</v>
      </c>
      <c r="C165" t="s">
        <v>898</v>
      </c>
      <c r="D165">
        <v>106</v>
      </c>
      <c r="E165">
        <v>102.4</v>
      </c>
      <c r="F165">
        <v>137</v>
      </c>
      <c r="G165">
        <v>0.7474452554744526</v>
      </c>
      <c r="H165">
        <v>0.035546875</v>
      </c>
      <c r="I165">
        <v>0.05994693192025236</v>
      </c>
      <c r="J165">
        <v>-0.09</v>
      </c>
      <c r="K165">
        <v>0.003660842297105615</v>
      </c>
      <c r="L165" t="s">
        <v>899</v>
      </c>
      <c r="M165" t="s">
        <v>899</v>
      </c>
      <c r="N165">
        <v>9.752380952380953</v>
      </c>
      <c r="O165">
        <v>10.5</v>
      </c>
      <c r="P165">
        <v>3.64</v>
      </c>
      <c r="Q165">
        <v>0.3466666666666667</v>
      </c>
      <c r="R165">
        <v>40</v>
      </c>
      <c r="S165">
        <v>0.01075516236974039</v>
      </c>
      <c r="T165" t="s">
        <v>954</v>
      </c>
      <c r="U165">
        <v>0.219110025870372</v>
      </c>
      <c r="V165" t="s">
        <v>988</v>
      </c>
      <c r="W165" t="s">
        <v>1002</v>
      </c>
      <c r="X165">
        <v>414001.65847</v>
      </c>
      <c r="Y165" s="2">
        <v>45051</v>
      </c>
      <c r="Z165" t="s">
        <v>1007</v>
      </c>
    </row>
    <row r="166" spans="1:26">
      <c r="A166" s="1" t="s">
        <v>190</v>
      </c>
      <c r="B166">
        <f>HYPERLINK("https://www.suredividend.com/sure-analysis-EXPD/","Expeditors International Of Washington, Inc.")</f>
        <v>0</v>
      </c>
      <c r="C166" t="s">
        <v>898</v>
      </c>
      <c r="D166">
        <v>113</v>
      </c>
      <c r="E166">
        <v>114.45</v>
      </c>
      <c r="F166">
        <v>98</v>
      </c>
      <c r="G166">
        <v>1.167857142857143</v>
      </c>
      <c r="H166">
        <v>0.01205766710353866</v>
      </c>
      <c r="I166">
        <v>-0.03055749860904555</v>
      </c>
      <c r="J166">
        <v>0.02</v>
      </c>
      <c r="K166">
        <v>0.002653126545846485</v>
      </c>
      <c r="L166" t="s">
        <v>899</v>
      </c>
      <c r="M166" t="s">
        <v>589</v>
      </c>
      <c r="N166">
        <v>21</v>
      </c>
      <c r="O166">
        <v>5.45</v>
      </c>
      <c r="P166">
        <v>1.38</v>
      </c>
      <c r="Q166">
        <v>0.2532110091743119</v>
      </c>
      <c r="R166">
        <v>28</v>
      </c>
      <c r="S166">
        <v>0.04012620718096094</v>
      </c>
      <c r="T166" t="s">
        <v>912</v>
      </c>
      <c r="U166">
        <v>0.15954862201653</v>
      </c>
      <c r="V166" t="s">
        <v>988</v>
      </c>
      <c r="W166" t="s">
        <v>993</v>
      </c>
      <c r="X166">
        <v>17487.065115</v>
      </c>
      <c r="Y166" s="2">
        <v>45062</v>
      </c>
      <c r="Z166" t="s">
        <v>1011</v>
      </c>
    </row>
    <row r="167" spans="1:26">
      <c r="A167" s="1" t="s">
        <v>191</v>
      </c>
      <c r="B167">
        <f>HYPERLINK("https://www.suredividend.com/sure-analysis-CVX/","Chevron Corp.")</f>
        <v>0</v>
      </c>
      <c r="C167" t="s">
        <v>898</v>
      </c>
      <c r="D167">
        <v>156</v>
      </c>
      <c r="E167">
        <v>151.35</v>
      </c>
      <c r="F167">
        <v>193</v>
      </c>
      <c r="G167">
        <v>0.7841968911917098</v>
      </c>
      <c r="H167">
        <v>0.03990749917409977</v>
      </c>
      <c r="I167">
        <v>0.04982032521852364</v>
      </c>
      <c r="J167">
        <v>-0.09</v>
      </c>
      <c r="K167">
        <v>0.0004750921406444508</v>
      </c>
      <c r="L167" t="s">
        <v>899</v>
      </c>
      <c r="M167" t="s">
        <v>899</v>
      </c>
      <c r="N167">
        <v>10.96739130434782</v>
      </c>
      <c r="O167">
        <v>13.8</v>
      </c>
      <c r="P167">
        <v>6.04</v>
      </c>
      <c r="Q167">
        <v>0.4376811594202898</v>
      </c>
      <c r="R167">
        <v>36</v>
      </c>
      <c r="S167">
        <v>0.01164608941450673</v>
      </c>
      <c r="T167" t="s">
        <v>908</v>
      </c>
      <c r="U167">
        <v>0.06934413699710701</v>
      </c>
      <c r="V167" t="s">
        <v>988</v>
      </c>
      <c r="W167" t="s">
        <v>1002</v>
      </c>
      <c r="X167">
        <v>289198.381856</v>
      </c>
      <c r="Y167" s="2">
        <v>45051</v>
      </c>
      <c r="Z167" t="s">
        <v>1007</v>
      </c>
    </row>
    <row r="168" spans="1:26">
      <c r="A168" s="1" t="s">
        <v>192</v>
      </c>
      <c r="B168">
        <f>HYPERLINK("https://www.suredividend.com/sure-analysis-MLI/","Mueller Industries, Inc.")</f>
        <v>0</v>
      </c>
      <c r="C168" t="s">
        <v>898</v>
      </c>
      <c r="D168">
        <v>74</v>
      </c>
      <c r="E168">
        <v>83.75</v>
      </c>
      <c r="F168">
        <v>70</v>
      </c>
      <c r="G168">
        <v>1.196428571428571</v>
      </c>
      <c r="H168">
        <v>0.01432835820895522</v>
      </c>
      <c r="I168">
        <v>-0.03523254478121962</v>
      </c>
      <c r="J168">
        <v>0.01</v>
      </c>
      <c r="K168">
        <v>-0.009521448028591117</v>
      </c>
      <c r="L168" t="s">
        <v>899</v>
      </c>
      <c r="M168" t="s">
        <v>589</v>
      </c>
      <c r="N168">
        <v>11.96428571428571</v>
      </c>
      <c r="O168">
        <v>7</v>
      </c>
      <c r="P168">
        <v>1.2</v>
      </c>
      <c r="Q168">
        <v>0.1714285714285714</v>
      </c>
      <c r="R168">
        <v>3</v>
      </c>
      <c r="S168">
        <v>0.01456924404965632</v>
      </c>
      <c r="T168" t="s">
        <v>930</v>
      </c>
      <c r="U168">
        <v>0.594063043052074</v>
      </c>
      <c r="V168" t="s">
        <v>988</v>
      </c>
      <c r="W168" t="s">
        <v>993</v>
      </c>
      <c r="X168">
        <v>4773.75</v>
      </c>
      <c r="Y168" s="2">
        <v>45057</v>
      </c>
      <c r="Z168" t="s">
        <v>1015</v>
      </c>
    </row>
    <row r="169" spans="1:26">
      <c r="A169" s="1" t="s">
        <v>193</v>
      </c>
      <c r="B169">
        <f>HYPERLINK("https://www.suredividend.com/sure-analysis-RLI/","RLI Corp.")</f>
        <v>0</v>
      </c>
      <c r="C169" t="s">
        <v>898</v>
      </c>
      <c r="D169">
        <v>130</v>
      </c>
      <c r="E169">
        <v>131.32</v>
      </c>
      <c r="F169">
        <v>95</v>
      </c>
      <c r="G169">
        <v>1.382315789473684</v>
      </c>
      <c r="H169">
        <v>0.008224185196466647</v>
      </c>
      <c r="I169">
        <v>-0.06270015275821084</v>
      </c>
      <c r="J169">
        <v>0.03</v>
      </c>
      <c r="K169">
        <v>-0.02382955481838844</v>
      </c>
      <c r="L169" t="s">
        <v>899</v>
      </c>
      <c r="M169" t="s">
        <v>589</v>
      </c>
      <c r="N169">
        <v>26.264</v>
      </c>
      <c r="O169">
        <v>5</v>
      </c>
      <c r="P169">
        <v>1.08</v>
      </c>
      <c r="Q169">
        <v>0.216</v>
      </c>
      <c r="R169">
        <v>48</v>
      </c>
      <c r="S169">
        <v>0.05024607263868264</v>
      </c>
      <c r="T169" t="s">
        <v>934</v>
      </c>
      <c r="U169">
        <v>0.161013225401187</v>
      </c>
      <c r="V169" t="s">
        <v>988</v>
      </c>
      <c r="W169" t="s">
        <v>994</v>
      </c>
      <c r="X169">
        <v>5982.242679</v>
      </c>
      <c r="Y169" s="2">
        <v>45064</v>
      </c>
      <c r="Z169" t="s">
        <v>1008</v>
      </c>
    </row>
    <row r="170" spans="1:26">
      <c r="A170" s="1" t="s">
        <v>194</v>
      </c>
      <c r="B170">
        <f>HYPERLINK("https://www.suredividend.com/sure-analysis-AAPL/","Apple Inc")</f>
        <v>0</v>
      </c>
      <c r="C170" t="s">
        <v>898</v>
      </c>
      <c r="D170">
        <v>171</v>
      </c>
      <c r="E170">
        <v>186.68</v>
      </c>
      <c r="F170">
        <v>111</v>
      </c>
      <c r="G170">
        <v>1.681801801801802</v>
      </c>
      <c r="H170">
        <v>0.00514248982215556</v>
      </c>
      <c r="I170">
        <v>-0.0987504989056156</v>
      </c>
      <c r="J170">
        <v>0.07000000000000001</v>
      </c>
      <c r="K170">
        <v>-0.02694992313211197</v>
      </c>
      <c r="L170" t="s">
        <v>899</v>
      </c>
      <c r="M170" t="s">
        <v>791</v>
      </c>
      <c r="N170">
        <v>30.35447154471545</v>
      </c>
      <c r="O170">
        <v>6.15</v>
      </c>
      <c r="P170">
        <v>0.96</v>
      </c>
      <c r="Q170">
        <v>0.1560975609756097</v>
      </c>
      <c r="R170">
        <v>11</v>
      </c>
      <c r="S170">
        <v>0.1364753777798011</v>
      </c>
      <c r="T170" t="s">
        <v>931</v>
      </c>
      <c r="U170">
        <v>0.3291818354642631</v>
      </c>
      <c r="V170" t="s">
        <v>988</v>
      </c>
      <c r="W170" t="s">
        <v>1000</v>
      </c>
      <c r="X170">
        <v>2936234.08936</v>
      </c>
      <c r="Y170" s="2">
        <v>45055</v>
      </c>
      <c r="Z170" t="s">
        <v>1017</v>
      </c>
    </row>
    <row r="171" spans="1:26">
      <c r="A171" s="1" t="s">
        <v>195</v>
      </c>
      <c r="B171">
        <f>HYPERLINK("https://www.suredividend.com/sure-analysis-CAH/","Cardinal Health, Inc.")</f>
        <v>0</v>
      </c>
      <c r="C171" t="s">
        <v>898</v>
      </c>
      <c r="D171">
        <v>86</v>
      </c>
      <c r="E171">
        <v>91.72</v>
      </c>
      <c r="F171">
        <v>57</v>
      </c>
      <c r="G171">
        <v>1.609122807017544</v>
      </c>
      <c r="H171">
        <v>0.02180549498473616</v>
      </c>
      <c r="I171">
        <v>-0.09075240306819021</v>
      </c>
      <c r="J171">
        <v>0.03</v>
      </c>
      <c r="K171">
        <v>-0.03354291257624198</v>
      </c>
      <c r="L171" t="s">
        <v>899</v>
      </c>
      <c r="M171" t="s">
        <v>900</v>
      </c>
      <c r="N171">
        <v>16.09122807017544</v>
      </c>
      <c r="O171">
        <v>5.7</v>
      </c>
      <c r="P171">
        <v>2</v>
      </c>
      <c r="Q171">
        <v>0.3508771929824561</v>
      </c>
      <c r="R171">
        <v>36</v>
      </c>
      <c r="S171">
        <v>0.03971726473271953</v>
      </c>
      <c r="T171" t="s">
        <v>924</v>
      </c>
      <c r="U171">
        <v>0.735110061822281</v>
      </c>
      <c r="V171" t="s">
        <v>988</v>
      </c>
      <c r="W171" t="s">
        <v>996</v>
      </c>
      <c r="X171">
        <v>23351.928693</v>
      </c>
      <c r="Y171" s="2">
        <v>45069</v>
      </c>
      <c r="Z171" t="s">
        <v>1003</v>
      </c>
    </row>
    <row r="172" spans="1:26">
      <c r="A172" s="1" t="s">
        <v>196</v>
      </c>
      <c r="B172">
        <f>HYPERLINK("https://www.suredividend.com/sure-analysis-WST/","West Pharmaceutical Services, Inc.")</f>
        <v>0</v>
      </c>
      <c r="C172" t="s">
        <v>898</v>
      </c>
      <c r="D172">
        <v>356</v>
      </c>
      <c r="E172">
        <v>367</v>
      </c>
      <c r="F172">
        <v>190</v>
      </c>
      <c r="G172">
        <v>1.931578947368421</v>
      </c>
      <c r="H172">
        <v>0.002070844686648502</v>
      </c>
      <c r="I172">
        <v>-0.123367621463445</v>
      </c>
      <c r="J172">
        <v>0.09</v>
      </c>
      <c r="K172">
        <v>-0.04151501278220593</v>
      </c>
      <c r="L172" t="s">
        <v>899</v>
      </c>
      <c r="M172" t="s">
        <v>589</v>
      </c>
      <c r="N172">
        <v>48.41688654353562</v>
      </c>
      <c r="O172">
        <v>7.58</v>
      </c>
      <c r="P172">
        <v>0.76</v>
      </c>
      <c r="Q172">
        <v>0.1002638522427441</v>
      </c>
      <c r="R172">
        <v>30</v>
      </c>
      <c r="S172">
        <v>0.06061390336787298</v>
      </c>
      <c r="T172" t="s">
        <v>923</v>
      </c>
      <c r="U172">
        <v>0.221820719282861</v>
      </c>
      <c r="V172" t="s">
        <v>988</v>
      </c>
      <c r="W172" t="s">
        <v>996</v>
      </c>
      <c r="X172">
        <v>27247.028328</v>
      </c>
      <c r="Y172" s="2">
        <v>45064</v>
      </c>
      <c r="Z172" t="s">
        <v>1008</v>
      </c>
    </row>
    <row r="173" spans="1:26">
      <c r="A173" s="1" t="s">
        <v>197</v>
      </c>
      <c r="B173">
        <f>HYPERLINK("https://www.suredividend.com/sure-analysis-NUE/","Nucor Corp.")</f>
        <v>0</v>
      </c>
      <c r="C173" t="s">
        <v>898</v>
      </c>
      <c r="D173">
        <v>138</v>
      </c>
      <c r="E173">
        <v>153.79</v>
      </c>
      <c r="F173">
        <v>159</v>
      </c>
      <c r="G173">
        <v>0.9672327044025156</v>
      </c>
      <c r="H173">
        <v>0.01326484166720853</v>
      </c>
      <c r="I173">
        <v>0.006685482081746796</v>
      </c>
      <c r="J173">
        <v>-0.065</v>
      </c>
      <c r="K173">
        <v>-0.04169158503692116</v>
      </c>
      <c r="L173" t="s">
        <v>899</v>
      </c>
      <c r="M173" t="s">
        <v>900</v>
      </c>
      <c r="N173">
        <v>11.59803921568627</v>
      </c>
      <c r="O173">
        <v>13.26</v>
      </c>
      <c r="P173">
        <v>2.04</v>
      </c>
      <c r="Q173">
        <v>0.1538461538461539</v>
      </c>
      <c r="R173">
        <v>50</v>
      </c>
      <c r="S173">
        <v>0.01521611448235172</v>
      </c>
      <c r="T173" t="s">
        <v>906</v>
      </c>
      <c r="U173">
        <v>0.407847290816265</v>
      </c>
      <c r="V173" t="s">
        <v>988</v>
      </c>
      <c r="W173" t="s">
        <v>992</v>
      </c>
      <c r="X173">
        <v>38635.571021</v>
      </c>
      <c r="Y173" s="2">
        <v>45062</v>
      </c>
      <c r="Z173" t="s">
        <v>1013</v>
      </c>
    </row>
    <row r="174" spans="1:26">
      <c r="A174" s="1" t="s">
        <v>198</v>
      </c>
      <c r="B174">
        <f>HYPERLINK("https://www.suredividend.com/sure-analysis-NVDA/","NVIDIA Corp")</f>
        <v>0</v>
      </c>
      <c r="C174" t="s">
        <v>898</v>
      </c>
      <c r="D174">
        <v>389</v>
      </c>
      <c r="E174">
        <v>422.09</v>
      </c>
      <c r="F174">
        <v>186</v>
      </c>
      <c r="G174">
        <v>2.269301075268817</v>
      </c>
      <c r="H174">
        <v>0.000379066075955365</v>
      </c>
      <c r="I174">
        <v>-0.1511683271694819</v>
      </c>
      <c r="J174">
        <v>0.12</v>
      </c>
      <c r="K174">
        <v>-0.04884493759147412</v>
      </c>
      <c r="L174" t="s">
        <v>899</v>
      </c>
      <c r="M174" t="s">
        <v>791</v>
      </c>
      <c r="N174">
        <v>54.46322580645161</v>
      </c>
      <c r="O174">
        <v>7.75</v>
      </c>
      <c r="P174">
        <v>0.16</v>
      </c>
      <c r="Q174">
        <v>0.02064516129032258</v>
      </c>
      <c r="R174">
        <v>0</v>
      </c>
      <c r="S174">
        <v>0</v>
      </c>
      <c r="T174" t="s">
        <v>951</v>
      </c>
      <c r="U174">
        <v>1.466908395518898</v>
      </c>
      <c r="V174" t="s">
        <v>988</v>
      </c>
      <c r="W174" t="s">
        <v>1000</v>
      </c>
      <c r="X174">
        <v>1042562.3</v>
      </c>
      <c r="Y174" s="2">
        <v>45076</v>
      </c>
      <c r="Z174" t="s">
        <v>1008</v>
      </c>
    </row>
    <row r="175" spans="1:26">
      <c r="A175" s="1" t="s">
        <v>199</v>
      </c>
      <c r="B175">
        <f>HYPERLINK("https://www.suredividend.com/sure-analysis-BMI/","Badger Meter Inc.")</f>
        <v>0</v>
      </c>
      <c r="C175" t="s">
        <v>898</v>
      </c>
      <c r="D175">
        <v>134</v>
      </c>
      <c r="E175">
        <v>143.66</v>
      </c>
      <c r="F175">
        <v>67</v>
      </c>
      <c r="G175">
        <v>2.144179104477612</v>
      </c>
      <c r="H175">
        <v>0.006264791869692329</v>
      </c>
      <c r="I175">
        <v>-0.1414851965907783</v>
      </c>
      <c r="J175">
        <v>0.08</v>
      </c>
      <c r="K175">
        <v>-0.06192605918127325</v>
      </c>
      <c r="L175" t="s">
        <v>899</v>
      </c>
      <c r="M175" t="s">
        <v>791</v>
      </c>
      <c r="N175">
        <v>55.8988326848249</v>
      </c>
      <c r="O175">
        <v>2.57</v>
      </c>
      <c r="P175">
        <v>0.9</v>
      </c>
      <c r="Q175">
        <v>0.3501945525291829</v>
      </c>
      <c r="R175">
        <v>30</v>
      </c>
      <c r="S175">
        <v>0.09238846414037294</v>
      </c>
      <c r="T175" t="s">
        <v>946</v>
      </c>
      <c r="U175">
        <v>0.770766695386466</v>
      </c>
      <c r="V175" t="s">
        <v>988</v>
      </c>
      <c r="W175" t="s">
        <v>993</v>
      </c>
      <c r="X175">
        <v>4211.36819</v>
      </c>
      <c r="Y175" s="2">
        <v>45036</v>
      </c>
      <c r="Z175" t="s">
        <v>1003</v>
      </c>
    </row>
    <row r="176" spans="1:26">
      <c r="A176" s="1" t="s">
        <v>200</v>
      </c>
      <c r="B176">
        <f>HYPERLINK("https://www.suredividend.com/sure-analysis-TDS/","Telephone And Data Systems, Inc.")</f>
        <v>0</v>
      </c>
      <c r="C176" t="s">
        <v>897</v>
      </c>
      <c r="D176">
        <v>8</v>
      </c>
      <c r="E176">
        <v>7.28</v>
      </c>
      <c r="F176">
        <v>15</v>
      </c>
      <c r="G176">
        <v>0.4853333333333333</v>
      </c>
      <c r="H176">
        <v>0.1016483516483516</v>
      </c>
      <c r="I176">
        <v>0.1555586050332682</v>
      </c>
      <c r="J176">
        <v>0.0005</v>
      </c>
      <c r="K176">
        <v>0.2100485032786172</v>
      </c>
      <c r="L176" t="s">
        <v>900</v>
      </c>
      <c r="M176" t="s">
        <v>899</v>
      </c>
      <c r="N176">
        <v>6.5</v>
      </c>
      <c r="O176">
        <v>1.12</v>
      </c>
      <c r="P176">
        <v>0.74</v>
      </c>
      <c r="Q176">
        <v>0.6607142857142857</v>
      </c>
      <c r="R176">
        <v>49</v>
      </c>
      <c r="S176">
        <v>0.01316242385172517</v>
      </c>
      <c r="T176" t="s">
        <v>916</v>
      </c>
      <c r="U176">
        <v>-0.5169627039472371</v>
      </c>
      <c r="V176" t="s">
        <v>988</v>
      </c>
      <c r="W176" t="s">
        <v>998</v>
      </c>
      <c r="X176">
        <v>765.354408</v>
      </c>
      <c r="Y176" s="2">
        <v>45057</v>
      </c>
      <c r="Z176" t="s">
        <v>1010</v>
      </c>
    </row>
    <row r="177" spans="1:26">
      <c r="A177" s="1" t="s">
        <v>201</v>
      </c>
      <c r="B177">
        <f>HYPERLINK("https://www.suredividend.com/sure-analysis-CASS/","Cass Information Systems Inc")</f>
        <v>0</v>
      </c>
      <c r="C177" t="s">
        <v>896</v>
      </c>
      <c r="D177">
        <v>36</v>
      </c>
      <c r="E177">
        <v>40.02</v>
      </c>
      <c r="F177">
        <v>71</v>
      </c>
      <c r="G177">
        <v>0.563661971830986</v>
      </c>
      <c r="H177">
        <v>0.02898550724637681</v>
      </c>
      <c r="I177">
        <v>0.1214921883300062</v>
      </c>
      <c r="J177">
        <v>0.04</v>
      </c>
      <c r="K177">
        <v>0.1839816515613251</v>
      </c>
      <c r="L177" t="s">
        <v>900</v>
      </c>
      <c r="M177" t="s">
        <v>900</v>
      </c>
      <c r="N177">
        <v>13.03583061889251</v>
      </c>
      <c r="O177">
        <v>3.07</v>
      </c>
      <c r="P177">
        <v>1.16</v>
      </c>
      <c r="Q177">
        <v>0.3778501628664495</v>
      </c>
      <c r="R177">
        <v>22</v>
      </c>
      <c r="S177">
        <v>0.0499309672496191</v>
      </c>
      <c r="T177" t="s">
        <v>918</v>
      </c>
      <c r="U177">
        <v>0.171837254586182</v>
      </c>
      <c r="V177" t="s">
        <v>988</v>
      </c>
      <c r="W177" t="s">
        <v>994</v>
      </c>
      <c r="X177">
        <v>548.9340099999999</v>
      </c>
      <c r="Y177" s="2">
        <v>45042</v>
      </c>
      <c r="Z177" t="s">
        <v>1005</v>
      </c>
    </row>
    <row r="178" spans="1:26">
      <c r="A178" s="1" t="s">
        <v>202</v>
      </c>
      <c r="B178">
        <f>HYPERLINK("https://www.suredividend.com/sure-analysis-UGI/","UGI Corp.")</f>
        <v>0</v>
      </c>
      <c r="C178" t="s">
        <v>896</v>
      </c>
      <c r="D178">
        <v>29</v>
      </c>
      <c r="E178">
        <v>26.45</v>
      </c>
      <c r="F178">
        <v>39</v>
      </c>
      <c r="G178">
        <v>0.6782051282051282</v>
      </c>
      <c r="H178">
        <v>0.05671077504725898</v>
      </c>
      <c r="I178">
        <v>0.0807563256476822</v>
      </c>
      <c r="J178">
        <v>0.063</v>
      </c>
      <c r="K178">
        <v>0.1819914305712425</v>
      </c>
      <c r="L178" t="s">
        <v>900</v>
      </c>
      <c r="M178" t="s">
        <v>899</v>
      </c>
      <c r="N178">
        <v>9.446428571428571</v>
      </c>
      <c r="O178">
        <v>2.8</v>
      </c>
      <c r="P178">
        <v>1.5</v>
      </c>
      <c r="Q178">
        <v>0.5357142857142857</v>
      </c>
      <c r="R178">
        <v>36</v>
      </c>
      <c r="S178">
        <v>0.02534857565773274</v>
      </c>
      <c r="T178" t="s">
        <v>916</v>
      </c>
      <c r="U178">
        <v>-0.301074416416956</v>
      </c>
      <c r="V178" t="s">
        <v>988</v>
      </c>
      <c r="W178" t="s">
        <v>999</v>
      </c>
      <c r="X178">
        <v>5536.734038</v>
      </c>
      <c r="Y178" s="2">
        <v>45067</v>
      </c>
      <c r="Z178" t="s">
        <v>1013</v>
      </c>
    </row>
    <row r="179" spans="1:26">
      <c r="A179" s="1" t="s">
        <v>203</v>
      </c>
      <c r="B179">
        <f>HYPERLINK("https://www.suredividend.com/sure-analysis-SCHW/","Charles Schwab Corp.")</f>
        <v>0</v>
      </c>
      <c r="C179" t="s">
        <v>896</v>
      </c>
      <c r="D179">
        <v>54</v>
      </c>
      <c r="E179">
        <v>53.17</v>
      </c>
      <c r="F179">
        <v>76</v>
      </c>
      <c r="G179">
        <v>0.6996052631578947</v>
      </c>
      <c r="H179">
        <v>0.01880759826970096</v>
      </c>
      <c r="I179">
        <v>0.07406208594039443</v>
      </c>
      <c r="J179">
        <v>0.08</v>
      </c>
      <c r="K179">
        <v>0.1724840287446654</v>
      </c>
      <c r="L179" t="s">
        <v>900</v>
      </c>
      <c r="M179" t="s">
        <v>589</v>
      </c>
      <c r="N179">
        <v>13.9921052631579</v>
      </c>
      <c r="O179">
        <v>3.8</v>
      </c>
      <c r="P179">
        <v>1</v>
      </c>
      <c r="Q179">
        <v>0.2631578947368421</v>
      </c>
      <c r="R179">
        <v>2</v>
      </c>
      <c r="S179">
        <v>0.06961037572506878</v>
      </c>
      <c r="T179" t="s">
        <v>943</v>
      </c>
      <c r="U179">
        <v>-0.160522285551889</v>
      </c>
      <c r="V179" t="s">
        <v>988</v>
      </c>
      <c r="W179" t="s">
        <v>994</v>
      </c>
      <c r="X179">
        <v>94065.29141200001</v>
      </c>
      <c r="Y179" s="2">
        <v>45036</v>
      </c>
      <c r="Z179" t="s">
        <v>1006</v>
      </c>
    </row>
    <row r="180" spans="1:26">
      <c r="A180" s="1" t="s">
        <v>204</v>
      </c>
      <c r="B180">
        <f>HYPERLINK("https://www.suredividend.com/sure-analysis-BAX/","Baxter International Inc.")</f>
        <v>0</v>
      </c>
      <c r="C180" t="s">
        <v>896</v>
      </c>
      <c r="D180">
        <v>41</v>
      </c>
      <c r="E180">
        <v>45.04</v>
      </c>
      <c r="F180">
        <v>57</v>
      </c>
      <c r="G180">
        <v>0.7901754385964912</v>
      </c>
      <c r="H180">
        <v>0.02575488454706927</v>
      </c>
      <c r="I180">
        <v>0.04822688606128689</v>
      </c>
      <c r="J180">
        <v>0.1</v>
      </c>
      <c r="K180">
        <v>0.1719982092973307</v>
      </c>
      <c r="L180" t="s">
        <v>900</v>
      </c>
      <c r="M180" t="s">
        <v>589</v>
      </c>
      <c r="N180">
        <v>15.91519434628975</v>
      </c>
      <c r="O180">
        <v>2.83</v>
      </c>
      <c r="P180">
        <v>1.16</v>
      </c>
      <c r="Q180">
        <v>0.4098939929328622</v>
      </c>
      <c r="R180">
        <v>6</v>
      </c>
      <c r="S180">
        <v>0.1002128764755552</v>
      </c>
      <c r="T180" t="s">
        <v>930</v>
      </c>
      <c r="U180">
        <v>-0.308854761290956</v>
      </c>
      <c r="V180" t="s">
        <v>988</v>
      </c>
      <c r="W180" t="s">
        <v>996</v>
      </c>
      <c r="X180">
        <v>22783.487693</v>
      </c>
      <c r="Y180" s="2">
        <v>45074</v>
      </c>
      <c r="Z180" t="s">
        <v>1003</v>
      </c>
    </row>
    <row r="181" spans="1:26">
      <c r="A181" s="1" t="s">
        <v>205</v>
      </c>
      <c r="B181">
        <f>HYPERLINK("https://www.suredividend.com/sure-analysis-MTB/","M &amp; T Bank Corp")</f>
        <v>0</v>
      </c>
      <c r="C181" t="s">
        <v>896</v>
      </c>
      <c r="D181">
        <v>126</v>
      </c>
      <c r="E181">
        <v>115.87</v>
      </c>
      <c r="F181">
        <v>167</v>
      </c>
      <c r="G181">
        <v>0.6938323353293413</v>
      </c>
      <c r="H181">
        <v>0.04487788038318805</v>
      </c>
      <c r="I181">
        <v>0.07584348151370346</v>
      </c>
      <c r="J181">
        <v>0.06</v>
      </c>
      <c r="K181">
        <v>0.1704783955506932</v>
      </c>
      <c r="L181" t="s">
        <v>900</v>
      </c>
      <c r="M181" t="s">
        <v>899</v>
      </c>
      <c r="N181">
        <v>6.942480527261833</v>
      </c>
      <c r="O181">
        <v>16.69</v>
      </c>
      <c r="P181">
        <v>5.2</v>
      </c>
      <c r="Q181">
        <v>0.3115638106650689</v>
      </c>
      <c r="R181">
        <v>6</v>
      </c>
      <c r="S181">
        <v>0.06003737798448272</v>
      </c>
      <c r="T181" t="s">
        <v>912</v>
      </c>
      <c r="U181">
        <v>-0.281558683454892</v>
      </c>
      <c r="V181" t="s">
        <v>988</v>
      </c>
      <c r="W181" t="s">
        <v>994</v>
      </c>
      <c r="X181">
        <v>19219.337434</v>
      </c>
      <c r="Y181" s="2">
        <v>45035</v>
      </c>
      <c r="Z181" t="s">
        <v>1003</v>
      </c>
    </row>
    <row r="182" spans="1:26">
      <c r="A182" s="1" t="s">
        <v>206</v>
      </c>
      <c r="B182">
        <f>HYPERLINK("https://www.suredividend.com/sure-analysis-T/","AT&amp;T, Inc.")</f>
        <v>0</v>
      </c>
      <c r="C182" t="s">
        <v>896</v>
      </c>
      <c r="D182">
        <v>18</v>
      </c>
      <c r="E182">
        <v>15.45</v>
      </c>
      <c r="F182">
        <v>25</v>
      </c>
      <c r="G182">
        <v>0.618</v>
      </c>
      <c r="H182">
        <v>0.07184466019417476</v>
      </c>
      <c r="I182">
        <v>0.1010379923828348</v>
      </c>
      <c r="J182">
        <v>0.02</v>
      </c>
      <c r="K182">
        <v>0.1674590469047892</v>
      </c>
      <c r="L182" t="s">
        <v>900</v>
      </c>
      <c r="M182" t="s">
        <v>899</v>
      </c>
      <c r="N182">
        <v>6.18</v>
      </c>
      <c r="O182">
        <v>2.5</v>
      </c>
      <c r="P182">
        <v>1.11</v>
      </c>
      <c r="Q182">
        <v>0.4440000000000001</v>
      </c>
      <c r="R182">
        <v>0</v>
      </c>
      <c r="S182">
        <v>0.02074303809479527</v>
      </c>
      <c r="T182" t="s">
        <v>909</v>
      </c>
      <c r="U182">
        <v>-0.219085647855644</v>
      </c>
      <c r="V182" t="s">
        <v>988</v>
      </c>
      <c r="W182" t="s">
        <v>998</v>
      </c>
      <c r="X182">
        <v>110158.5</v>
      </c>
      <c r="Y182" s="2">
        <v>45041</v>
      </c>
      <c r="Z182" t="s">
        <v>1007</v>
      </c>
    </row>
    <row r="183" spans="1:26">
      <c r="A183" s="1" t="s">
        <v>207</v>
      </c>
      <c r="B183">
        <f>HYPERLINK("https://www.suredividend.com/sure-analysis-ES/","Eversource Energy")</f>
        <v>0</v>
      </c>
      <c r="C183" t="s">
        <v>896</v>
      </c>
      <c r="D183">
        <v>77</v>
      </c>
      <c r="E183">
        <v>69.73</v>
      </c>
      <c r="F183">
        <v>96</v>
      </c>
      <c r="G183">
        <v>0.7263541666666667</v>
      </c>
      <c r="H183">
        <v>0.03872078015201492</v>
      </c>
      <c r="I183">
        <v>0.06603217695296748</v>
      </c>
      <c r="J183">
        <v>0.06</v>
      </c>
      <c r="K183">
        <v>0.1570341347988082</v>
      </c>
      <c r="L183" t="s">
        <v>900</v>
      </c>
      <c r="M183" t="s">
        <v>900</v>
      </c>
      <c r="N183">
        <v>16.02988505747127</v>
      </c>
      <c r="O183">
        <v>4.35</v>
      </c>
      <c r="P183">
        <v>2.7</v>
      </c>
      <c r="Q183">
        <v>0.6206896551724139</v>
      </c>
      <c r="R183">
        <v>25</v>
      </c>
      <c r="S183">
        <v>0.05981164598402855</v>
      </c>
      <c r="T183" t="s">
        <v>937</v>
      </c>
      <c r="U183">
        <v>-0.135493133412762</v>
      </c>
      <c r="V183" t="s">
        <v>988</v>
      </c>
      <c r="W183" t="s">
        <v>999</v>
      </c>
      <c r="X183">
        <v>24324.741503</v>
      </c>
      <c r="Y183" s="2">
        <v>45058</v>
      </c>
      <c r="Z183" t="s">
        <v>1006</v>
      </c>
    </row>
    <row r="184" spans="1:26">
      <c r="A184" s="1" t="s">
        <v>208</v>
      </c>
      <c r="B184">
        <f>HYPERLINK("https://www.suredividend.com/sure-analysis-VZ/","Verizon Communications Inc")</f>
        <v>0</v>
      </c>
      <c r="C184" t="s">
        <v>896</v>
      </c>
      <c r="D184">
        <v>39</v>
      </c>
      <c r="E184">
        <v>35.51</v>
      </c>
      <c r="F184">
        <v>52</v>
      </c>
      <c r="G184">
        <v>0.6828846153846153</v>
      </c>
      <c r="H184">
        <v>0.07350042241622079</v>
      </c>
      <c r="I184">
        <v>0.07927106594802047</v>
      </c>
      <c r="J184">
        <v>0.025</v>
      </c>
      <c r="K184">
        <v>0.1540269559062828</v>
      </c>
      <c r="L184" t="s">
        <v>900</v>
      </c>
      <c r="M184" t="s">
        <v>899</v>
      </c>
      <c r="N184">
        <v>7.555319148936169</v>
      </c>
      <c r="O184">
        <v>4.7</v>
      </c>
      <c r="P184">
        <v>2.61</v>
      </c>
      <c r="Q184">
        <v>0.5553191489361702</v>
      </c>
      <c r="R184">
        <v>18</v>
      </c>
      <c r="S184">
        <v>0.01988310171094443</v>
      </c>
      <c r="T184" t="s">
        <v>909</v>
      </c>
      <c r="U184">
        <v>-0.259208264490395</v>
      </c>
      <c r="V184" t="s">
        <v>988</v>
      </c>
      <c r="W184" t="s">
        <v>998</v>
      </c>
      <c r="X184">
        <v>149283.737561</v>
      </c>
      <c r="Y184" s="2">
        <v>45045</v>
      </c>
      <c r="Z184" t="s">
        <v>1003</v>
      </c>
    </row>
    <row r="185" spans="1:26">
      <c r="A185" s="1" t="s">
        <v>209</v>
      </c>
      <c r="B185">
        <f>HYPERLINK("https://www.suredividend.com/sure-analysis-CVS/","CVS Health Corp")</f>
        <v>0</v>
      </c>
      <c r="C185" t="s">
        <v>896</v>
      </c>
      <c r="D185">
        <v>68</v>
      </c>
      <c r="E185">
        <v>69.59999999999999</v>
      </c>
      <c r="F185">
        <v>95</v>
      </c>
      <c r="G185">
        <v>0.7326315789473684</v>
      </c>
      <c r="H185">
        <v>0.03477011494252874</v>
      </c>
      <c r="I185">
        <v>0.06419906528364816</v>
      </c>
      <c r="J185">
        <v>0.06</v>
      </c>
      <c r="K185">
        <v>0.1526256031911739</v>
      </c>
      <c r="L185" t="s">
        <v>900</v>
      </c>
      <c r="M185" t="s">
        <v>900</v>
      </c>
      <c r="N185">
        <v>8.093023255813954</v>
      </c>
      <c r="O185">
        <v>8.6</v>
      </c>
      <c r="P185">
        <v>2.42</v>
      </c>
      <c r="Q185">
        <v>0.2813953488372093</v>
      </c>
      <c r="R185">
        <v>2</v>
      </c>
      <c r="S185">
        <v>0.06009778930179466</v>
      </c>
      <c r="T185" t="s">
        <v>915</v>
      </c>
      <c r="U185">
        <v>-0.243582679347524</v>
      </c>
      <c r="V185" t="s">
        <v>988</v>
      </c>
      <c r="W185" t="s">
        <v>996</v>
      </c>
      <c r="X185">
        <v>89228.959697</v>
      </c>
      <c r="Y185" s="2">
        <v>45064</v>
      </c>
      <c r="Z185" t="s">
        <v>1003</v>
      </c>
    </row>
    <row r="186" spans="1:26">
      <c r="A186" s="1" t="s">
        <v>210</v>
      </c>
      <c r="B186">
        <f>HYPERLINK("https://www.suredividend.com/sure-analysis-OGN/","Organon &amp; Co.")</f>
        <v>0</v>
      </c>
      <c r="C186" t="s">
        <v>896</v>
      </c>
      <c r="D186">
        <v>20</v>
      </c>
      <c r="E186">
        <v>20.24</v>
      </c>
      <c r="F186">
        <v>30</v>
      </c>
      <c r="G186">
        <v>0.6746666666666666</v>
      </c>
      <c r="H186">
        <v>0.05533596837944665</v>
      </c>
      <c r="I186">
        <v>0.08188761527724875</v>
      </c>
      <c r="J186">
        <v>0.03</v>
      </c>
      <c r="K186">
        <v>0.1511143746693404</v>
      </c>
      <c r="L186" t="s">
        <v>900</v>
      </c>
      <c r="M186" t="s">
        <v>899</v>
      </c>
      <c r="N186">
        <v>4.706976744186046</v>
      </c>
      <c r="O186">
        <v>4.3</v>
      </c>
      <c r="P186">
        <v>1.12</v>
      </c>
      <c r="Q186">
        <v>0.2604651162790698</v>
      </c>
      <c r="R186">
        <v>1</v>
      </c>
      <c r="S186">
        <v>0.03025579475561258</v>
      </c>
      <c r="T186" t="s">
        <v>931</v>
      </c>
      <c r="U186">
        <v>-0.403092476428935</v>
      </c>
      <c r="V186" t="s">
        <v>988</v>
      </c>
      <c r="W186" t="s">
        <v>996</v>
      </c>
      <c r="X186">
        <v>5162.449759</v>
      </c>
      <c r="Y186" s="2">
        <v>45069</v>
      </c>
      <c r="Z186" t="s">
        <v>1003</v>
      </c>
    </row>
    <row r="187" spans="1:26">
      <c r="A187" s="1" t="s">
        <v>211</v>
      </c>
      <c r="B187">
        <f>HYPERLINK("https://www.suredividend.com/sure-analysis-CI/","Cigna Group (The)")</f>
        <v>0</v>
      </c>
      <c r="C187" t="s">
        <v>896</v>
      </c>
      <c r="D187">
        <v>251</v>
      </c>
      <c r="E187">
        <v>274.85</v>
      </c>
      <c r="F187">
        <v>321</v>
      </c>
      <c r="G187">
        <v>0.8562305295950157</v>
      </c>
      <c r="H187">
        <v>0.01790067309441513</v>
      </c>
      <c r="I187">
        <v>0.03152998844683164</v>
      </c>
      <c r="J187">
        <v>0.1</v>
      </c>
      <c r="K187">
        <v>0.1469464955952364</v>
      </c>
      <c r="L187" t="s">
        <v>900</v>
      </c>
      <c r="M187" t="s">
        <v>589</v>
      </c>
      <c r="N187">
        <v>11.12753036437247</v>
      </c>
      <c r="O187">
        <v>24.7</v>
      </c>
      <c r="P187">
        <v>4.92</v>
      </c>
      <c r="Q187">
        <v>0.1991902834008097</v>
      </c>
      <c r="R187">
        <v>3</v>
      </c>
      <c r="S187">
        <v>0.05002323237405015</v>
      </c>
      <c r="T187" t="s">
        <v>920</v>
      </c>
      <c r="U187">
        <v>0.08934634076089201</v>
      </c>
      <c r="V187" t="s">
        <v>988</v>
      </c>
      <c r="W187" t="s">
        <v>996</v>
      </c>
      <c r="X187">
        <v>81462.501361</v>
      </c>
      <c r="Y187" s="2">
        <v>45069</v>
      </c>
      <c r="Z187" t="s">
        <v>1003</v>
      </c>
    </row>
    <row r="188" spans="1:26">
      <c r="A188" s="1" t="s">
        <v>212</v>
      </c>
      <c r="B188">
        <f>HYPERLINK("https://www.suredividend.com/sure-analysis-BMRC/","Bank of Marin Bancorp")</f>
        <v>0</v>
      </c>
      <c r="C188" t="s">
        <v>896</v>
      </c>
      <c r="D188">
        <v>21</v>
      </c>
      <c r="E188">
        <v>19.04</v>
      </c>
      <c r="F188">
        <v>26</v>
      </c>
      <c r="G188">
        <v>0.7323076923076923</v>
      </c>
      <c r="H188">
        <v>0.05252100840336135</v>
      </c>
      <c r="I188">
        <v>0.06429318388999206</v>
      </c>
      <c r="J188">
        <v>0.04</v>
      </c>
      <c r="K188">
        <v>0.1468781181534995</v>
      </c>
      <c r="L188" t="s">
        <v>900</v>
      </c>
      <c r="M188" t="s">
        <v>899</v>
      </c>
      <c r="N188">
        <v>7.323076923076923</v>
      </c>
      <c r="O188">
        <v>2.6</v>
      </c>
      <c r="P188">
        <v>1</v>
      </c>
      <c r="Q188">
        <v>0.3846153846153846</v>
      </c>
      <c r="R188">
        <v>17</v>
      </c>
      <c r="S188">
        <v>0.06961037572506878</v>
      </c>
      <c r="T188" t="s">
        <v>948</v>
      </c>
      <c r="U188">
        <v>-0.38056321898912</v>
      </c>
      <c r="V188" t="s">
        <v>988</v>
      </c>
      <c r="W188" t="s">
        <v>994</v>
      </c>
      <c r="X188">
        <v>306.831161</v>
      </c>
      <c r="Y188" s="2">
        <v>45040</v>
      </c>
      <c r="Z188" t="s">
        <v>1006</v>
      </c>
    </row>
    <row r="189" spans="1:26">
      <c r="A189" s="1" t="s">
        <v>213</v>
      </c>
      <c r="B189">
        <f>HYPERLINK("https://www.suredividend.com/sure-analysis-UNH/","Unitedhealth Group Inc")</f>
        <v>0</v>
      </c>
      <c r="C189" t="s">
        <v>896</v>
      </c>
      <c r="D189">
        <v>512</v>
      </c>
      <c r="E189">
        <v>477</v>
      </c>
      <c r="F189">
        <v>499</v>
      </c>
      <c r="G189">
        <v>0.9559118236472945</v>
      </c>
      <c r="H189">
        <v>0.01576519916142557</v>
      </c>
      <c r="I189">
        <v>0.009058704925271943</v>
      </c>
      <c r="J189">
        <v>0.12</v>
      </c>
      <c r="K189">
        <v>0.1432266745892701</v>
      </c>
      <c r="L189" t="s">
        <v>900</v>
      </c>
      <c r="M189" t="s">
        <v>589</v>
      </c>
      <c r="N189">
        <v>19.11823647294589</v>
      </c>
      <c r="O189">
        <v>24.95</v>
      </c>
      <c r="P189">
        <v>7.52</v>
      </c>
      <c r="Q189">
        <v>0.3014028056112225</v>
      </c>
      <c r="R189">
        <v>14</v>
      </c>
      <c r="S189">
        <v>0.1106712801761505</v>
      </c>
      <c r="T189" t="s">
        <v>902</v>
      </c>
      <c r="U189">
        <v>-0.024173692991132</v>
      </c>
      <c r="V189" t="s">
        <v>988</v>
      </c>
      <c r="W189" t="s">
        <v>996</v>
      </c>
      <c r="X189">
        <v>444102.27831</v>
      </c>
      <c r="Y189" s="2">
        <v>45034</v>
      </c>
      <c r="Z189" t="s">
        <v>1004</v>
      </c>
    </row>
    <row r="190" spans="1:26">
      <c r="A190" s="1" t="s">
        <v>214</v>
      </c>
      <c r="B190">
        <f>HYPERLINK("https://www.suredividend.com/sure-analysis-DPZ/","Dominos Pizza Inc")</f>
        <v>0</v>
      </c>
      <c r="C190" t="s">
        <v>896</v>
      </c>
      <c r="D190">
        <v>311</v>
      </c>
      <c r="E190">
        <v>316.82</v>
      </c>
      <c r="F190">
        <v>328</v>
      </c>
      <c r="G190">
        <v>0.9659146341463415</v>
      </c>
      <c r="H190">
        <v>0.01527681333249164</v>
      </c>
      <c r="I190">
        <v>0.006960073330430028</v>
      </c>
      <c r="J190">
        <v>0.12</v>
      </c>
      <c r="K190">
        <v>0.1420213658102105</v>
      </c>
      <c r="L190" t="s">
        <v>900</v>
      </c>
      <c r="M190" t="s">
        <v>791</v>
      </c>
      <c r="N190">
        <v>24.18473282442748</v>
      </c>
      <c r="O190">
        <v>13.1</v>
      </c>
      <c r="P190">
        <v>4.84</v>
      </c>
      <c r="Q190">
        <v>0.3694656488549619</v>
      </c>
      <c r="R190">
        <v>10</v>
      </c>
      <c r="S190">
        <v>0.1486983549970351</v>
      </c>
      <c r="T190" t="s">
        <v>916</v>
      </c>
      <c r="U190">
        <v>-0.189603224807216</v>
      </c>
      <c r="V190" t="s">
        <v>988</v>
      </c>
      <c r="W190" t="s">
        <v>995</v>
      </c>
      <c r="X190">
        <v>11196.111485</v>
      </c>
      <c r="Y190" s="2">
        <v>45049</v>
      </c>
      <c r="Z190" t="s">
        <v>1007</v>
      </c>
    </row>
    <row r="191" spans="1:26">
      <c r="A191" s="1" t="s">
        <v>215</v>
      </c>
      <c r="B191">
        <f>HYPERLINK("https://www.suredividend.com/sure-analysis-TD/","Toronto Dominion Bank")</f>
        <v>0</v>
      </c>
      <c r="C191" t="s">
        <v>896</v>
      </c>
      <c r="D191">
        <v>57</v>
      </c>
      <c r="E191">
        <v>59.13</v>
      </c>
      <c r="F191">
        <v>73</v>
      </c>
      <c r="G191">
        <v>0.8100000000000001</v>
      </c>
      <c r="H191">
        <v>0.04769152714358194</v>
      </c>
      <c r="I191">
        <v>0.04304488151063257</v>
      </c>
      <c r="J191">
        <v>0.06</v>
      </c>
      <c r="K191">
        <v>0.1413596197051568</v>
      </c>
      <c r="L191" t="s">
        <v>900</v>
      </c>
      <c r="M191" t="s">
        <v>899</v>
      </c>
      <c r="N191">
        <v>9.583468395461914</v>
      </c>
      <c r="O191">
        <v>6.17</v>
      </c>
      <c r="P191">
        <v>2.82</v>
      </c>
      <c r="Q191">
        <v>0.4570502431118314</v>
      </c>
      <c r="R191">
        <v>12</v>
      </c>
      <c r="S191">
        <v>0.05978665956050033</v>
      </c>
      <c r="T191" t="s">
        <v>919</v>
      </c>
      <c r="U191">
        <v>-0.048986904872956</v>
      </c>
      <c r="V191" t="s">
        <v>988</v>
      </c>
      <c r="W191" t="s">
        <v>994</v>
      </c>
      <c r="X191">
        <v>108776.633627</v>
      </c>
      <c r="Y191" s="2">
        <v>45077</v>
      </c>
      <c r="Z191" t="s">
        <v>1018</v>
      </c>
    </row>
    <row r="192" spans="1:26">
      <c r="A192" s="1" t="s">
        <v>216</v>
      </c>
      <c r="B192">
        <f>HYPERLINK("https://www.suredividend.com/sure-analysis-ENB/","Enbridge Inc")</f>
        <v>0</v>
      </c>
      <c r="C192" t="s">
        <v>896</v>
      </c>
      <c r="D192">
        <v>40</v>
      </c>
      <c r="E192">
        <v>36.19</v>
      </c>
      <c r="F192">
        <v>45</v>
      </c>
      <c r="G192">
        <v>0.8042222222222222</v>
      </c>
      <c r="H192">
        <v>0.07294832826747721</v>
      </c>
      <c r="I192">
        <v>0.04453930362880065</v>
      </c>
      <c r="J192">
        <v>0.04</v>
      </c>
      <c r="K192">
        <v>0.1405277750505609</v>
      </c>
      <c r="L192" t="s">
        <v>900</v>
      </c>
      <c r="M192" t="s">
        <v>899</v>
      </c>
      <c r="N192">
        <v>8.84841075794621</v>
      </c>
      <c r="O192">
        <v>4.09</v>
      </c>
      <c r="P192">
        <v>2.64</v>
      </c>
      <c r="Q192">
        <v>0.645476772616137</v>
      </c>
      <c r="R192">
        <v>27</v>
      </c>
      <c r="S192">
        <v>0.04500506210411404</v>
      </c>
      <c r="T192" t="s">
        <v>931</v>
      </c>
      <c r="U192">
        <v>-0.07089108707539901</v>
      </c>
      <c r="V192" t="s">
        <v>988</v>
      </c>
      <c r="W192" t="s">
        <v>1002</v>
      </c>
      <c r="X192">
        <v>73218.102315</v>
      </c>
      <c r="Y192" s="2">
        <v>45057</v>
      </c>
      <c r="Z192" t="s">
        <v>1008</v>
      </c>
    </row>
    <row r="193" spans="1:26">
      <c r="A193" s="1" t="s">
        <v>217</v>
      </c>
      <c r="B193">
        <f>HYPERLINK("https://www.suredividend.com/sure-analysis-SBSI/","Southside Bancshares Inc")</f>
        <v>0</v>
      </c>
      <c r="C193" t="s">
        <v>897</v>
      </c>
      <c r="D193">
        <v>32</v>
      </c>
      <c r="E193">
        <v>25.74</v>
      </c>
      <c r="F193">
        <v>36</v>
      </c>
      <c r="G193">
        <v>0.715</v>
      </c>
      <c r="H193">
        <v>0.05439005439005439</v>
      </c>
      <c r="I193">
        <v>0.06939658190911846</v>
      </c>
      <c r="J193">
        <v>0.03</v>
      </c>
      <c r="K193">
        <v>0.1391746600490451</v>
      </c>
      <c r="L193" t="s">
        <v>900</v>
      </c>
      <c r="M193" t="s">
        <v>899</v>
      </c>
      <c r="N193">
        <v>8.58</v>
      </c>
      <c r="O193">
        <v>3</v>
      </c>
      <c r="P193">
        <v>1.4</v>
      </c>
      <c r="Q193">
        <v>0.4666666666666666</v>
      </c>
      <c r="R193">
        <v>29</v>
      </c>
      <c r="S193">
        <v>0.02962100943384161</v>
      </c>
      <c r="T193" t="s">
        <v>936</v>
      </c>
      <c r="U193">
        <v>-0.275745638716938</v>
      </c>
      <c r="V193" t="s">
        <v>988</v>
      </c>
      <c r="W193" t="s">
        <v>994</v>
      </c>
      <c r="X193">
        <v>796.0046610000001</v>
      </c>
      <c r="Y193" s="2">
        <v>45043</v>
      </c>
      <c r="Z193" t="s">
        <v>1003</v>
      </c>
    </row>
    <row r="194" spans="1:26">
      <c r="A194" s="1" t="s">
        <v>218</v>
      </c>
      <c r="B194">
        <f>HYPERLINK("https://www.suredividend.com/sure-analysis-BIP/","Brookfield Infrastructure Partners L.P")</f>
        <v>0</v>
      </c>
      <c r="C194" t="s">
        <v>896</v>
      </c>
      <c r="D194">
        <v>36</v>
      </c>
      <c r="E194">
        <v>35.06</v>
      </c>
      <c r="F194">
        <v>41</v>
      </c>
      <c r="G194">
        <v>0.8551219512195123</v>
      </c>
      <c r="H194">
        <v>0.04363947518539646</v>
      </c>
      <c r="I194">
        <v>0.03179730454347207</v>
      </c>
      <c r="J194">
        <v>0.07000000000000001</v>
      </c>
      <c r="K194">
        <v>0.1371105097736471</v>
      </c>
      <c r="L194" t="s">
        <v>900</v>
      </c>
      <c r="M194" t="s">
        <v>900</v>
      </c>
      <c r="N194">
        <v>12.08965517241379</v>
      </c>
      <c r="O194">
        <v>2.9</v>
      </c>
      <c r="P194">
        <v>1.53</v>
      </c>
      <c r="Q194">
        <v>0.5275862068965518</v>
      </c>
      <c r="R194">
        <v>14</v>
      </c>
      <c r="S194">
        <v>0.06026026557747</v>
      </c>
      <c r="T194" t="s">
        <v>934</v>
      </c>
      <c r="U194">
        <v>-0.026557272361278</v>
      </c>
      <c r="V194" t="s">
        <v>990</v>
      </c>
      <c r="W194" t="s">
        <v>999</v>
      </c>
      <c r="X194">
        <v>16070.911591</v>
      </c>
      <c r="Y194" s="2">
        <v>45057</v>
      </c>
      <c r="Z194" t="s">
        <v>1018</v>
      </c>
    </row>
    <row r="195" spans="1:26">
      <c r="A195" s="1" t="s">
        <v>219</v>
      </c>
      <c r="B195">
        <f>HYPERLINK("https://www.suredividend.com/sure-analysis-SBAC/","SBA Communications Corp")</f>
        <v>0</v>
      </c>
      <c r="C195" t="s">
        <v>896</v>
      </c>
      <c r="D195">
        <v>257</v>
      </c>
      <c r="E195">
        <v>223.08</v>
      </c>
      <c r="F195">
        <v>255</v>
      </c>
      <c r="G195">
        <v>0.8748235294117648</v>
      </c>
      <c r="H195">
        <v>0.01524116908732293</v>
      </c>
      <c r="I195">
        <v>0.02710751997899608</v>
      </c>
      <c r="J195">
        <v>0.09</v>
      </c>
      <c r="K195">
        <v>0.1354703561006283</v>
      </c>
      <c r="L195" t="s">
        <v>900</v>
      </c>
      <c r="M195" t="s">
        <v>791</v>
      </c>
      <c r="N195">
        <v>17.52395915161037</v>
      </c>
      <c r="O195">
        <v>12.73</v>
      </c>
      <c r="P195">
        <v>3.4</v>
      </c>
      <c r="Q195">
        <v>0.2670856245090338</v>
      </c>
      <c r="R195">
        <v>4</v>
      </c>
      <c r="S195">
        <v>0.1800492575746233</v>
      </c>
      <c r="T195" t="s">
        <v>946</v>
      </c>
      <c r="U195">
        <v>-0.308663859960115</v>
      </c>
      <c r="V195" t="s">
        <v>988</v>
      </c>
      <c r="W195" t="s">
        <v>1000</v>
      </c>
      <c r="X195">
        <v>24168.35179</v>
      </c>
      <c r="Y195" s="2">
        <v>45048</v>
      </c>
      <c r="Z195" t="s">
        <v>1012</v>
      </c>
    </row>
    <row r="196" spans="1:26">
      <c r="A196" s="1" t="s">
        <v>220</v>
      </c>
      <c r="B196">
        <f>HYPERLINK("https://www.suredividend.com/sure-analysis-NUS/","Nu Skin Enterprises, Inc.")</f>
        <v>0</v>
      </c>
      <c r="C196" t="s">
        <v>896</v>
      </c>
      <c r="D196">
        <v>37</v>
      </c>
      <c r="E196">
        <v>32.11</v>
      </c>
      <c r="F196">
        <v>41</v>
      </c>
      <c r="G196">
        <v>0.7831707317073171</v>
      </c>
      <c r="H196">
        <v>0.048582995951417</v>
      </c>
      <c r="I196">
        <v>0.05009528925227014</v>
      </c>
      <c r="J196">
        <v>0.05</v>
      </c>
      <c r="K196">
        <v>0.1345674973230635</v>
      </c>
      <c r="L196" t="s">
        <v>900</v>
      </c>
      <c r="M196" t="s">
        <v>899</v>
      </c>
      <c r="N196">
        <v>13</v>
      </c>
      <c r="O196">
        <v>2.47</v>
      </c>
      <c r="P196">
        <v>1.56</v>
      </c>
      <c r="Q196">
        <v>0.631578947368421</v>
      </c>
      <c r="R196">
        <v>23</v>
      </c>
      <c r="S196">
        <v>0.01005227214699711</v>
      </c>
      <c r="T196" t="s">
        <v>946</v>
      </c>
      <c r="U196">
        <v>-0.27024883355719</v>
      </c>
      <c r="V196" t="s">
        <v>988</v>
      </c>
      <c r="W196" t="s">
        <v>997</v>
      </c>
      <c r="X196">
        <v>1602.45838</v>
      </c>
      <c r="Y196" s="2">
        <v>45064</v>
      </c>
      <c r="Z196" t="s">
        <v>1005</v>
      </c>
    </row>
    <row r="197" spans="1:26">
      <c r="A197" s="1" t="s">
        <v>221</v>
      </c>
      <c r="B197">
        <f>HYPERLINK("https://www.suredividend.com/sure-analysis-BNS/","Bank Of Nova Scotia")</f>
        <v>0</v>
      </c>
      <c r="C197" t="s">
        <v>896</v>
      </c>
      <c r="D197">
        <v>49</v>
      </c>
      <c r="E197">
        <v>47.99</v>
      </c>
      <c r="F197">
        <v>57</v>
      </c>
      <c r="G197">
        <v>0.8419298245614035</v>
      </c>
      <c r="H197">
        <v>0.06480516774327985</v>
      </c>
      <c r="I197">
        <v>0.03501065607904663</v>
      </c>
      <c r="J197">
        <v>0.048</v>
      </c>
      <c r="K197">
        <v>0.1339915545811843</v>
      </c>
      <c r="L197" t="s">
        <v>900</v>
      </c>
      <c r="M197" t="s">
        <v>899</v>
      </c>
      <c r="N197">
        <v>9.020676691729323</v>
      </c>
      <c r="O197">
        <v>5.32</v>
      </c>
      <c r="P197">
        <v>3.11</v>
      </c>
      <c r="Q197">
        <v>0.5845864661654134</v>
      </c>
      <c r="R197">
        <v>11</v>
      </c>
      <c r="S197">
        <v>0.04791590560719716</v>
      </c>
      <c r="T197" t="s">
        <v>957</v>
      </c>
      <c r="U197">
        <v>-0.143344722082391</v>
      </c>
      <c r="V197" t="s">
        <v>988</v>
      </c>
      <c r="W197" t="s">
        <v>994</v>
      </c>
      <c r="X197">
        <v>57500.394831</v>
      </c>
      <c r="Y197" s="2">
        <v>45077</v>
      </c>
      <c r="Z197" t="s">
        <v>1018</v>
      </c>
    </row>
    <row r="198" spans="1:26">
      <c r="A198" s="1" t="s">
        <v>222</v>
      </c>
      <c r="B198">
        <f>HYPERLINK("https://www.suredividend.com/sure-analysis-CM/","Canadian Imperial Bank Of Commerce")</f>
        <v>0</v>
      </c>
      <c r="C198" t="s">
        <v>896</v>
      </c>
      <c r="D198">
        <v>42</v>
      </c>
      <c r="E198">
        <v>41.87</v>
      </c>
      <c r="F198">
        <v>52</v>
      </c>
      <c r="G198">
        <v>0.8051923076923077</v>
      </c>
      <c r="H198">
        <v>0.06114162885120612</v>
      </c>
      <c r="I198">
        <v>0.04428749270966525</v>
      </c>
      <c r="J198">
        <v>0.04</v>
      </c>
      <c r="K198">
        <v>0.1328674191429846</v>
      </c>
      <c r="L198" t="s">
        <v>900</v>
      </c>
      <c r="M198" t="s">
        <v>899</v>
      </c>
      <c r="N198">
        <v>8.13009708737864</v>
      </c>
      <c r="O198">
        <v>5.15</v>
      </c>
      <c r="P198">
        <v>2.56</v>
      </c>
      <c r="Q198">
        <v>0.4970873786407767</v>
      </c>
      <c r="R198">
        <v>12</v>
      </c>
      <c r="S198">
        <v>0.05017471470402191</v>
      </c>
      <c r="T198" t="s">
        <v>958</v>
      </c>
      <c r="U198">
        <v>-0.09432464781069701</v>
      </c>
      <c r="V198" t="s">
        <v>988</v>
      </c>
      <c r="W198" t="s">
        <v>994</v>
      </c>
      <c r="X198">
        <v>38957.603903</v>
      </c>
      <c r="Y198" s="2">
        <v>45077</v>
      </c>
      <c r="Z198" t="s">
        <v>1018</v>
      </c>
    </row>
    <row r="199" spans="1:26">
      <c r="A199" s="1" t="s">
        <v>223</v>
      </c>
      <c r="B199">
        <f>HYPERLINK("https://www.suredividend.com/sure-analysis-MO/","Altria Group Inc.")</f>
        <v>0</v>
      </c>
      <c r="C199" t="s">
        <v>896</v>
      </c>
      <c r="D199">
        <v>45.7</v>
      </c>
      <c r="E199">
        <v>43.42</v>
      </c>
      <c r="F199">
        <v>55.1</v>
      </c>
      <c r="G199">
        <v>0.788021778584392</v>
      </c>
      <c r="H199">
        <v>0.08659603869184707</v>
      </c>
      <c r="I199">
        <v>0.04879922061015152</v>
      </c>
      <c r="J199">
        <v>0.019</v>
      </c>
      <c r="K199">
        <v>0.13220813492298</v>
      </c>
      <c r="L199" t="s">
        <v>900</v>
      </c>
      <c r="M199" t="s">
        <v>899</v>
      </c>
      <c r="N199">
        <v>8.666666666666668</v>
      </c>
      <c r="O199">
        <v>5.01</v>
      </c>
      <c r="P199">
        <v>3.76</v>
      </c>
      <c r="Q199">
        <v>0.7504990019960079</v>
      </c>
      <c r="R199">
        <v>53</v>
      </c>
      <c r="S199">
        <v>0.02480259634076765</v>
      </c>
      <c r="T199" t="s">
        <v>916</v>
      </c>
      <c r="U199">
        <v>0.14727365203211</v>
      </c>
      <c r="V199" t="s">
        <v>988</v>
      </c>
      <c r="W199" t="s">
        <v>997</v>
      </c>
      <c r="X199">
        <v>78113.330095</v>
      </c>
      <c r="Y199" s="2">
        <v>45063</v>
      </c>
      <c r="Z199" t="s">
        <v>1013</v>
      </c>
    </row>
    <row r="200" spans="1:26">
      <c r="A200" s="1" t="s">
        <v>224</v>
      </c>
      <c r="B200">
        <f>HYPERLINK("https://www.suredividend.com/sure-analysis-PB/","Prosperity Bancshares Inc.")</f>
        <v>0</v>
      </c>
      <c r="C200" t="s">
        <v>897</v>
      </c>
      <c r="D200">
        <v>59</v>
      </c>
      <c r="E200">
        <v>55.49</v>
      </c>
      <c r="F200">
        <v>74</v>
      </c>
      <c r="G200">
        <v>0.7498648648648649</v>
      </c>
      <c r="H200">
        <v>0.03964678320418093</v>
      </c>
      <c r="I200">
        <v>0.05926201540437503</v>
      </c>
      <c r="J200">
        <v>0.04</v>
      </c>
      <c r="K200">
        <v>0.1321701898197747</v>
      </c>
      <c r="L200" t="s">
        <v>900</v>
      </c>
      <c r="M200" t="s">
        <v>899</v>
      </c>
      <c r="N200">
        <v>9.650434782608697</v>
      </c>
      <c r="O200">
        <v>5.75</v>
      </c>
      <c r="P200">
        <v>2.2</v>
      </c>
      <c r="Q200">
        <v>0.3826086956521739</v>
      </c>
      <c r="R200">
        <v>19</v>
      </c>
      <c r="S200">
        <v>0.06114273740264831</v>
      </c>
      <c r="T200" t="s">
        <v>916</v>
      </c>
      <c r="U200">
        <v>-0.178501583334937</v>
      </c>
      <c r="V200" t="s">
        <v>988</v>
      </c>
      <c r="W200" t="s">
        <v>994</v>
      </c>
      <c r="X200">
        <v>5231.584826</v>
      </c>
      <c r="Y200" s="2">
        <v>45042</v>
      </c>
      <c r="Z200" t="s">
        <v>1007</v>
      </c>
    </row>
    <row r="201" spans="1:26">
      <c r="A201" s="1" t="s">
        <v>225</v>
      </c>
      <c r="B201">
        <f>HYPERLINK("https://www.suredividend.com/sure-analysis-EMN/","Eastman Chemical Co")</f>
        <v>0</v>
      </c>
      <c r="C201" t="s">
        <v>896</v>
      </c>
      <c r="D201">
        <v>84</v>
      </c>
      <c r="E201">
        <v>78.55</v>
      </c>
      <c r="F201">
        <v>95</v>
      </c>
      <c r="G201">
        <v>0.8268421052631578</v>
      </c>
      <c r="H201">
        <v>0.04022915340547422</v>
      </c>
      <c r="I201">
        <v>0.03876063497665272</v>
      </c>
      <c r="J201">
        <v>0.06</v>
      </c>
      <c r="K201">
        <v>0.1320127671605227</v>
      </c>
      <c r="L201" t="s">
        <v>900</v>
      </c>
      <c r="M201" t="s">
        <v>899</v>
      </c>
      <c r="N201">
        <v>9.059976931949251</v>
      </c>
      <c r="O201">
        <v>8.67</v>
      </c>
      <c r="P201">
        <v>3.16</v>
      </c>
      <c r="Q201">
        <v>0.3644752018454441</v>
      </c>
      <c r="R201">
        <v>13</v>
      </c>
      <c r="S201">
        <v>0.06006051179311167</v>
      </c>
      <c r="T201" t="s">
        <v>916</v>
      </c>
      <c r="U201">
        <v>-0.117728986112795</v>
      </c>
      <c r="V201" t="s">
        <v>988</v>
      </c>
      <c r="W201" t="s">
        <v>992</v>
      </c>
      <c r="X201">
        <v>9359.374046999999</v>
      </c>
      <c r="Y201" s="2">
        <v>45046</v>
      </c>
      <c r="Z201" t="s">
        <v>1012</v>
      </c>
    </row>
    <row r="202" spans="1:26">
      <c r="A202" s="1" t="s">
        <v>226</v>
      </c>
      <c r="B202">
        <f>HYPERLINK("https://www.suredividend.com/sure-analysis-CP/","Canadian Pacific Kansas City Limited")</f>
        <v>0</v>
      </c>
      <c r="C202" t="s">
        <v>896</v>
      </c>
      <c r="D202">
        <v>79</v>
      </c>
      <c r="E202">
        <v>80.06</v>
      </c>
      <c r="F202">
        <v>78</v>
      </c>
      <c r="G202">
        <v>1.026410256410256</v>
      </c>
      <c r="H202">
        <v>0.006869847614289284</v>
      </c>
      <c r="I202">
        <v>-0.005199938642802993</v>
      </c>
      <c r="J202">
        <v>0.13</v>
      </c>
      <c r="K202">
        <v>0.1317100143476058</v>
      </c>
      <c r="L202" t="s">
        <v>900</v>
      </c>
      <c r="M202" t="s">
        <v>791</v>
      </c>
      <c r="N202">
        <v>24.70987654320988</v>
      </c>
      <c r="O202">
        <v>3.24</v>
      </c>
      <c r="P202">
        <v>0.55</v>
      </c>
      <c r="Q202">
        <v>0.1697530864197531</v>
      </c>
      <c r="R202">
        <v>0</v>
      </c>
      <c r="S202">
        <v>0.2002496155482458</v>
      </c>
      <c r="T202" t="s">
        <v>906</v>
      </c>
      <c r="U202">
        <v>0.140857253193075</v>
      </c>
      <c r="V202" t="s">
        <v>988</v>
      </c>
      <c r="W202" t="s">
        <v>993</v>
      </c>
      <c r="X202">
        <v>74540.614363</v>
      </c>
      <c r="Y202" s="2">
        <v>45050</v>
      </c>
      <c r="Z202" t="s">
        <v>1018</v>
      </c>
    </row>
    <row r="203" spans="1:26">
      <c r="A203" s="1" t="s">
        <v>227</v>
      </c>
      <c r="B203">
        <f>HYPERLINK("https://www.suredividend.com/sure-analysis-BHB/","Bar Harbor Bankshares Inc")</f>
        <v>0</v>
      </c>
      <c r="C203" t="s">
        <v>896</v>
      </c>
      <c r="D203">
        <v>25</v>
      </c>
      <c r="E203">
        <v>25.53</v>
      </c>
      <c r="F203">
        <v>30</v>
      </c>
      <c r="G203">
        <v>0.8510000000000001</v>
      </c>
      <c r="H203">
        <v>0.04386995691343518</v>
      </c>
      <c r="I203">
        <v>0.03279490782464212</v>
      </c>
      <c r="J203">
        <v>0.06</v>
      </c>
      <c r="K203">
        <v>0.1299938625805344</v>
      </c>
      <c r="L203" t="s">
        <v>900</v>
      </c>
      <c r="M203" t="s">
        <v>899</v>
      </c>
      <c r="N203">
        <v>8.51</v>
      </c>
      <c r="O203">
        <v>3</v>
      </c>
      <c r="P203">
        <v>1.12</v>
      </c>
      <c r="Q203">
        <v>0.3733333333333334</v>
      </c>
      <c r="R203">
        <v>20</v>
      </c>
      <c r="S203">
        <v>0.06988309640706269</v>
      </c>
      <c r="T203" t="s">
        <v>954</v>
      </c>
      <c r="U203">
        <v>-0.005384093937245001</v>
      </c>
      <c r="V203" t="s">
        <v>988</v>
      </c>
      <c r="W203" t="s">
        <v>994</v>
      </c>
      <c r="X203">
        <v>386.615036</v>
      </c>
      <c r="Y203" s="2">
        <v>45037</v>
      </c>
      <c r="Z203" t="s">
        <v>1006</v>
      </c>
    </row>
    <row r="204" spans="1:26">
      <c r="A204" s="1" t="s">
        <v>228</v>
      </c>
      <c r="B204">
        <f>HYPERLINK("https://www.suredividend.com/sure-analysis-QCOM/","Qualcomm, Inc.")</f>
        <v>0</v>
      </c>
      <c r="C204" t="s">
        <v>896</v>
      </c>
      <c r="D204">
        <v>104</v>
      </c>
      <c r="E204">
        <v>113.43</v>
      </c>
      <c r="F204">
        <v>132</v>
      </c>
      <c r="G204">
        <v>0.8593181818181819</v>
      </c>
      <c r="H204">
        <v>0.02821123159657939</v>
      </c>
      <c r="I204">
        <v>0.03078763398612216</v>
      </c>
      <c r="J204">
        <v>0.07000000000000001</v>
      </c>
      <c r="K204">
        <v>0.1254705784800205</v>
      </c>
      <c r="L204" t="s">
        <v>900</v>
      </c>
      <c r="M204" t="s">
        <v>900</v>
      </c>
      <c r="N204">
        <v>13.71584038694075</v>
      </c>
      <c r="O204">
        <v>8.27</v>
      </c>
      <c r="P204">
        <v>3.2</v>
      </c>
      <c r="Q204">
        <v>0.3869407496977026</v>
      </c>
      <c r="R204">
        <v>21</v>
      </c>
      <c r="S204">
        <v>0.07008745458377241</v>
      </c>
      <c r="T204" t="s">
        <v>912</v>
      </c>
      <c r="U204">
        <v>-0.06391273418686701</v>
      </c>
      <c r="V204" t="s">
        <v>988</v>
      </c>
      <c r="W204" t="s">
        <v>1000</v>
      </c>
      <c r="X204">
        <v>126361.02</v>
      </c>
      <c r="Y204" s="2">
        <v>45064</v>
      </c>
      <c r="Z204" t="s">
        <v>1003</v>
      </c>
    </row>
    <row r="205" spans="1:26">
      <c r="A205" s="1" t="s">
        <v>229</v>
      </c>
      <c r="B205">
        <f>HYPERLINK("https://www.suredividend.com/sure-analysis-TSN/","Tyson Foods, Inc.")</f>
        <v>0</v>
      </c>
      <c r="C205" t="s">
        <v>897</v>
      </c>
      <c r="D205">
        <v>49</v>
      </c>
      <c r="E205">
        <v>49.5</v>
      </c>
      <c r="F205">
        <v>61</v>
      </c>
      <c r="G205">
        <v>0.8114754098360656</v>
      </c>
      <c r="H205">
        <v>0.03878787878787879</v>
      </c>
      <c r="I205">
        <v>0.04266531631492332</v>
      </c>
      <c r="J205">
        <v>0.05</v>
      </c>
      <c r="K205">
        <v>0.1253198318060018</v>
      </c>
      <c r="L205" t="s">
        <v>900</v>
      </c>
      <c r="M205" t="s">
        <v>899</v>
      </c>
      <c r="N205">
        <v>9</v>
      </c>
      <c r="O205">
        <v>5.5</v>
      </c>
      <c r="P205">
        <v>1.92</v>
      </c>
      <c r="Q205">
        <v>0.3490909090909091</v>
      </c>
      <c r="R205">
        <v>12</v>
      </c>
      <c r="S205">
        <v>0.06005006969898052</v>
      </c>
      <c r="T205" t="s">
        <v>912</v>
      </c>
      <c r="U205">
        <v>-0.405241802249507</v>
      </c>
      <c r="V205" t="s">
        <v>988</v>
      </c>
      <c r="W205" t="s">
        <v>997</v>
      </c>
      <c r="X205">
        <v>17801.685</v>
      </c>
      <c r="Y205" s="2">
        <v>45059</v>
      </c>
      <c r="Z205" t="s">
        <v>1012</v>
      </c>
    </row>
    <row r="206" spans="1:26">
      <c r="A206" s="1" t="s">
        <v>230</v>
      </c>
      <c r="B206">
        <f>HYPERLINK("https://www.suredividend.com/sure-analysis-BMO/","Bank of Montreal")</f>
        <v>0</v>
      </c>
      <c r="C206" t="s">
        <v>896</v>
      </c>
      <c r="D206">
        <v>84</v>
      </c>
      <c r="E206">
        <v>87.7</v>
      </c>
      <c r="F206">
        <v>101</v>
      </c>
      <c r="G206">
        <v>0.8683168316831683</v>
      </c>
      <c r="H206">
        <v>0.04925883694412771</v>
      </c>
      <c r="I206">
        <v>0.02864224457864473</v>
      </c>
      <c r="J206">
        <v>0.055</v>
      </c>
      <c r="K206">
        <v>0.1252325477597589</v>
      </c>
      <c r="L206" t="s">
        <v>900</v>
      </c>
      <c r="M206" t="s">
        <v>899</v>
      </c>
      <c r="N206">
        <v>8.814070351758795</v>
      </c>
      <c r="O206">
        <v>9.949999999999999</v>
      </c>
      <c r="P206">
        <v>4.32</v>
      </c>
      <c r="Q206">
        <v>0.4341708542713568</v>
      </c>
      <c r="R206">
        <v>10</v>
      </c>
      <c r="S206">
        <v>0.06504410274056371</v>
      </c>
      <c r="T206" t="s">
        <v>928</v>
      </c>
      <c r="U206">
        <v>-0.04033335558330101</v>
      </c>
      <c r="V206" t="s">
        <v>988</v>
      </c>
      <c r="W206" t="s">
        <v>994</v>
      </c>
      <c r="X206">
        <v>62547.160544</v>
      </c>
      <c r="Y206" s="2">
        <v>45077</v>
      </c>
      <c r="Z206" t="s">
        <v>1018</v>
      </c>
    </row>
    <row r="207" spans="1:26">
      <c r="A207" s="1" t="s">
        <v>231</v>
      </c>
      <c r="B207">
        <f>HYPERLINK("https://www.suredividend.com/sure-analysis-CMCSA/","Comcast Corp")</f>
        <v>0</v>
      </c>
      <c r="C207" t="s">
        <v>896</v>
      </c>
      <c r="D207">
        <v>42</v>
      </c>
      <c r="E207">
        <v>40.09</v>
      </c>
      <c r="F207">
        <v>44</v>
      </c>
      <c r="G207">
        <v>0.9111363636363637</v>
      </c>
      <c r="H207">
        <v>0.02893489648291344</v>
      </c>
      <c r="I207">
        <v>0.01878683446846785</v>
      </c>
      <c r="J207">
        <v>0.08</v>
      </c>
      <c r="K207">
        <v>0.124203453201466</v>
      </c>
      <c r="L207" t="s">
        <v>900</v>
      </c>
      <c r="M207" t="s">
        <v>900</v>
      </c>
      <c r="N207">
        <v>10.89402173913044</v>
      </c>
      <c r="O207">
        <v>3.68</v>
      </c>
      <c r="P207">
        <v>1.16</v>
      </c>
      <c r="Q207">
        <v>0.3152173913043478</v>
      </c>
      <c r="R207">
        <v>15</v>
      </c>
      <c r="S207">
        <v>0.07943920234636304</v>
      </c>
      <c r="T207" t="s">
        <v>959</v>
      </c>
      <c r="U207">
        <v>0.037928802588996</v>
      </c>
      <c r="V207" t="s">
        <v>988</v>
      </c>
      <c r="W207" t="s">
        <v>998</v>
      </c>
      <c r="X207">
        <v>166749.664991</v>
      </c>
      <c r="Y207" s="2">
        <v>45050</v>
      </c>
      <c r="Z207" t="s">
        <v>1018</v>
      </c>
    </row>
    <row r="208" spans="1:26">
      <c r="A208" s="1" t="s">
        <v>232</v>
      </c>
      <c r="B208">
        <f>HYPERLINK("https://www.suredividend.com/sure-analysis-TYCB/","Calvin b. Taylor Bankshares, Inc.")</f>
        <v>0</v>
      </c>
      <c r="C208" t="s">
        <v>896</v>
      </c>
      <c r="D208">
        <v>42</v>
      </c>
      <c r="E208">
        <v>42</v>
      </c>
      <c r="F208">
        <v>55</v>
      </c>
      <c r="G208">
        <v>0.7636363636363637</v>
      </c>
      <c r="H208">
        <v>0.03238095238095239</v>
      </c>
      <c r="I208">
        <v>0.05541358456339762</v>
      </c>
      <c r="J208">
        <v>0.04</v>
      </c>
      <c r="K208">
        <v>0.1224110582788382</v>
      </c>
      <c r="L208" t="s">
        <v>900</v>
      </c>
      <c r="M208" t="s">
        <v>900</v>
      </c>
      <c r="N208">
        <v>9.130434782608697</v>
      </c>
      <c r="O208">
        <v>4.6</v>
      </c>
      <c r="P208">
        <v>1.36</v>
      </c>
      <c r="Q208">
        <v>0.2956521739130435</v>
      </c>
      <c r="R208">
        <v>33</v>
      </c>
      <c r="S208">
        <v>0.0505145404837426</v>
      </c>
      <c r="T208" t="s">
        <v>906</v>
      </c>
      <c r="U208">
        <v>0.094702162818701</v>
      </c>
      <c r="V208" t="s">
        <v>988</v>
      </c>
      <c r="W208" t="s">
        <v>994</v>
      </c>
      <c r="X208">
        <v>115.677492</v>
      </c>
      <c r="Y208" s="2">
        <v>45100</v>
      </c>
      <c r="Z208" t="s">
        <v>1008</v>
      </c>
    </row>
    <row r="209" spans="1:26">
      <c r="A209" s="1" t="s">
        <v>233</v>
      </c>
      <c r="B209">
        <f>HYPERLINK("https://www.suredividend.com/sure-analysis-ESS/","Essex Property Trust, Inc.")</f>
        <v>0</v>
      </c>
      <c r="C209" t="s">
        <v>896</v>
      </c>
      <c r="D209">
        <v>215</v>
      </c>
      <c r="E209">
        <v>220.02</v>
      </c>
      <c r="F209">
        <v>271</v>
      </c>
      <c r="G209">
        <v>0.8118819188191883</v>
      </c>
      <c r="H209">
        <v>0.0419961821652577</v>
      </c>
      <c r="I209">
        <v>0.0425608829675761</v>
      </c>
      <c r="J209">
        <v>0.044</v>
      </c>
      <c r="K209">
        <v>0.1203598523608</v>
      </c>
      <c r="L209" t="s">
        <v>900</v>
      </c>
      <c r="M209" t="s">
        <v>900</v>
      </c>
      <c r="N209">
        <v>14.59018567639257</v>
      </c>
      <c r="O209">
        <v>15.08</v>
      </c>
      <c r="P209">
        <v>9.24</v>
      </c>
      <c r="Q209">
        <v>0.6127320954907162</v>
      </c>
      <c r="R209">
        <v>29</v>
      </c>
      <c r="S209">
        <v>0.04144152735864126</v>
      </c>
      <c r="T209" t="s">
        <v>906</v>
      </c>
      <c r="U209">
        <v>-0.125784586678724</v>
      </c>
      <c r="V209" t="s">
        <v>989</v>
      </c>
      <c r="W209" t="s">
        <v>1001</v>
      </c>
      <c r="X209">
        <v>14121.238712</v>
      </c>
      <c r="Y209" s="2">
        <v>45065</v>
      </c>
      <c r="Z209" t="s">
        <v>1013</v>
      </c>
    </row>
    <row r="210" spans="1:26">
      <c r="A210" s="1" t="s">
        <v>234</v>
      </c>
      <c r="B210">
        <f>HYPERLINK("https://www.suredividend.com/sure-analysis-KDP/","Keurig Dr Pepper Inc")</f>
        <v>0</v>
      </c>
      <c r="C210" t="s">
        <v>896</v>
      </c>
      <c r="D210">
        <v>31</v>
      </c>
      <c r="E210">
        <v>31.18</v>
      </c>
      <c r="F210">
        <v>36</v>
      </c>
      <c r="G210">
        <v>0.8661111111111111</v>
      </c>
      <c r="H210">
        <v>0.02565747273893522</v>
      </c>
      <c r="I210">
        <v>0.02916563922880266</v>
      </c>
      <c r="J210">
        <v>0.07000000000000001</v>
      </c>
      <c r="K210">
        <v>0.120158750992355</v>
      </c>
      <c r="L210" t="s">
        <v>900</v>
      </c>
      <c r="M210" t="s">
        <v>589</v>
      </c>
      <c r="N210">
        <v>17.51685393258427</v>
      </c>
      <c r="O210">
        <v>1.78</v>
      </c>
      <c r="P210">
        <v>0.8</v>
      </c>
      <c r="Q210">
        <v>0.4494382022471911</v>
      </c>
      <c r="R210">
        <v>3</v>
      </c>
      <c r="S210">
        <v>0.03928904495613805</v>
      </c>
      <c r="T210" t="s">
        <v>906</v>
      </c>
      <c r="U210">
        <v>-0.108651342025745</v>
      </c>
      <c r="V210" t="s">
        <v>988</v>
      </c>
      <c r="W210" t="s">
        <v>997</v>
      </c>
      <c r="X210">
        <v>43769.748401</v>
      </c>
      <c r="Y210" s="2">
        <v>45078</v>
      </c>
      <c r="Z210" t="s">
        <v>1016</v>
      </c>
    </row>
    <row r="211" spans="1:26">
      <c r="A211" s="1" t="s">
        <v>235</v>
      </c>
      <c r="B211">
        <f>HYPERLINK("https://www.suredividend.com/sure-analysis-CMI/","Cummins Inc.")</f>
        <v>0</v>
      </c>
      <c r="C211" t="s">
        <v>896</v>
      </c>
      <c r="D211">
        <v>228</v>
      </c>
      <c r="E211">
        <v>232.02</v>
      </c>
      <c r="F211">
        <v>253</v>
      </c>
      <c r="G211">
        <v>0.9170750988142293</v>
      </c>
      <c r="H211">
        <v>0.02706663218688044</v>
      </c>
      <c r="I211">
        <v>0.0174639246087045</v>
      </c>
      <c r="J211">
        <v>0.08</v>
      </c>
      <c r="K211">
        <v>0.1196115736335734</v>
      </c>
      <c r="L211" t="s">
        <v>900</v>
      </c>
      <c r="M211" t="s">
        <v>900</v>
      </c>
      <c r="N211">
        <v>11.91679506933744</v>
      </c>
      <c r="O211">
        <v>19.47</v>
      </c>
      <c r="P211">
        <v>6.28</v>
      </c>
      <c r="Q211">
        <v>0.322547508988187</v>
      </c>
      <c r="R211">
        <v>17</v>
      </c>
      <c r="S211">
        <v>0.05012970832663055</v>
      </c>
      <c r="T211" t="s">
        <v>908</v>
      </c>
      <c r="U211">
        <v>0.221973401196166</v>
      </c>
      <c r="V211" t="s">
        <v>988</v>
      </c>
      <c r="W211" t="s">
        <v>993</v>
      </c>
      <c r="X211">
        <v>32845.165124</v>
      </c>
      <c r="Y211" s="2">
        <v>45049</v>
      </c>
      <c r="Z211" t="s">
        <v>1003</v>
      </c>
    </row>
    <row r="212" spans="1:26">
      <c r="A212" s="1" t="s">
        <v>236</v>
      </c>
      <c r="B212">
        <f>HYPERLINK("https://www.suredividend.com/sure-analysis-AMGN/","AMGEN Inc.")</f>
        <v>0</v>
      </c>
      <c r="C212" t="s">
        <v>896</v>
      </c>
      <c r="D212">
        <v>240</v>
      </c>
      <c r="E212">
        <v>227.11</v>
      </c>
      <c r="F212">
        <v>245</v>
      </c>
      <c r="G212">
        <v>0.9269795918367347</v>
      </c>
      <c r="H212">
        <v>0.03751486064021839</v>
      </c>
      <c r="I212">
        <v>0.01528031399333174</v>
      </c>
      <c r="J212">
        <v>0.07000000000000001</v>
      </c>
      <c r="K212">
        <v>0.1194179398933835</v>
      </c>
      <c r="L212" t="s">
        <v>900</v>
      </c>
      <c r="M212" t="s">
        <v>900</v>
      </c>
      <c r="N212">
        <v>12.51294765840221</v>
      </c>
      <c r="O212">
        <v>18.15</v>
      </c>
      <c r="P212">
        <v>8.52</v>
      </c>
      <c r="Q212">
        <v>0.4694214876033058</v>
      </c>
      <c r="R212">
        <v>12</v>
      </c>
      <c r="S212">
        <v>0.09001536381722608</v>
      </c>
      <c r="T212" t="s">
        <v>937</v>
      </c>
      <c r="U212">
        <v>-0.034600667035636</v>
      </c>
      <c r="V212" t="s">
        <v>988</v>
      </c>
      <c r="W212" t="s">
        <v>996</v>
      </c>
      <c r="X212">
        <v>121350.912763</v>
      </c>
      <c r="Y212" s="2">
        <v>45047</v>
      </c>
      <c r="Z212" t="s">
        <v>1003</v>
      </c>
    </row>
    <row r="213" spans="1:26">
      <c r="A213" s="1" t="s">
        <v>237</v>
      </c>
      <c r="B213">
        <f>HYPERLINK("https://www.suredividend.com/sure-analysis-RY/","Royal Bank Of Canada")</f>
        <v>0</v>
      </c>
      <c r="C213" t="s">
        <v>896</v>
      </c>
      <c r="D213">
        <v>90</v>
      </c>
      <c r="E213">
        <v>92.76000000000001</v>
      </c>
      <c r="F213">
        <v>101</v>
      </c>
      <c r="G213">
        <v>0.9184158415841585</v>
      </c>
      <c r="H213">
        <v>0.04312203536006899</v>
      </c>
      <c r="I213">
        <v>0.01716668350736916</v>
      </c>
      <c r="J213">
        <v>0.065</v>
      </c>
      <c r="K213">
        <v>0.1188437206716291</v>
      </c>
      <c r="L213" t="s">
        <v>900</v>
      </c>
      <c r="M213" t="s">
        <v>900</v>
      </c>
      <c r="N213">
        <v>11.21644498186215</v>
      </c>
      <c r="O213">
        <v>8.27</v>
      </c>
      <c r="P213">
        <v>4</v>
      </c>
      <c r="Q213">
        <v>0.4836759371221282</v>
      </c>
      <c r="R213">
        <v>11</v>
      </c>
      <c r="S213">
        <v>0.06498652656427617</v>
      </c>
      <c r="T213" t="s">
        <v>960</v>
      </c>
      <c r="U213">
        <v>0.001056526886397</v>
      </c>
      <c r="V213" t="s">
        <v>988</v>
      </c>
      <c r="W213" t="s">
        <v>994</v>
      </c>
      <c r="X213">
        <v>129503.210444</v>
      </c>
      <c r="Y213" s="2">
        <v>45077</v>
      </c>
      <c r="Z213" t="s">
        <v>1018</v>
      </c>
    </row>
    <row r="214" spans="1:26">
      <c r="A214" s="1" t="s">
        <v>238</v>
      </c>
      <c r="B214">
        <f>HYPERLINK("https://www.suredividend.com/sure-analysis-SPTN/","SpartanNash Co")</f>
        <v>0</v>
      </c>
      <c r="C214" t="s">
        <v>896</v>
      </c>
      <c r="D214">
        <v>22</v>
      </c>
      <c r="E214">
        <v>21.71</v>
      </c>
      <c r="F214">
        <v>27</v>
      </c>
      <c r="G214">
        <v>0.8040740740740741</v>
      </c>
      <c r="H214">
        <v>0.03961308152924919</v>
      </c>
      <c r="I214">
        <v>0.04457779141621243</v>
      </c>
      <c r="J214">
        <v>0.04</v>
      </c>
      <c r="K214">
        <v>0.1167259272067362</v>
      </c>
      <c r="L214" t="s">
        <v>900</v>
      </c>
      <c r="M214" t="s">
        <v>900</v>
      </c>
      <c r="N214">
        <v>9.521929824561404</v>
      </c>
      <c r="O214">
        <v>2.28</v>
      </c>
      <c r="P214">
        <v>0.86</v>
      </c>
      <c r="Q214">
        <v>0.3771929824561404</v>
      </c>
      <c r="R214">
        <v>13</v>
      </c>
      <c r="S214">
        <v>0.04073022977591667</v>
      </c>
      <c r="T214" t="s">
        <v>916</v>
      </c>
      <c r="U214">
        <v>-0.235813624411724</v>
      </c>
      <c r="V214" t="s">
        <v>988</v>
      </c>
      <c r="W214" t="s">
        <v>997</v>
      </c>
      <c r="X214">
        <v>754.2054000000001</v>
      </c>
      <c r="Y214" s="2">
        <v>45085</v>
      </c>
      <c r="Z214" t="s">
        <v>1010</v>
      </c>
    </row>
    <row r="215" spans="1:26">
      <c r="A215" s="1" t="s">
        <v>239</v>
      </c>
      <c r="B215">
        <f>HYPERLINK("https://www.suredividend.com/sure-analysis-CTSH/","Cognizant Technology Solutions Corp.")</f>
        <v>0</v>
      </c>
      <c r="C215" t="s">
        <v>896</v>
      </c>
      <c r="D215">
        <v>62</v>
      </c>
      <c r="E215">
        <v>62.04</v>
      </c>
      <c r="F215">
        <v>68</v>
      </c>
      <c r="G215">
        <v>0.9123529411764706</v>
      </c>
      <c r="H215">
        <v>0.01869761444229529</v>
      </c>
      <c r="I215">
        <v>0.01851498905786797</v>
      </c>
      <c r="J215">
        <v>0.08</v>
      </c>
      <c r="K215">
        <v>0.1158111457139652</v>
      </c>
      <c r="L215" t="s">
        <v>900</v>
      </c>
      <c r="M215" t="s">
        <v>589</v>
      </c>
      <c r="N215">
        <v>14.59764705882353</v>
      </c>
      <c r="O215">
        <v>4.25</v>
      </c>
      <c r="P215">
        <v>1.16</v>
      </c>
      <c r="Q215">
        <v>0.2729411764705882</v>
      </c>
      <c r="R215">
        <v>4</v>
      </c>
      <c r="S215">
        <v>0.08196719070537761</v>
      </c>
      <c r="T215" t="s">
        <v>908</v>
      </c>
      <c r="U215">
        <v>-0.09728618385154901</v>
      </c>
      <c r="V215" t="s">
        <v>988</v>
      </c>
      <c r="W215" t="s">
        <v>1000</v>
      </c>
      <c r="X215">
        <v>31485.3</v>
      </c>
      <c r="Y215" s="2">
        <v>45058</v>
      </c>
      <c r="Z215" t="s">
        <v>1007</v>
      </c>
    </row>
    <row r="216" spans="1:26">
      <c r="A216" s="1" t="s">
        <v>240</v>
      </c>
      <c r="B216">
        <f>HYPERLINK("https://www.suredividend.com/sure-analysis-HRB/","H&amp;R Block Inc.")</f>
        <v>0</v>
      </c>
      <c r="C216" t="s">
        <v>896</v>
      </c>
      <c r="D216">
        <v>32</v>
      </c>
      <c r="E216">
        <v>32.6</v>
      </c>
      <c r="F216">
        <v>42.1</v>
      </c>
      <c r="G216">
        <v>0.7743467933491687</v>
      </c>
      <c r="H216">
        <v>0.03558282208588957</v>
      </c>
      <c r="I216">
        <v>0.05247769132932323</v>
      </c>
      <c r="J216">
        <v>0.033</v>
      </c>
      <c r="K216">
        <v>0.1154922012735153</v>
      </c>
      <c r="L216" t="s">
        <v>900</v>
      </c>
      <c r="M216" t="s">
        <v>900</v>
      </c>
      <c r="N216">
        <v>8.511749347258485</v>
      </c>
      <c r="O216">
        <v>3.83</v>
      </c>
      <c r="P216">
        <v>1.16</v>
      </c>
      <c r="Q216">
        <v>0.3028720626631853</v>
      </c>
      <c r="R216">
        <v>7</v>
      </c>
      <c r="S216">
        <v>0.0527534030599619</v>
      </c>
      <c r="T216" t="s">
        <v>920</v>
      </c>
      <c r="U216">
        <v>-0.034403092279667</v>
      </c>
      <c r="V216" t="s">
        <v>988</v>
      </c>
      <c r="W216" t="s">
        <v>995</v>
      </c>
      <c r="X216">
        <v>4964.466159</v>
      </c>
      <c r="Y216" s="2">
        <v>45067</v>
      </c>
      <c r="Z216" t="s">
        <v>1013</v>
      </c>
    </row>
    <row r="217" spans="1:26">
      <c r="A217" s="1" t="s">
        <v>241</v>
      </c>
      <c r="B217">
        <f>HYPERLINK("https://www.suredividend.com/sure-analysis-NTIOF/","National Bank Of Canada")</f>
        <v>0</v>
      </c>
      <c r="C217" t="s">
        <v>896</v>
      </c>
      <c r="D217">
        <v>72</v>
      </c>
      <c r="E217">
        <v>71.87</v>
      </c>
      <c r="F217">
        <v>79</v>
      </c>
      <c r="G217">
        <v>0.909746835443038</v>
      </c>
      <c r="H217">
        <v>0.04174203422846807</v>
      </c>
      <c r="I217">
        <v>0.01909785922455787</v>
      </c>
      <c r="J217">
        <v>0.06</v>
      </c>
      <c r="K217">
        <v>0.1145952381897244</v>
      </c>
      <c r="L217" t="s">
        <v>900</v>
      </c>
      <c r="M217" t="s">
        <v>900</v>
      </c>
      <c r="N217">
        <v>10.0377094972067</v>
      </c>
      <c r="O217">
        <v>7.16</v>
      </c>
      <c r="P217">
        <v>3</v>
      </c>
      <c r="Q217">
        <v>0.4189944134078212</v>
      </c>
      <c r="R217">
        <v>12</v>
      </c>
      <c r="S217">
        <v>0.05975292415044642</v>
      </c>
      <c r="T217" t="s">
        <v>904</v>
      </c>
      <c r="U217">
        <v>0.110132839048501</v>
      </c>
      <c r="V217" t="s">
        <v>988</v>
      </c>
      <c r="W217" t="s">
        <v>994</v>
      </c>
      <c r="X217">
        <v>24282.673562</v>
      </c>
      <c r="Y217" s="2">
        <v>45085</v>
      </c>
      <c r="Z217" t="s">
        <v>1018</v>
      </c>
    </row>
    <row r="218" spans="1:26">
      <c r="A218" s="1" t="s">
        <v>242</v>
      </c>
      <c r="B218">
        <f>HYPERLINK("https://www.suredividend.com/sure-analysis-RHI/","Robert Half International Inc.")</f>
        <v>0</v>
      </c>
      <c r="C218" t="s">
        <v>896</v>
      </c>
      <c r="D218">
        <v>66</v>
      </c>
      <c r="E218">
        <v>70.53</v>
      </c>
      <c r="F218">
        <v>90</v>
      </c>
      <c r="G218">
        <v>0.7836666666666667</v>
      </c>
      <c r="H218">
        <v>0.02722245852828583</v>
      </c>
      <c r="I218">
        <v>0.04996234731035698</v>
      </c>
      <c r="J218">
        <v>0.04</v>
      </c>
      <c r="K218">
        <v>0.1139429717208107</v>
      </c>
      <c r="L218" t="s">
        <v>900</v>
      </c>
      <c r="M218" t="s">
        <v>900</v>
      </c>
      <c r="N218">
        <v>15.67333333333333</v>
      </c>
      <c r="O218">
        <v>4.5</v>
      </c>
      <c r="P218">
        <v>1.92</v>
      </c>
      <c r="Q218">
        <v>0.4266666666666666</v>
      </c>
      <c r="R218">
        <v>19</v>
      </c>
      <c r="S218">
        <v>0.06005006969898052</v>
      </c>
      <c r="T218" t="s">
        <v>947</v>
      </c>
      <c r="U218">
        <v>-0.072531385732526</v>
      </c>
      <c r="V218" t="s">
        <v>988</v>
      </c>
      <c r="W218" t="s">
        <v>993</v>
      </c>
      <c r="X218">
        <v>7600.5124</v>
      </c>
      <c r="Y218" s="2">
        <v>45062</v>
      </c>
      <c r="Z218" t="s">
        <v>1014</v>
      </c>
    </row>
    <row r="219" spans="1:26">
      <c r="A219" s="1" t="s">
        <v>243</v>
      </c>
      <c r="B219">
        <f>HYPERLINK("https://www.suredividend.com/sure-analysis-NTRS/","Northern Trust Corp.")</f>
        <v>0</v>
      </c>
      <c r="C219" t="s">
        <v>897</v>
      </c>
      <c r="D219">
        <v>78</v>
      </c>
      <c r="E219">
        <v>71.28</v>
      </c>
      <c r="F219">
        <v>82</v>
      </c>
      <c r="G219">
        <v>0.8692682926829268</v>
      </c>
      <c r="H219">
        <v>0.04208754208754209</v>
      </c>
      <c r="I219">
        <v>0.02841696504873847</v>
      </c>
      <c r="J219">
        <v>0.05</v>
      </c>
      <c r="K219">
        <v>0.1135867074404984</v>
      </c>
      <c r="L219" t="s">
        <v>900</v>
      </c>
      <c r="M219" t="s">
        <v>900</v>
      </c>
      <c r="N219">
        <v>10.48235294117647</v>
      </c>
      <c r="O219">
        <v>6.8</v>
      </c>
      <c r="P219">
        <v>3</v>
      </c>
      <c r="Q219">
        <v>0.4411764705882353</v>
      </c>
      <c r="R219">
        <v>2</v>
      </c>
      <c r="S219">
        <v>0.05006335758366887</v>
      </c>
      <c r="T219" t="s">
        <v>926</v>
      </c>
      <c r="U219">
        <v>-0.232744831683935</v>
      </c>
      <c r="V219" t="s">
        <v>988</v>
      </c>
      <c r="W219" t="s">
        <v>994</v>
      </c>
      <c r="X219">
        <v>14850.642565</v>
      </c>
      <c r="Y219" s="2">
        <v>45042</v>
      </c>
      <c r="Z219" t="s">
        <v>1006</v>
      </c>
    </row>
    <row r="220" spans="1:26">
      <c r="A220" s="1" t="s">
        <v>244</v>
      </c>
      <c r="B220">
        <f>HYPERLINK("https://www.suredividend.com/sure-analysis-PRGO/","Perrigo Company plc")</f>
        <v>0</v>
      </c>
      <c r="C220" t="s">
        <v>896</v>
      </c>
      <c r="D220">
        <v>32</v>
      </c>
      <c r="E220">
        <v>33.52</v>
      </c>
      <c r="F220">
        <v>40</v>
      </c>
      <c r="G220">
        <v>0.8380000000000001</v>
      </c>
      <c r="H220">
        <v>0.03251789976133652</v>
      </c>
      <c r="I220">
        <v>0.03597958257097278</v>
      </c>
      <c r="J220">
        <v>0.05</v>
      </c>
      <c r="K220">
        <v>0.1134721870028521</v>
      </c>
      <c r="L220" t="s">
        <v>900</v>
      </c>
      <c r="M220" t="s">
        <v>900</v>
      </c>
      <c r="N220">
        <v>12.64905660377359</v>
      </c>
      <c r="O220">
        <v>2.65</v>
      </c>
      <c r="P220">
        <v>1.09</v>
      </c>
      <c r="Q220">
        <v>0.4113207547169812</v>
      </c>
      <c r="R220">
        <v>21</v>
      </c>
      <c r="S220">
        <v>0.0498268125957908</v>
      </c>
      <c r="T220" t="s">
        <v>930</v>
      </c>
      <c r="U220">
        <v>-0.160957489680928</v>
      </c>
      <c r="V220" t="s">
        <v>988</v>
      </c>
      <c r="W220" t="s">
        <v>996</v>
      </c>
      <c r="X220">
        <v>4536.122391</v>
      </c>
      <c r="Y220" s="2">
        <v>45074</v>
      </c>
      <c r="Z220" t="s">
        <v>1003</v>
      </c>
    </row>
    <row r="221" spans="1:26">
      <c r="A221" s="1" t="s">
        <v>245</v>
      </c>
      <c r="B221">
        <f>HYPERLINK("https://www.suredividend.com/sure-analysis-LNT/","Alliant Energy Corp.")</f>
        <v>0</v>
      </c>
      <c r="C221" t="s">
        <v>896</v>
      </c>
      <c r="D221">
        <v>55</v>
      </c>
      <c r="E221">
        <v>51.83</v>
      </c>
      <c r="F221">
        <v>58</v>
      </c>
      <c r="G221">
        <v>0.8936206896551724</v>
      </c>
      <c r="H221">
        <v>0.03492185992668339</v>
      </c>
      <c r="I221">
        <v>0.02274969096753288</v>
      </c>
      <c r="J221">
        <v>0.06</v>
      </c>
      <c r="K221">
        <v>0.1127563157958822</v>
      </c>
      <c r="L221" t="s">
        <v>900</v>
      </c>
      <c r="M221" t="s">
        <v>900</v>
      </c>
      <c r="N221">
        <v>17.87241379310345</v>
      </c>
      <c r="O221">
        <v>2.9</v>
      </c>
      <c r="P221">
        <v>1.81</v>
      </c>
      <c r="Q221">
        <v>0.6241379310344828</v>
      </c>
      <c r="R221">
        <v>20</v>
      </c>
      <c r="S221">
        <v>0.05980840202347104</v>
      </c>
      <c r="T221" t="s">
        <v>928</v>
      </c>
      <c r="U221">
        <v>-0.058209999364023</v>
      </c>
      <c r="V221" t="s">
        <v>988</v>
      </c>
      <c r="W221" t="s">
        <v>999</v>
      </c>
      <c r="X221">
        <v>13029.429052</v>
      </c>
      <c r="Y221" s="2">
        <v>45062</v>
      </c>
      <c r="Z221" t="s">
        <v>1011</v>
      </c>
    </row>
    <row r="222" spans="1:26">
      <c r="A222" s="1" t="s">
        <v>246</v>
      </c>
      <c r="B222">
        <f>HYPERLINK("https://www.suredividend.com/sure-analysis-UMBF/","UMB Financial Corp.")</f>
        <v>0</v>
      </c>
      <c r="C222" t="s">
        <v>897</v>
      </c>
      <c r="D222">
        <v>63</v>
      </c>
      <c r="E222">
        <v>57.4</v>
      </c>
      <c r="F222">
        <v>85</v>
      </c>
      <c r="G222">
        <v>0.6752941176470588</v>
      </c>
      <c r="H222">
        <v>0.0264808362369338</v>
      </c>
      <c r="I222">
        <v>0.08168649287355656</v>
      </c>
      <c r="J222">
        <v>0.01</v>
      </c>
      <c r="K222">
        <v>0.1121023643384769</v>
      </c>
      <c r="L222" t="s">
        <v>900</v>
      </c>
      <c r="M222" t="s">
        <v>589</v>
      </c>
      <c r="N222">
        <v>7.454545454545454</v>
      </c>
      <c r="O222">
        <v>7.7</v>
      </c>
      <c r="P222">
        <v>1.52</v>
      </c>
      <c r="Q222">
        <v>0.1974025974025974</v>
      </c>
      <c r="R222">
        <v>31</v>
      </c>
      <c r="S222">
        <v>0.02975477857041309</v>
      </c>
      <c r="T222" t="s">
        <v>941</v>
      </c>
      <c r="U222">
        <v>-0.331684666936787</v>
      </c>
      <c r="V222" t="s">
        <v>988</v>
      </c>
      <c r="W222" t="s">
        <v>994</v>
      </c>
      <c r="X222">
        <v>2784.413099</v>
      </c>
      <c r="Y222" s="2">
        <v>45044</v>
      </c>
      <c r="Z222" t="s">
        <v>1004</v>
      </c>
    </row>
    <row r="223" spans="1:26">
      <c r="A223" s="1" t="s">
        <v>247</v>
      </c>
      <c r="B223">
        <f>HYPERLINK("https://www.suredividend.com/sure-analysis-RBA/","RB Global Inc")</f>
        <v>0</v>
      </c>
      <c r="C223" t="s">
        <v>896</v>
      </c>
      <c r="D223">
        <v>54</v>
      </c>
      <c r="E223">
        <v>55.4</v>
      </c>
      <c r="F223">
        <v>54</v>
      </c>
      <c r="G223">
        <v>1.025925925925926</v>
      </c>
      <c r="H223">
        <v>0.01949458483754513</v>
      </c>
      <c r="I223">
        <v>-0.005106029126441314</v>
      </c>
      <c r="J223">
        <v>0.1</v>
      </c>
      <c r="K223">
        <v>0.1120610420002017</v>
      </c>
      <c r="L223" t="s">
        <v>900</v>
      </c>
      <c r="M223" t="s">
        <v>589</v>
      </c>
      <c r="N223">
        <v>22.16</v>
      </c>
      <c r="O223">
        <v>2.5</v>
      </c>
      <c r="P223">
        <v>1.08</v>
      </c>
      <c r="Q223">
        <v>0.4320000000000001</v>
      </c>
      <c r="R223">
        <v>18</v>
      </c>
      <c r="S223">
        <v>0.100082101138866</v>
      </c>
      <c r="T223" t="s">
        <v>914</v>
      </c>
      <c r="U223">
        <v>-0.067675955127277</v>
      </c>
      <c r="V223" t="s">
        <v>988</v>
      </c>
      <c r="W223" t="s">
        <v>993</v>
      </c>
      <c r="X223">
        <v>10077.373902</v>
      </c>
      <c r="Y223" s="2">
        <v>45061</v>
      </c>
      <c r="Z223" t="s">
        <v>1012</v>
      </c>
    </row>
    <row r="224" spans="1:26">
      <c r="A224" s="1" t="s">
        <v>248</v>
      </c>
      <c r="B224">
        <f>HYPERLINK("https://www.suredividend.com/sure-analysis-SRE/","Sempra Energy")</f>
        <v>0</v>
      </c>
      <c r="C224" t="s">
        <v>896</v>
      </c>
      <c r="D224">
        <v>151</v>
      </c>
      <c r="E224">
        <v>143.75</v>
      </c>
      <c r="F224">
        <v>169</v>
      </c>
      <c r="G224">
        <v>0.8505917159763313</v>
      </c>
      <c r="H224">
        <v>0.03311304347826087</v>
      </c>
      <c r="I224">
        <v>0.0328940371047981</v>
      </c>
      <c r="J224">
        <v>0.05</v>
      </c>
      <c r="K224">
        <v>0.1110020964313319</v>
      </c>
      <c r="L224" t="s">
        <v>900</v>
      </c>
      <c r="M224" t="s">
        <v>900</v>
      </c>
      <c r="N224">
        <v>15.97222222222222</v>
      </c>
      <c r="O224">
        <v>9</v>
      </c>
      <c r="P224">
        <v>4.76</v>
      </c>
      <c r="Q224">
        <v>0.5288888888888889</v>
      </c>
      <c r="R224">
        <v>13</v>
      </c>
      <c r="S224">
        <v>0.05016931709648742</v>
      </c>
      <c r="T224" t="s">
        <v>961</v>
      </c>
      <c r="U224">
        <v>-0.008609750176553001</v>
      </c>
      <c r="V224" t="s">
        <v>988</v>
      </c>
      <c r="W224" t="s">
        <v>999</v>
      </c>
      <c r="X224">
        <v>45231.343738</v>
      </c>
      <c r="Y224" s="2">
        <v>45063</v>
      </c>
      <c r="Z224" t="s">
        <v>1007</v>
      </c>
    </row>
    <row r="225" spans="1:26">
      <c r="A225" s="1" t="s">
        <v>249</v>
      </c>
      <c r="B225">
        <f>HYPERLINK("https://www.suredividend.com/sure-analysis-MMS/","Maximus Inc.")</f>
        <v>0</v>
      </c>
      <c r="C225" t="s">
        <v>896</v>
      </c>
      <c r="D225">
        <v>79</v>
      </c>
      <c r="E225">
        <v>83.54000000000001</v>
      </c>
      <c r="F225">
        <v>83</v>
      </c>
      <c r="G225">
        <v>1.006506024096386</v>
      </c>
      <c r="H225">
        <v>0.01340675125688293</v>
      </c>
      <c r="I225">
        <v>-0.001296149526137658</v>
      </c>
      <c r="J225">
        <v>0.1</v>
      </c>
      <c r="K225">
        <v>0.1106521606997362</v>
      </c>
      <c r="L225" t="s">
        <v>900</v>
      </c>
      <c r="M225" t="s">
        <v>791</v>
      </c>
      <c r="N225">
        <v>20.13012048192771</v>
      </c>
      <c r="O225">
        <v>4.15</v>
      </c>
      <c r="P225">
        <v>1.12</v>
      </c>
      <c r="Q225">
        <v>0.2698795180722892</v>
      </c>
      <c r="R225">
        <v>0</v>
      </c>
      <c r="S225">
        <v>0.09953965407958165</v>
      </c>
      <c r="T225" t="s">
        <v>931</v>
      </c>
      <c r="U225">
        <v>0.338539655479056</v>
      </c>
      <c r="V225" t="s">
        <v>988</v>
      </c>
      <c r="W225" t="s">
        <v>1000</v>
      </c>
      <c r="X225">
        <v>5077.863698</v>
      </c>
      <c r="Y225" s="2">
        <v>45058</v>
      </c>
      <c r="Z225" t="s">
        <v>1006</v>
      </c>
    </row>
    <row r="226" spans="1:26">
      <c r="A226" s="1" t="s">
        <v>250</v>
      </c>
      <c r="B226">
        <f>HYPERLINK("https://www.suredividend.com/sure-analysis-SR/","Spire Inc.")</f>
        <v>0</v>
      </c>
      <c r="C226" t="s">
        <v>897</v>
      </c>
      <c r="D226">
        <v>69</v>
      </c>
      <c r="E226">
        <v>62.71</v>
      </c>
      <c r="F226">
        <v>68</v>
      </c>
      <c r="G226">
        <v>0.9222058823529412</v>
      </c>
      <c r="H226">
        <v>0.04592568968266624</v>
      </c>
      <c r="I226">
        <v>0.01632924441529449</v>
      </c>
      <c r="J226">
        <v>0.055</v>
      </c>
      <c r="K226">
        <v>0.109842233510534</v>
      </c>
      <c r="L226" t="s">
        <v>900</v>
      </c>
      <c r="M226" t="s">
        <v>900</v>
      </c>
      <c r="N226">
        <v>14.72065727699531</v>
      </c>
      <c r="O226">
        <v>4.26</v>
      </c>
      <c r="P226">
        <v>2.88</v>
      </c>
      <c r="Q226">
        <v>0.676056338028169</v>
      </c>
      <c r="R226">
        <v>20</v>
      </c>
      <c r="S226">
        <v>0.05024607263868264</v>
      </c>
      <c r="T226" t="s">
        <v>941</v>
      </c>
      <c r="U226">
        <v>-0.107384327200366</v>
      </c>
      <c r="V226" t="s">
        <v>988</v>
      </c>
      <c r="W226" t="s">
        <v>999</v>
      </c>
      <c r="X226">
        <v>3298.359563</v>
      </c>
      <c r="Y226" s="2">
        <v>45062</v>
      </c>
      <c r="Z226" t="s">
        <v>1011</v>
      </c>
    </row>
    <row r="227" spans="1:26">
      <c r="A227" s="1" t="s">
        <v>251</v>
      </c>
      <c r="B227">
        <f>HYPERLINK("https://www.suredividend.com/sure-analysis-MET/","Metlife Inc")</f>
        <v>0</v>
      </c>
      <c r="C227" t="s">
        <v>896</v>
      </c>
      <c r="D227">
        <v>50</v>
      </c>
      <c r="E227">
        <v>53.33</v>
      </c>
      <c r="F227">
        <v>71</v>
      </c>
      <c r="G227">
        <v>0.7511267605633802</v>
      </c>
      <c r="H227">
        <v>0.03900243765235328</v>
      </c>
      <c r="I227">
        <v>0.05890586317887614</v>
      </c>
      <c r="J227">
        <v>0.02</v>
      </c>
      <c r="K227">
        <v>0.1089524036990799</v>
      </c>
      <c r="L227" t="s">
        <v>900</v>
      </c>
      <c r="M227" t="s">
        <v>899</v>
      </c>
      <c r="N227">
        <v>6.767766497461928</v>
      </c>
      <c r="O227">
        <v>7.88</v>
      </c>
      <c r="P227">
        <v>2.08</v>
      </c>
      <c r="Q227">
        <v>0.2639593908629442</v>
      </c>
      <c r="R227">
        <v>11</v>
      </c>
      <c r="S227">
        <v>0.02031177855938826</v>
      </c>
      <c r="T227" t="s">
        <v>955</v>
      </c>
      <c r="U227">
        <v>-0.143042624510298</v>
      </c>
      <c r="V227" t="s">
        <v>988</v>
      </c>
      <c r="W227" t="s">
        <v>994</v>
      </c>
      <c r="X227">
        <v>40841.22785</v>
      </c>
      <c r="Y227" s="2">
        <v>45064</v>
      </c>
      <c r="Z227" t="s">
        <v>1003</v>
      </c>
    </row>
    <row r="228" spans="1:26">
      <c r="A228" s="1" t="s">
        <v>252</v>
      </c>
      <c r="B228">
        <f>HYPERLINK("https://www.suredividend.com/sure-analysis-EPD/","Enterprise Products Partners L P")</f>
        <v>0</v>
      </c>
      <c r="C228" t="s">
        <v>896</v>
      </c>
      <c r="D228">
        <v>25.9</v>
      </c>
      <c r="E228">
        <v>25.78</v>
      </c>
      <c r="F228">
        <v>28.2</v>
      </c>
      <c r="G228">
        <v>0.9141843971631206</v>
      </c>
      <c r="H228">
        <v>0.0760279286268425</v>
      </c>
      <c r="I228">
        <v>0.0181065677390726</v>
      </c>
      <c r="J228">
        <v>0.028</v>
      </c>
      <c r="K228">
        <v>0.1080382566122211</v>
      </c>
      <c r="L228" t="s">
        <v>900</v>
      </c>
      <c r="M228" t="s">
        <v>899</v>
      </c>
      <c r="N228">
        <v>7.323863636363637</v>
      </c>
      <c r="O228">
        <v>3.52</v>
      </c>
      <c r="P228">
        <v>1.96</v>
      </c>
      <c r="Q228">
        <v>0.5568181818181818</v>
      </c>
      <c r="R228">
        <v>25</v>
      </c>
      <c r="S228">
        <v>0.02889361837940907</v>
      </c>
      <c r="T228" t="s">
        <v>928</v>
      </c>
      <c r="U228">
        <v>0.157569552957235</v>
      </c>
      <c r="V228" t="s">
        <v>990</v>
      </c>
      <c r="W228" t="s">
        <v>1002</v>
      </c>
      <c r="X228">
        <v>56058.840757</v>
      </c>
      <c r="Y228" s="2">
        <v>45063</v>
      </c>
      <c r="Z228" t="s">
        <v>1013</v>
      </c>
    </row>
    <row r="229" spans="1:26">
      <c r="A229" s="1" t="s">
        <v>253</v>
      </c>
      <c r="B229">
        <f>HYPERLINK("https://www.suredividend.com/sure-analysis-SLF/","Sun Life Financial, Inc.")</f>
        <v>0</v>
      </c>
      <c r="C229" t="s">
        <v>896</v>
      </c>
      <c r="D229">
        <v>49</v>
      </c>
      <c r="E229">
        <v>50.34</v>
      </c>
      <c r="F229">
        <v>50</v>
      </c>
      <c r="G229">
        <v>1.0068</v>
      </c>
      <c r="H229">
        <v>0.04270957489074294</v>
      </c>
      <c r="I229">
        <v>-0.001354478720345886</v>
      </c>
      <c r="J229">
        <v>0.07000000000000001</v>
      </c>
      <c r="K229">
        <v>0.107176382226402</v>
      </c>
      <c r="L229" t="s">
        <v>900</v>
      </c>
      <c r="M229" t="s">
        <v>900</v>
      </c>
      <c r="N229">
        <v>11.18666666666667</v>
      </c>
      <c r="O229">
        <v>4.5</v>
      </c>
      <c r="P229">
        <v>2.15</v>
      </c>
      <c r="Q229">
        <v>0.4777777777777777</v>
      </c>
      <c r="R229">
        <v>9</v>
      </c>
      <c r="S229">
        <v>0.0800645815630181</v>
      </c>
      <c r="T229" t="s">
        <v>934</v>
      </c>
      <c r="U229">
        <v>0.136538096829252</v>
      </c>
      <c r="V229" t="s">
        <v>988</v>
      </c>
      <c r="W229" t="s">
        <v>994</v>
      </c>
      <c r="X229">
        <v>29537.177936</v>
      </c>
      <c r="Y229" s="2">
        <v>45071</v>
      </c>
      <c r="Z229" t="s">
        <v>1008</v>
      </c>
    </row>
    <row r="230" spans="1:26">
      <c r="A230" s="1" t="s">
        <v>254</v>
      </c>
      <c r="B230">
        <f>HYPERLINK("https://www.suredividend.com/sure-analysis-ALRS/","Alerus Financial Corp")</f>
        <v>0</v>
      </c>
      <c r="C230" t="s">
        <v>896</v>
      </c>
      <c r="D230">
        <v>15</v>
      </c>
      <c r="E230">
        <v>17.98</v>
      </c>
      <c r="F230">
        <v>20</v>
      </c>
      <c r="G230">
        <v>0.899</v>
      </c>
      <c r="H230">
        <v>0.04226918798665184</v>
      </c>
      <c r="I230">
        <v>0.02152279362383802</v>
      </c>
      <c r="J230">
        <v>0.05</v>
      </c>
      <c r="K230">
        <v>0.1071246379782649</v>
      </c>
      <c r="L230" t="s">
        <v>900</v>
      </c>
      <c r="M230" t="s">
        <v>899</v>
      </c>
      <c r="N230">
        <v>10.57647058823529</v>
      </c>
      <c r="O230">
        <v>1.7</v>
      </c>
      <c r="P230">
        <v>0.76</v>
      </c>
      <c r="Q230">
        <v>0.4470588235294118</v>
      </c>
      <c r="R230">
        <v>18</v>
      </c>
      <c r="S230">
        <v>0.04783168830275741</v>
      </c>
      <c r="T230" t="s">
        <v>916</v>
      </c>
      <c r="U230">
        <v>-0.229420865637227</v>
      </c>
      <c r="V230" t="s">
        <v>988</v>
      </c>
      <c r="W230" t="s">
        <v>994</v>
      </c>
      <c r="X230">
        <v>362.505928</v>
      </c>
      <c r="Y230" s="2">
        <v>45044</v>
      </c>
      <c r="Z230" t="s">
        <v>1007</v>
      </c>
    </row>
    <row r="231" spans="1:26">
      <c r="A231" s="1" t="s">
        <v>255</v>
      </c>
      <c r="B231">
        <f>HYPERLINK("https://www.suredividend.com/sure-analysis-PNGAY/","Ping AN Insurance (Group) Co. of China, Ltd.")</f>
        <v>0</v>
      </c>
      <c r="C231" t="s">
        <v>897</v>
      </c>
      <c r="D231">
        <v>13.77</v>
      </c>
      <c r="E231">
        <v>12.465</v>
      </c>
      <c r="F231">
        <v>13.8</v>
      </c>
      <c r="G231">
        <v>0.9032608695652173</v>
      </c>
      <c r="H231">
        <v>0.05615724027276373</v>
      </c>
      <c r="I231">
        <v>0.02055722284532346</v>
      </c>
      <c r="J231">
        <v>0.04</v>
      </c>
      <c r="K231">
        <v>0.1070665497337844</v>
      </c>
      <c r="L231" t="s">
        <v>900</v>
      </c>
      <c r="M231" t="s">
        <v>899</v>
      </c>
      <c r="N231">
        <v>5.419565217391304</v>
      </c>
      <c r="O231">
        <v>2.3</v>
      </c>
      <c r="P231">
        <v>0.7</v>
      </c>
      <c r="Q231">
        <v>0.3043478260869565</v>
      </c>
      <c r="R231">
        <v>12</v>
      </c>
      <c r="S231">
        <v>0.03959498820755258</v>
      </c>
      <c r="T231" t="s">
        <v>932</v>
      </c>
      <c r="U231">
        <v>-0.08948137326515701</v>
      </c>
      <c r="V231" t="s">
        <v>988</v>
      </c>
      <c r="W231" t="s">
        <v>994</v>
      </c>
      <c r="X231">
        <v>46417.023104</v>
      </c>
      <c r="Y231" s="2">
        <v>45072</v>
      </c>
      <c r="Z231" t="s">
        <v>1012</v>
      </c>
    </row>
    <row r="232" spans="1:26">
      <c r="A232" s="1" t="s">
        <v>256</v>
      </c>
      <c r="B232">
        <f>HYPERLINK("https://www.suredividend.com/sure-analysis-EBAY/","EBay Inc.")</f>
        <v>0</v>
      </c>
      <c r="C232" t="s">
        <v>897</v>
      </c>
      <c r="D232">
        <v>45.8</v>
      </c>
      <c r="E232">
        <v>43.37</v>
      </c>
      <c r="F232">
        <v>49.9</v>
      </c>
      <c r="G232">
        <v>0.8691382765531062</v>
      </c>
      <c r="H232">
        <v>0.02305741295826608</v>
      </c>
      <c r="I232">
        <v>0.02844773179716875</v>
      </c>
      <c r="J232">
        <v>0.056</v>
      </c>
      <c r="K232">
        <v>0.1069452290785149</v>
      </c>
      <c r="L232" t="s">
        <v>900</v>
      </c>
      <c r="M232" t="s">
        <v>900</v>
      </c>
      <c r="N232">
        <v>10.42548076923077</v>
      </c>
      <c r="O232">
        <v>4.16</v>
      </c>
      <c r="P232">
        <v>1</v>
      </c>
      <c r="Q232">
        <v>0.2403846153846154</v>
      </c>
      <c r="R232">
        <v>4</v>
      </c>
      <c r="S232">
        <v>0.09160706958928855</v>
      </c>
      <c r="T232" t="s">
        <v>912</v>
      </c>
      <c r="U232">
        <v>0.045160859952732</v>
      </c>
      <c r="V232" t="s">
        <v>988</v>
      </c>
      <c r="W232" t="s">
        <v>995</v>
      </c>
      <c r="X232">
        <v>23458.907803</v>
      </c>
      <c r="Y232" s="2">
        <v>45059</v>
      </c>
      <c r="Z232" t="s">
        <v>1013</v>
      </c>
    </row>
    <row r="233" spans="1:26">
      <c r="A233" s="1" t="s">
        <v>257</v>
      </c>
      <c r="B233">
        <f>HYPERLINK("https://www.suredividend.com/sure-analysis-AUBN/","Auburn National Bancorp Inc.")</f>
        <v>0</v>
      </c>
      <c r="C233" t="s">
        <v>897</v>
      </c>
      <c r="D233">
        <v>23</v>
      </c>
      <c r="E233">
        <v>20.17</v>
      </c>
      <c r="F233">
        <v>25</v>
      </c>
      <c r="G233">
        <v>0.8068000000000001</v>
      </c>
      <c r="H233">
        <v>0.05354486861675756</v>
      </c>
      <c r="I233">
        <v>0.04387097491883174</v>
      </c>
      <c r="J233">
        <v>0.02</v>
      </c>
      <c r="K233">
        <v>0.1066192446223515</v>
      </c>
      <c r="L233" t="s">
        <v>900</v>
      </c>
      <c r="M233" t="s">
        <v>899</v>
      </c>
      <c r="N233">
        <v>8.769565217391305</v>
      </c>
      <c r="O233">
        <v>2.3</v>
      </c>
      <c r="P233">
        <v>1.08</v>
      </c>
      <c r="Q233">
        <v>0.4695652173913044</v>
      </c>
      <c r="R233">
        <v>22</v>
      </c>
      <c r="S233">
        <v>0.0280153179958833</v>
      </c>
      <c r="T233" t="s">
        <v>926</v>
      </c>
      <c r="U233">
        <v>-0.269917110073478</v>
      </c>
      <c r="V233" t="s">
        <v>988</v>
      </c>
      <c r="W233" t="s">
        <v>994</v>
      </c>
      <c r="X233">
        <v>70.60258399999999</v>
      </c>
      <c r="Y233" s="2">
        <v>45046</v>
      </c>
      <c r="Z233" t="s">
        <v>1006</v>
      </c>
    </row>
    <row r="234" spans="1:26">
      <c r="A234" s="1" t="s">
        <v>258</v>
      </c>
      <c r="B234">
        <f>HYPERLINK("https://www.suredividend.com/sure-analysis-AEP/","American Electric Power Company Inc.")</f>
        <v>0</v>
      </c>
      <c r="C234" t="s">
        <v>897</v>
      </c>
      <c r="D234">
        <v>91.7</v>
      </c>
      <c r="E234">
        <v>83.48999999999999</v>
      </c>
      <c r="F234">
        <v>89.90000000000001</v>
      </c>
      <c r="G234">
        <v>0.9286985539488319</v>
      </c>
      <c r="H234">
        <v>0.03976524134626901</v>
      </c>
      <c r="I234">
        <v>0.01490419152708045</v>
      </c>
      <c r="J234">
        <v>0.058</v>
      </c>
      <c r="K234">
        <v>0.1060367113106484</v>
      </c>
      <c r="L234" t="s">
        <v>900</v>
      </c>
      <c r="M234" t="s">
        <v>900</v>
      </c>
      <c r="N234">
        <v>15.78260869565217</v>
      </c>
      <c r="O234">
        <v>5.29</v>
      </c>
      <c r="P234">
        <v>3.32</v>
      </c>
      <c r="Q234">
        <v>0.6275992438563327</v>
      </c>
      <c r="R234">
        <v>18</v>
      </c>
      <c r="S234">
        <v>0.04563955259127317</v>
      </c>
      <c r="T234" t="s">
        <v>905</v>
      </c>
      <c r="U234">
        <v>-0.06743946287015</v>
      </c>
      <c r="V234" t="s">
        <v>988</v>
      </c>
      <c r="W234" t="s">
        <v>999</v>
      </c>
      <c r="X234">
        <v>42902.679103</v>
      </c>
      <c r="Y234" s="2">
        <v>45067</v>
      </c>
      <c r="Z234" t="s">
        <v>1013</v>
      </c>
    </row>
    <row r="235" spans="1:26">
      <c r="A235" s="1" t="s">
        <v>259</v>
      </c>
      <c r="B235">
        <f>HYPERLINK("https://www.suredividend.com/sure-analysis-LHX/","L3Harris Technologies Inc")</f>
        <v>0</v>
      </c>
      <c r="C235" t="s">
        <v>896</v>
      </c>
      <c r="D235">
        <v>186</v>
      </c>
      <c r="E235">
        <v>191.9</v>
      </c>
      <c r="F235">
        <v>196</v>
      </c>
      <c r="G235">
        <v>0.9790816326530613</v>
      </c>
      <c r="H235">
        <v>0.02376237623762376</v>
      </c>
      <c r="I235">
        <v>0.00423700206242561</v>
      </c>
      <c r="J235">
        <v>0.08</v>
      </c>
      <c r="K235">
        <v>0.1055131370264781</v>
      </c>
      <c r="L235" t="s">
        <v>900</v>
      </c>
      <c r="M235" t="s">
        <v>900</v>
      </c>
      <c r="N235">
        <v>15.66530612244898</v>
      </c>
      <c r="O235">
        <v>12.25</v>
      </c>
      <c r="P235">
        <v>4.56</v>
      </c>
      <c r="Q235">
        <v>0.3722448979591836</v>
      </c>
      <c r="R235">
        <v>22</v>
      </c>
      <c r="S235">
        <v>0.07999561460194027</v>
      </c>
      <c r="T235" t="s">
        <v>930</v>
      </c>
      <c r="U235">
        <v>-0.160066984548558</v>
      </c>
      <c r="V235" t="s">
        <v>988</v>
      </c>
      <c r="W235" t="s">
        <v>993</v>
      </c>
      <c r="X235">
        <v>36356.10343</v>
      </c>
      <c r="Y235" s="2">
        <v>45052</v>
      </c>
      <c r="Z235" t="s">
        <v>1016</v>
      </c>
    </row>
    <row r="236" spans="1:26">
      <c r="A236" s="1" t="s">
        <v>260</v>
      </c>
      <c r="B236">
        <f>HYPERLINK("https://www.suredividend.com/sure-analysis-FDX/","Fedex Corp")</f>
        <v>0</v>
      </c>
      <c r="C236" t="s">
        <v>896</v>
      </c>
      <c r="D236">
        <v>229</v>
      </c>
      <c r="E236">
        <v>232.34</v>
      </c>
      <c r="F236">
        <v>263</v>
      </c>
      <c r="G236">
        <v>0.8834220532319392</v>
      </c>
      <c r="H236">
        <v>0.02169234742188172</v>
      </c>
      <c r="I236">
        <v>0.02510028129902975</v>
      </c>
      <c r="J236">
        <v>0.06</v>
      </c>
      <c r="K236">
        <v>0.104588713396224</v>
      </c>
      <c r="L236" t="s">
        <v>900</v>
      </c>
      <c r="M236" t="s">
        <v>589</v>
      </c>
      <c r="N236">
        <v>13.27657142857143</v>
      </c>
      <c r="O236">
        <v>17.5</v>
      </c>
      <c r="P236">
        <v>5.04</v>
      </c>
      <c r="Q236">
        <v>0.288</v>
      </c>
      <c r="R236">
        <v>3</v>
      </c>
      <c r="S236">
        <v>0.05985358218414349</v>
      </c>
      <c r="T236" t="s">
        <v>941</v>
      </c>
      <c r="U236">
        <v>-0.022249155188593</v>
      </c>
      <c r="V236" t="s">
        <v>988</v>
      </c>
      <c r="W236" t="s">
        <v>993</v>
      </c>
      <c r="X236">
        <v>58399.109043</v>
      </c>
      <c r="Y236" s="2">
        <v>45099</v>
      </c>
      <c r="Z236" t="s">
        <v>1012</v>
      </c>
    </row>
    <row r="237" spans="1:26">
      <c r="A237" s="1" t="s">
        <v>261</v>
      </c>
      <c r="B237">
        <f>HYPERLINK("https://www.suredividend.com/sure-analysis-DEO/","Diageo plc")</f>
        <v>0</v>
      </c>
      <c r="C237" t="s">
        <v>897</v>
      </c>
      <c r="D237">
        <v>175</v>
      </c>
      <c r="E237">
        <v>169.29</v>
      </c>
      <c r="F237">
        <v>175</v>
      </c>
      <c r="G237">
        <v>0.9673714285714285</v>
      </c>
      <c r="H237">
        <v>0.02144249512670565</v>
      </c>
      <c r="I237">
        <v>0.006656608039363965</v>
      </c>
      <c r="J237">
        <v>0.08</v>
      </c>
      <c r="K237">
        <v>0.1044359584335761</v>
      </c>
      <c r="L237" t="s">
        <v>900</v>
      </c>
      <c r="M237" t="s">
        <v>589</v>
      </c>
      <c r="N237">
        <v>20.08185053380783</v>
      </c>
      <c r="O237">
        <v>8.43</v>
      </c>
      <c r="P237">
        <v>3.63</v>
      </c>
      <c r="Q237">
        <v>0.4306049822064057</v>
      </c>
      <c r="R237">
        <v>9</v>
      </c>
      <c r="S237">
        <v>0.0498684220294483</v>
      </c>
      <c r="T237" t="s">
        <v>962</v>
      </c>
      <c r="U237">
        <v>0.002318108348978</v>
      </c>
      <c r="V237" t="s">
        <v>988</v>
      </c>
      <c r="W237" t="s">
        <v>997</v>
      </c>
      <c r="X237">
        <v>96615.397041</v>
      </c>
      <c r="Y237" s="2">
        <v>44981</v>
      </c>
      <c r="Z237" t="s">
        <v>1003</v>
      </c>
    </row>
    <row r="238" spans="1:26">
      <c r="A238" s="1" t="s">
        <v>262</v>
      </c>
      <c r="B238">
        <f>HYPERLINK("https://www.suredividend.com/sure-analysis-RCI/","Rogers Communications Inc.")</f>
        <v>0</v>
      </c>
      <c r="C238" t="s">
        <v>897</v>
      </c>
      <c r="D238">
        <v>49</v>
      </c>
      <c r="E238">
        <v>44.41</v>
      </c>
      <c r="F238">
        <v>48</v>
      </c>
      <c r="G238">
        <v>0.9252083333333333</v>
      </c>
      <c r="H238">
        <v>0.03287547849583428</v>
      </c>
      <c r="I238">
        <v>0.01566875588023242</v>
      </c>
      <c r="J238">
        <v>0.06</v>
      </c>
      <c r="K238">
        <v>0.1035857836816072</v>
      </c>
      <c r="L238" t="s">
        <v>900</v>
      </c>
      <c r="M238" t="s">
        <v>900</v>
      </c>
      <c r="N238">
        <v>13.878125</v>
      </c>
      <c r="O238">
        <v>3.2</v>
      </c>
      <c r="P238">
        <v>1.46</v>
      </c>
      <c r="Q238">
        <v>0.45625</v>
      </c>
      <c r="R238">
        <v>0</v>
      </c>
      <c r="S238">
        <v>0.04961980739136629</v>
      </c>
      <c r="T238" t="s">
        <v>926</v>
      </c>
      <c r="U238">
        <v>-0.05172284940094701</v>
      </c>
      <c r="V238" t="s">
        <v>988</v>
      </c>
      <c r="W238" t="s">
        <v>998</v>
      </c>
      <c r="X238">
        <v>18537.388914</v>
      </c>
      <c r="Y238" s="2">
        <v>45043</v>
      </c>
      <c r="Z238" t="s">
        <v>1007</v>
      </c>
    </row>
    <row r="239" spans="1:26">
      <c r="A239" s="1" t="s">
        <v>263</v>
      </c>
      <c r="B239">
        <f>HYPERLINK("https://www.suredividend.com/sure-analysis-ATRI/","Atrion Corp.")</f>
        <v>0</v>
      </c>
      <c r="C239" t="s">
        <v>896</v>
      </c>
      <c r="D239">
        <v>542</v>
      </c>
      <c r="E239">
        <v>595.2</v>
      </c>
      <c r="F239">
        <v>718</v>
      </c>
      <c r="G239">
        <v>0.8289693593314764</v>
      </c>
      <c r="H239">
        <v>0.01444892473118279</v>
      </c>
      <c r="I239">
        <v>0.03822696520199909</v>
      </c>
      <c r="J239">
        <v>0.05</v>
      </c>
      <c r="K239">
        <v>0.1035454106377083</v>
      </c>
      <c r="L239" t="s">
        <v>900</v>
      </c>
      <c r="M239" t="s">
        <v>791</v>
      </c>
      <c r="N239">
        <v>29.03414634146342</v>
      </c>
      <c r="O239">
        <v>20.5</v>
      </c>
      <c r="P239">
        <v>8.6</v>
      </c>
      <c r="Q239">
        <v>0.4195121951219512</v>
      </c>
      <c r="R239">
        <v>18</v>
      </c>
      <c r="S239">
        <v>0.09999386869458515</v>
      </c>
      <c r="T239" t="s">
        <v>916</v>
      </c>
      <c r="U239">
        <v>-0.062693549766295</v>
      </c>
      <c r="V239" t="s">
        <v>988</v>
      </c>
      <c r="W239" t="s">
        <v>995</v>
      </c>
      <c r="X239">
        <v>1047.846624</v>
      </c>
      <c r="Y239" s="2">
        <v>45083</v>
      </c>
      <c r="Z239" t="s">
        <v>1005</v>
      </c>
    </row>
    <row r="240" spans="1:26">
      <c r="A240" s="1" t="s">
        <v>264</v>
      </c>
      <c r="B240">
        <f>HYPERLINK("https://www.suredividend.com/sure-analysis-NSC/","Norfolk Southern Corp.")</f>
        <v>0</v>
      </c>
      <c r="C240" t="s">
        <v>896</v>
      </c>
      <c r="D240">
        <v>203</v>
      </c>
      <c r="E240">
        <v>218</v>
      </c>
      <c r="F240">
        <v>241</v>
      </c>
      <c r="G240">
        <v>0.9045643153526971</v>
      </c>
      <c r="H240">
        <v>0.02477064220183486</v>
      </c>
      <c r="I240">
        <v>0.0202629356649795</v>
      </c>
      <c r="J240">
        <v>0.06</v>
      </c>
      <c r="K240">
        <v>0.1035013064969816</v>
      </c>
      <c r="L240" t="s">
        <v>900</v>
      </c>
      <c r="M240" t="s">
        <v>589</v>
      </c>
      <c r="N240">
        <v>16.26865671641791</v>
      </c>
      <c r="O240">
        <v>13.4</v>
      </c>
      <c r="P240">
        <v>5.4</v>
      </c>
      <c r="Q240">
        <v>0.4029850746268657</v>
      </c>
      <c r="R240">
        <v>7</v>
      </c>
      <c r="S240">
        <v>0.07988096386199439</v>
      </c>
      <c r="T240" t="s">
        <v>948</v>
      </c>
      <c r="U240">
        <v>-0.032333381568703</v>
      </c>
      <c r="V240" t="s">
        <v>988</v>
      </c>
      <c r="W240" t="s">
        <v>993</v>
      </c>
      <c r="X240">
        <v>49625.433236</v>
      </c>
      <c r="Y240" s="2">
        <v>45050</v>
      </c>
      <c r="Z240" t="s">
        <v>1008</v>
      </c>
    </row>
    <row r="241" spans="1:26">
      <c r="A241" s="1" t="s">
        <v>265</v>
      </c>
      <c r="B241">
        <f>HYPERLINK("https://www.suredividend.com/sure-analysis-FTS/","Fortis Inc.")</f>
        <v>0</v>
      </c>
      <c r="C241" t="s">
        <v>897</v>
      </c>
      <c r="D241">
        <v>46</v>
      </c>
      <c r="E241">
        <v>42</v>
      </c>
      <c r="F241">
        <v>44</v>
      </c>
      <c r="G241">
        <v>0.9545454545454546</v>
      </c>
      <c r="H241">
        <v>0.04023809523809524</v>
      </c>
      <c r="I241">
        <v>0.009347419909568888</v>
      </c>
      <c r="J241">
        <v>0.06</v>
      </c>
      <c r="K241">
        <v>0.1034082639223886</v>
      </c>
      <c r="L241" t="s">
        <v>900</v>
      </c>
      <c r="M241" t="s">
        <v>900</v>
      </c>
      <c r="N241">
        <v>19.09090909090909</v>
      </c>
      <c r="O241">
        <v>2.2</v>
      </c>
      <c r="P241">
        <v>1.69</v>
      </c>
      <c r="Q241">
        <v>0.7681818181818181</v>
      </c>
      <c r="R241">
        <v>49</v>
      </c>
      <c r="S241">
        <v>0.05030010598118406</v>
      </c>
      <c r="T241" t="s">
        <v>922</v>
      </c>
      <c r="U241">
        <v>-0.05809744654703</v>
      </c>
      <c r="V241" t="s">
        <v>988</v>
      </c>
      <c r="W241" t="s">
        <v>999</v>
      </c>
      <c r="X241">
        <v>20349.996618</v>
      </c>
      <c r="Y241" s="2">
        <v>45057</v>
      </c>
      <c r="Z241" t="s">
        <v>1018</v>
      </c>
    </row>
    <row r="242" spans="1:26">
      <c r="A242" s="1" t="s">
        <v>266</v>
      </c>
      <c r="B242">
        <f>HYPERLINK("https://www.suredividend.com/sure-analysis-ICE/","Intercontinental Exchange Inc")</f>
        <v>0</v>
      </c>
      <c r="C242" t="s">
        <v>896</v>
      </c>
      <c r="D242">
        <v>110</v>
      </c>
      <c r="E242">
        <v>111.09</v>
      </c>
      <c r="F242">
        <v>115</v>
      </c>
      <c r="G242">
        <v>0.9660000000000001</v>
      </c>
      <c r="H242">
        <v>0.01512287334593573</v>
      </c>
      <c r="I242">
        <v>0.006942275598556202</v>
      </c>
      <c r="J242">
        <v>0.08</v>
      </c>
      <c r="K242">
        <v>0.1020488507328006</v>
      </c>
      <c r="L242" t="s">
        <v>900</v>
      </c>
      <c r="M242" t="s">
        <v>589</v>
      </c>
      <c r="N242">
        <v>20.19818181818182</v>
      </c>
      <c r="O242">
        <v>5.5</v>
      </c>
      <c r="P242">
        <v>1.68</v>
      </c>
      <c r="Q242">
        <v>0.3054545454545454</v>
      </c>
      <c r="R242">
        <v>11</v>
      </c>
      <c r="S242">
        <v>0.1099295930724042</v>
      </c>
      <c r="T242" t="s">
        <v>916</v>
      </c>
      <c r="U242">
        <v>0.15241577841749</v>
      </c>
      <c r="V242" t="s">
        <v>988</v>
      </c>
      <c r="W242" t="s">
        <v>994</v>
      </c>
      <c r="X242">
        <v>62195.620586</v>
      </c>
      <c r="Y242" s="2">
        <v>45063</v>
      </c>
      <c r="Z242" t="s">
        <v>1016</v>
      </c>
    </row>
    <row r="243" spans="1:26">
      <c r="A243" s="1" t="s">
        <v>267</v>
      </c>
      <c r="B243">
        <f>HYPERLINK("https://www.suredividend.com/sure-analysis-OTTR/","Otter Tail Corporation")</f>
        <v>0</v>
      </c>
      <c r="C243" t="s">
        <v>897</v>
      </c>
      <c r="D243">
        <v>77.7</v>
      </c>
      <c r="E243">
        <v>73.90000000000001</v>
      </c>
      <c r="F243">
        <v>94</v>
      </c>
      <c r="G243">
        <v>0.7861702127659576</v>
      </c>
      <c r="H243">
        <v>0.02368064952638701</v>
      </c>
      <c r="I243">
        <v>0.04929277630940154</v>
      </c>
      <c r="J243">
        <v>0.032</v>
      </c>
      <c r="K243">
        <v>0.1013013601451733</v>
      </c>
      <c r="L243" t="s">
        <v>900</v>
      </c>
      <c r="M243" t="s">
        <v>589</v>
      </c>
      <c r="N243">
        <v>15.72340425531915</v>
      </c>
      <c r="O243">
        <v>4.7</v>
      </c>
      <c r="P243">
        <v>1.75</v>
      </c>
      <c r="Q243">
        <v>0.3723404255319149</v>
      </c>
      <c r="R243">
        <v>10</v>
      </c>
      <c r="S243">
        <v>0.03415696047876637</v>
      </c>
      <c r="T243" t="s">
        <v>931</v>
      </c>
      <c r="U243">
        <v>0.172576622090772</v>
      </c>
      <c r="V243" t="s">
        <v>988</v>
      </c>
      <c r="W243" t="s">
        <v>999</v>
      </c>
      <c r="X243">
        <v>3082.414892</v>
      </c>
      <c r="Y243" s="2">
        <v>45063</v>
      </c>
      <c r="Z243" t="s">
        <v>1013</v>
      </c>
    </row>
    <row r="244" spans="1:26">
      <c r="A244" s="1" t="s">
        <v>268</v>
      </c>
      <c r="B244">
        <f>HYPERLINK("https://www.suredividend.com/sure-analysis-SUN/","Sunoco LP")</f>
        <v>0</v>
      </c>
      <c r="C244" t="s">
        <v>896</v>
      </c>
      <c r="D244">
        <v>43</v>
      </c>
      <c r="E244">
        <v>43.22</v>
      </c>
      <c r="F244">
        <v>48</v>
      </c>
      <c r="G244">
        <v>0.9004166666666666</v>
      </c>
      <c r="H244">
        <v>0.07797316057380843</v>
      </c>
      <c r="I244">
        <v>0.02120114944359486</v>
      </c>
      <c r="J244">
        <v>0.015</v>
      </c>
      <c r="K244">
        <v>0.09996699717903379</v>
      </c>
      <c r="L244" t="s">
        <v>900</v>
      </c>
      <c r="M244" t="s">
        <v>899</v>
      </c>
      <c r="N244">
        <v>5.84054054054054</v>
      </c>
      <c r="O244">
        <v>7.4</v>
      </c>
      <c r="P244">
        <v>3.37</v>
      </c>
      <c r="Q244">
        <v>0.4554054054054054</v>
      </c>
      <c r="R244">
        <v>1</v>
      </c>
      <c r="S244">
        <v>0.01995874947187981</v>
      </c>
      <c r="T244" t="s">
        <v>907</v>
      </c>
      <c r="U244">
        <v>0.250083155693489</v>
      </c>
      <c r="V244" t="s">
        <v>990</v>
      </c>
      <c r="W244" t="s">
        <v>1002</v>
      </c>
      <c r="X244">
        <v>3633.101682</v>
      </c>
      <c r="Y244" s="2">
        <v>45064</v>
      </c>
      <c r="Z244" t="s">
        <v>1008</v>
      </c>
    </row>
    <row r="245" spans="1:26">
      <c r="A245" s="1" t="s">
        <v>269</v>
      </c>
      <c r="B245">
        <f>HYPERLINK("https://www.suredividend.com/sure-analysis-NRG/","NRG Energy Inc.")</f>
        <v>0</v>
      </c>
      <c r="C245" t="s">
        <v>896</v>
      </c>
      <c r="D245">
        <v>32</v>
      </c>
      <c r="E245">
        <v>34.69</v>
      </c>
      <c r="F245">
        <v>41</v>
      </c>
      <c r="G245">
        <v>0.8460975609756097</v>
      </c>
      <c r="H245">
        <v>0.04352839434995676</v>
      </c>
      <c r="I245">
        <v>0.03398898284896812</v>
      </c>
      <c r="J245">
        <v>0.03</v>
      </c>
      <c r="K245">
        <v>0.09967489862662071</v>
      </c>
      <c r="L245" t="s">
        <v>900</v>
      </c>
      <c r="M245" t="s">
        <v>899</v>
      </c>
      <c r="N245">
        <v>6.388581952117864</v>
      </c>
      <c r="O245">
        <v>5.43</v>
      </c>
      <c r="P245">
        <v>1.51</v>
      </c>
      <c r="Q245">
        <v>0.278084714548803</v>
      </c>
      <c r="R245">
        <v>4</v>
      </c>
      <c r="S245">
        <v>0.02994069964269874</v>
      </c>
      <c r="T245" t="s">
        <v>917</v>
      </c>
      <c r="U245">
        <v>-0.058069000722264</v>
      </c>
      <c r="V245" t="s">
        <v>988</v>
      </c>
      <c r="W245" t="s">
        <v>999</v>
      </c>
      <c r="X245">
        <v>7986.761054</v>
      </c>
      <c r="Y245" s="2">
        <v>45013</v>
      </c>
      <c r="Z245" t="s">
        <v>1014</v>
      </c>
    </row>
    <row r="246" spans="1:26">
      <c r="A246" s="1" t="s">
        <v>270</v>
      </c>
      <c r="B246">
        <f>HYPERLINK("https://www.suredividend.com/sure-analysis-UNP/","Union Pacific Corp.")</f>
        <v>0</v>
      </c>
      <c r="C246" t="s">
        <v>897</v>
      </c>
      <c r="D246">
        <v>204</v>
      </c>
      <c r="E246">
        <v>199.89</v>
      </c>
      <c r="F246">
        <v>206</v>
      </c>
      <c r="G246">
        <v>0.9703398058252427</v>
      </c>
      <c r="H246">
        <v>0.02601430786932813</v>
      </c>
      <c r="I246">
        <v>0.006039958139592905</v>
      </c>
      <c r="J246">
        <v>0.07000000000000001</v>
      </c>
      <c r="K246">
        <v>0.09930817693941063</v>
      </c>
      <c r="L246" t="s">
        <v>900</v>
      </c>
      <c r="M246" t="s">
        <v>589</v>
      </c>
      <c r="N246">
        <v>17.48818897637795</v>
      </c>
      <c r="O246">
        <v>11.43</v>
      </c>
      <c r="P246">
        <v>5.2</v>
      </c>
      <c r="Q246">
        <v>0.4549431321084865</v>
      </c>
      <c r="R246">
        <v>15</v>
      </c>
      <c r="S246">
        <v>0.06990406340683197</v>
      </c>
      <c r="T246" t="s">
        <v>934</v>
      </c>
      <c r="U246">
        <v>-0.05636729023185</v>
      </c>
      <c r="V246" t="s">
        <v>988</v>
      </c>
      <c r="W246" t="s">
        <v>993</v>
      </c>
      <c r="X246">
        <v>121983.543931</v>
      </c>
      <c r="Y246" s="2">
        <v>45036</v>
      </c>
      <c r="Z246" t="s">
        <v>1003</v>
      </c>
    </row>
    <row r="247" spans="1:26">
      <c r="A247" s="1" t="s">
        <v>271</v>
      </c>
      <c r="B247">
        <f>HYPERLINK("https://www.suredividend.com/sure-analysis-TTE/","TotalEnergies SE")</f>
        <v>0</v>
      </c>
      <c r="C247" t="s">
        <v>897</v>
      </c>
      <c r="D247">
        <v>63</v>
      </c>
      <c r="E247">
        <v>56.66</v>
      </c>
      <c r="F247">
        <v>126</v>
      </c>
      <c r="G247">
        <v>0.4496825396825396</v>
      </c>
      <c r="H247">
        <v>0.05647723261560184</v>
      </c>
      <c r="I247">
        <v>0.1733262717276158</v>
      </c>
      <c r="J247">
        <v>-0.1</v>
      </c>
      <c r="K247">
        <v>0.09909954569041535</v>
      </c>
      <c r="L247" t="s">
        <v>900</v>
      </c>
      <c r="M247" t="s">
        <v>899</v>
      </c>
      <c r="N247">
        <v>5.396190476190476</v>
      </c>
      <c r="O247">
        <v>10.5</v>
      </c>
      <c r="P247">
        <v>3.2</v>
      </c>
      <c r="Q247">
        <v>0.3047619047619048</v>
      </c>
      <c r="R247">
        <v>1</v>
      </c>
      <c r="S247">
        <v>0.009805797673485328</v>
      </c>
      <c r="T247" t="s">
        <v>953</v>
      </c>
      <c r="U247">
        <v>0.159820193071374</v>
      </c>
      <c r="V247" t="s">
        <v>988</v>
      </c>
      <c r="W247" t="s">
        <v>1002</v>
      </c>
      <c r="X247">
        <v>141551.648382</v>
      </c>
      <c r="Y247" s="2">
        <v>45044</v>
      </c>
      <c r="Z247" t="s">
        <v>1007</v>
      </c>
    </row>
    <row r="248" spans="1:26">
      <c r="A248" s="1" t="s">
        <v>272</v>
      </c>
      <c r="B248">
        <f>HYPERLINK("https://www.suredividend.com/sure-analysis-SCI/","Service Corp. International")</f>
        <v>0</v>
      </c>
      <c r="C248" t="s">
        <v>897</v>
      </c>
      <c r="D248">
        <v>66</v>
      </c>
      <c r="E248">
        <v>63.57</v>
      </c>
      <c r="F248">
        <v>71</v>
      </c>
      <c r="G248">
        <v>0.8953521126760563</v>
      </c>
      <c r="H248">
        <v>0.01698914582350165</v>
      </c>
      <c r="I248">
        <v>0.02235382800420593</v>
      </c>
      <c r="J248">
        <v>0.06</v>
      </c>
      <c r="K248">
        <v>0.09805997247194398</v>
      </c>
      <c r="L248" t="s">
        <v>900</v>
      </c>
      <c r="M248" t="s">
        <v>589</v>
      </c>
      <c r="N248">
        <v>17.95762711864407</v>
      </c>
      <c r="O248">
        <v>3.54</v>
      </c>
      <c r="P248">
        <v>1.08</v>
      </c>
      <c r="Q248">
        <v>0.3050847457627119</v>
      </c>
      <c r="R248">
        <v>12</v>
      </c>
      <c r="S248">
        <v>0.06069091570555463</v>
      </c>
      <c r="T248" t="s">
        <v>916</v>
      </c>
      <c r="U248">
        <v>-0.05762049545709901</v>
      </c>
      <c r="V248" t="s">
        <v>988</v>
      </c>
      <c r="W248" t="s">
        <v>993</v>
      </c>
      <c r="X248">
        <v>9609.867872999999</v>
      </c>
      <c r="Y248" s="2">
        <v>45069</v>
      </c>
      <c r="Z248" t="s">
        <v>1011</v>
      </c>
    </row>
    <row r="249" spans="1:26">
      <c r="A249" s="1" t="s">
        <v>273</v>
      </c>
      <c r="B249">
        <f>HYPERLINK("https://www.suredividend.com/sure-analysis-NKE/","Nike, Inc.")</f>
        <v>0</v>
      </c>
      <c r="C249" t="s">
        <v>897</v>
      </c>
      <c r="D249">
        <v>118</v>
      </c>
      <c r="E249">
        <v>109.52</v>
      </c>
      <c r="F249">
        <v>86</v>
      </c>
      <c r="G249">
        <v>1.273488372093023</v>
      </c>
      <c r="H249">
        <v>0.01241782322863404</v>
      </c>
      <c r="I249">
        <v>-0.04720163500748509</v>
      </c>
      <c r="J249">
        <v>0.14</v>
      </c>
      <c r="K249">
        <v>0.0979488580785759</v>
      </c>
      <c r="L249" t="s">
        <v>900</v>
      </c>
      <c r="M249" t="s">
        <v>791</v>
      </c>
      <c r="N249">
        <v>30.42222222222222</v>
      </c>
      <c r="O249">
        <v>3.6</v>
      </c>
      <c r="P249">
        <v>1.36</v>
      </c>
      <c r="Q249">
        <v>0.3777777777777778</v>
      </c>
      <c r="R249">
        <v>21</v>
      </c>
      <c r="S249">
        <v>0.1009732178211216</v>
      </c>
      <c r="T249" t="s">
        <v>918</v>
      </c>
      <c r="U249">
        <v>-0.018248283144653</v>
      </c>
      <c r="V249" t="s">
        <v>988</v>
      </c>
      <c r="W249" t="s">
        <v>995</v>
      </c>
      <c r="X249">
        <v>170851.2</v>
      </c>
      <c r="Y249" s="2">
        <v>45014</v>
      </c>
      <c r="Z249" t="s">
        <v>1007</v>
      </c>
    </row>
    <row r="250" spans="1:26">
      <c r="A250" s="1" t="s">
        <v>274</v>
      </c>
      <c r="B250">
        <f>HYPERLINK("https://www.suredividend.com/sure-analysis-CSCO/","Cisco Systems, Inc.")</f>
        <v>0</v>
      </c>
      <c r="C250" t="s">
        <v>896</v>
      </c>
      <c r="D250">
        <v>49</v>
      </c>
      <c r="E250">
        <v>50.33</v>
      </c>
      <c r="F250">
        <v>53</v>
      </c>
      <c r="G250">
        <v>0.949622641509434</v>
      </c>
      <c r="H250">
        <v>0.03099543016093781</v>
      </c>
      <c r="I250">
        <v>0.01039174152796241</v>
      </c>
      <c r="J250">
        <v>0.06</v>
      </c>
      <c r="K250">
        <v>0.09781205865142817</v>
      </c>
      <c r="L250" t="s">
        <v>900</v>
      </c>
      <c r="M250" t="s">
        <v>900</v>
      </c>
      <c r="N250">
        <v>13.20997375328084</v>
      </c>
      <c r="O250">
        <v>3.81</v>
      </c>
      <c r="P250">
        <v>1.56</v>
      </c>
      <c r="Q250">
        <v>0.4094488188976378</v>
      </c>
      <c r="R250">
        <v>13</v>
      </c>
      <c r="S250">
        <v>0.0602403725183247</v>
      </c>
      <c r="T250" t="s">
        <v>959</v>
      </c>
      <c r="U250">
        <v>0.178583638926746</v>
      </c>
      <c r="V250" t="s">
        <v>988</v>
      </c>
      <c r="W250" t="s">
        <v>1000</v>
      </c>
      <c r="X250">
        <v>205097.676941</v>
      </c>
      <c r="Y250" s="2">
        <v>45071</v>
      </c>
      <c r="Z250" t="s">
        <v>1003</v>
      </c>
    </row>
    <row r="251" spans="1:26">
      <c r="A251" s="1" t="s">
        <v>275</v>
      </c>
      <c r="B251">
        <f>HYPERLINK("https://www.suredividend.com/sure-analysis-CIO/","City Office REIT Inc")</f>
        <v>0</v>
      </c>
      <c r="C251" t="s">
        <v>896</v>
      </c>
      <c r="D251">
        <v>4.55</v>
      </c>
      <c r="E251">
        <v>5.18</v>
      </c>
      <c r="F251">
        <v>7.86</v>
      </c>
      <c r="G251">
        <v>0.6590330788804071</v>
      </c>
      <c r="H251">
        <v>0.07722007722007723</v>
      </c>
      <c r="I251">
        <v>0.08697250130756018</v>
      </c>
      <c r="J251">
        <v>-0.05</v>
      </c>
      <c r="K251">
        <v>0.0977791208727703</v>
      </c>
      <c r="L251" t="s">
        <v>900</v>
      </c>
      <c r="M251" t="s">
        <v>899</v>
      </c>
      <c r="N251">
        <v>3.954198473282442</v>
      </c>
      <c r="O251">
        <v>1.31</v>
      </c>
      <c r="P251">
        <v>0.4</v>
      </c>
      <c r="Q251">
        <v>0.3053435114503817</v>
      </c>
      <c r="R251">
        <v>0</v>
      </c>
      <c r="S251">
        <v>0.02834672210021361</v>
      </c>
      <c r="T251" t="s">
        <v>913</v>
      </c>
      <c r="U251">
        <v>-0.5339345547871961</v>
      </c>
      <c r="V251" t="s">
        <v>989</v>
      </c>
      <c r="W251" t="s">
        <v>1001</v>
      </c>
      <c r="X251">
        <v>208.878099</v>
      </c>
      <c r="Y251" s="2">
        <v>45059</v>
      </c>
      <c r="Z251" t="s">
        <v>1012</v>
      </c>
    </row>
    <row r="252" spans="1:26">
      <c r="A252" s="1" t="s">
        <v>276</v>
      </c>
      <c r="B252">
        <f>HYPERLINK("https://www.suredividend.com/sure-analysis-NEE/","NextEra Energy Inc")</f>
        <v>0</v>
      </c>
      <c r="C252" t="s">
        <v>897</v>
      </c>
      <c r="D252">
        <v>77</v>
      </c>
      <c r="E252">
        <v>74.17</v>
      </c>
      <c r="F252">
        <v>73</v>
      </c>
      <c r="G252">
        <v>1.016027397260274</v>
      </c>
      <c r="H252">
        <v>0.02521235000674127</v>
      </c>
      <c r="I252">
        <v>-0.003175011875559131</v>
      </c>
      <c r="J252">
        <v>0.07000000000000001</v>
      </c>
      <c r="K252">
        <v>0.09764330558137324</v>
      </c>
      <c r="L252" t="s">
        <v>900</v>
      </c>
      <c r="M252" t="s">
        <v>589</v>
      </c>
      <c r="N252">
        <v>24.31803278688525</v>
      </c>
      <c r="O252">
        <v>3.05</v>
      </c>
      <c r="P252">
        <v>1.87</v>
      </c>
      <c r="Q252">
        <v>0.6131147540983607</v>
      </c>
      <c r="R252">
        <v>27</v>
      </c>
      <c r="S252">
        <v>0.180104407794875</v>
      </c>
      <c r="T252" t="s">
        <v>914</v>
      </c>
      <c r="U252">
        <v>-0.027494234064843</v>
      </c>
      <c r="V252" t="s">
        <v>988</v>
      </c>
      <c r="W252" t="s">
        <v>999</v>
      </c>
      <c r="X252">
        <v>150077.205661</v>
      </c>
      <c r="Y252" s="2">
        <v>45050</v>
      </c>
      <c r="Z252" t="s">
        <v>1018</v>
      </c>
    </row>
    <row r="253" spans="1:26">
      <c r="A253" s="1" t="s">
        <v>277</v>
      </c>
      <c r="B253">
        <f>HYPERLINK("https://www.suredividend.com/sure-analysis-NJR/","New Jersey Resources Corporation")</f>
        <v>0</v>
      </c>
      <c r="C253" t="s">
        <v>897</v>
      </c>
      <c r="D253">
        <v>51</v>
      </c>
      <c r="E253">
        <v>45.98</v>
      </c>
      <c r="F253">
        <v>49</v>
      </c>
      <c r="G253">
        <v>0.9383673469387754</v>
      </c>
      <c r="H253">
        <v>0.03392779469334493</v>
      </c>
      <c r="I253">
        <v>0.01280403434222466</v>
      </c>
      <c r="J253">
        <v>0.055</v>
      </c>
      <c r="K253">
        <v>0.09754803449245264</v>
      </c>
      <c r="L253" t="s">
        <v>900</v>
      </c>
      <c r="M253" t="s">
        <v>900</v>
      </c>
      <c r="N253">
        <v>17.22097378277153</v>
      </c>
      <c r="O253">
        <v>2.67</v>
      </c>
      <c r="P253">
        <v>1.56</v>
      </c>
      <c r="Q253">
        <v>0.5842696629213483</v>
      </c>
      <c r="R253">
        <v>26</v>
      </c>
      <c r="S253">
        <v>0.05511819868320456</v>
      </c>
      <c r="T253" t="s">
        <v>932</v>
      </c>
      <c r="U253">
        <v>0.086540415617068</v>
      </c>
      <c r="V253" t="s">
        <v>988</v>
      </c>
      <c r="W253" t="s">
        <v>999</v>
      </c>
      <c r="X253">
        <v>4458.425687</v>
      </c>
      <c r="Y253" s="2">
        <v>45057</v>
      </c>
      <c r="Z253" t="s">
        <v>1010</v>
      </c>
    </row>
    <row r="254" spans="1:26">
      <c r="A254" s="1" t="s">
        <v>278</v>
      </c>
      <c r="B254">
        <f>HYPERLINK("https://www.suredividend.com/sure-analysis-YUM/","Yum Brands Inc.")</f>
        <v>0</v>
      </c>
      <c r="C254" t="s">
        <v>897</v>
      </c>
      <c r="D254">
        <v>137</v>
      </c>
      <c r="E254">
        <v>135.6</v>
      </c>
      <c r="F254">
        <v>125</v>
      </c>
      <c r="G254">
        <v>1.0848</v>
      </c>
      <c r="H254">
        <v>0.01784660766961652</v>
      </c>
      <c r="I254">
        <v>-0.01614733874759244</v>
      </c>
      <c r="J254">
        <v>0.1</v>
      </c>
      <c r="K254">
        <v>0.09736111448174611</v>
      </c>
      <c r="L254" t="s">
        <v>900</v>
      </c>
      <c r="M254" t="s">
        <v>791</v>
      </c>
      <c r="N254">
        <v>26.33009708737864</v>
      </c>
      <c r="O254">
        <v>5.15</v>
      </c>
      <c r="P254">
        <v>2.42</v>
      </c>
      <c r="Q254">
        <v>0.4699029126213592</v>
      </c>
      <c r="R254">
        <v>6</v>
      </c>
      <c r="S254">
        <v>0.06009778930179466</v>
      </c>
      <c r="T254" t="s">
        <v>914</v>
      </c>
      <c r="U254">
        <v>0.201959300027123</v>
      </c>
      <c r="V254" t="s">
        <v>988</v>
      </c>
      <c r="W254" t="s">
        <v>995</v>
      </c>
      <c r="X254">
        <v>37979.794895</v>
      </c>
      <c r="Y254" s="2">
        <v>45055</v>
      </c>
      <c r="Z254" t="s">
        <v>1007</v>
      </c>
    </row>
    <row r="255" spans="1:26">
      <c r="A255" s="1" t="s">
        <v>279</v>
      </c>
      <c r="B255">
        <f>HYPERLINK("https://www.suredividend.com/sure-analysis-FMC/","FMC Corp.")</f>
        <v>0</v>
      </c>
      <c r="C255" t="s">
        <v>897</v>
      </c>
      <c r="D255">
        <v>113</v>
      </c>
      <c r="E255">
        <v>105.73</v>
      </c>
      <c r="F255">
        <v>114</v>
      </c>
      <c r="G255">
        <v>0.9274561403508772</v>
      </c>
      <c r="H255">
        <v>0.02194268419559255</v>
      </c>
      <c r="I255">
        <v>0.01517595761980828</v>
      </c>
      <c r="J255">
        <v>0.06</v>
      </c>
      <c r="K255">
        <v>0.09723199528310444</v>
      </c>
      <c r="L255" t="s">
        <v>900</v>
      </c>
      <c r="M255" t="s">
        <v>589</v>
      </c>
      <c r="N255">
        <v>13.91184210526316</v>
      </c>
      <c r="O255">
        <v>7.6</v>
      </c>
      <c r="P255">
        <v>2.32</v>
      </c>
      <c r="Q255">
        <v>0.3052631578947368</v>
      </c>
      <c r="R255">
        <v>5</v>
      </c>
      <c r="S255">
        <v>0.1002128764755552</v>
      </c>
      <c r="T255" t="s">
        <v>906</v>
      </c>
      <c r="U255">
        <v>-0.004062685743298</v>
      </c>
      <c r="V255" t="s">
        <v>988</v>
      </c>
      <c r="W255" t="s">
        <v>992</v>
      </c>
      <c r="X255">
        <v>13220.393664</v>
      </c>
      <c r="Y255" s="2">
        <v>45056</v>
      </c>
      <c r="Z255" t="s">
        <v>1006</v>
      </c>
    </row>
    <row r="256" spans="1:26">
      <c r="A256" s="1" t="s">
        <v>280</v>
      </c>
      <c r="B256">
        <f>HYPERLINK("https://www.suredividend.com/sure-analysis-UHT/","Universal Health Realty Income Trust")</f>
        <v>0</v>
      </c>
      <c r="C256" t="s">
        <v>896</v>
      </c>
      <c r="D256">
        <v>43.7</v>
      </c>
      <c r="E256">
        <v>46.14</v>
      </c>
      <c r="F256">
        <v>51.4</v>
      </c>
      <c r="G256">
        <v>0.8976653696498055</v>
      </c>
      <c r="H256">
        <v>0.0624187256176853</v>
      </c>
      <c r="I256">
        <v>0.0218263689402014</v>
      </c>
      <c r="J256">
        <v>0.025</v>
      </c>
      <c r="K256">
        <v>0.09583404246388216</v>
      </c>
      <c r="L256" t="s">
        <v>900</v>
      </c>
      <c r="M256" t="s">
        <v>899</v>
      </c>
      <c r="N256">
        <v>12.57220708446867</v>
      </c>
      <c r="O256">
        <v>3.67</v>
      </c>
      <c r="P256">
        <v>2.88</v>
      </c>
      <c r="Q256">
        <v>0.784741144414169</v>
      </c>
      <c r="R256">
        <v>38</v>
      </c>
      <c r="S256">
        <v>0.008197818497166498</v>
      </c>
      <c r="T256" t="s">
        <v>953</v>
      </c>
      <c r="U256">
        <v>-0.096463400305487</v>
      </c>
      <c r="V256" t="s">
        <v>989</v>
      </c>
      <c r="W256" t="s">
        <v>1001</v>
      </c>
      <c r="X256">
        <v>636.9232500000001</v>
      </c>
      <c r="Y256" s="2">
        <v>45080</v>
      </c>
      <c r="Z256" t="s">
        <v>1013</v>
      </c>
    </row>
    <row r="257" spans="1:26">
      <c r="A257" s="1" t="s">
        <v>281</v>
      </c>
      <c r="B257">
        <f>HYPERLINK("https://www.suredividend.com/sure-analysis-CBOE/","Cboe Global Markets Inc.")</f>
        <v>0</v>
      </c>
      <c r="C257" t="s">
        <v>897</v>
      </c>
      <c r="D257">
        <v>137</v>
      </c>
      <c r="E257">
        <v>135.33</v>
      </c>
      <c r="F257">
        <v>150</v>
      </c>
      <c r="G257">
        <v>0.9022000000000001</v>
      </c>
      <c r="H257">
        <v>0.01477868913027414</v>
      </c>
      <c r="I257">
        <v>0.02079711848286503</v>
      </c>
      <c r="J257">
        <v>0.06</v>
      </c>
      <c r="K257">
        <v>0.09464267110420077</v>
      </c>
      <c r="L257" t="s">
        <v>900</v>
      </c>
      <c r="M257" t="s">
        <v>589</v>
      </c>
      <c r="N257">
        <v>22.555</v>
      </c>
      <c r="O257">
        <v>6</v>
      </c>
      <c r="P257">
        <v>2</v>
      </c>
      <c r="Q257">
        <v>0.3333333333333333</v>
      </c>
      <c r="R257">
        <v>13</v>
      </c>
      <c r="S257">
        <v>0.0602809527753625</v>
      </c>
      <c r="T257" t="s">
        <v>934</v>
      </c>
      <c r="U257">
        <v>0.191664949570197</v>
      </c>
      <c r="V257" t="s">
        <v>988</v>
      </c>
      <c r="W257" t="s">
        <v>994</v>
      </c>
      <c r="X257">
        <v>14287.392213</v>
      </c>
      <c r="Y257" s="2">
        <v>45057</v>
      </c>
      <c r="Z257" t="s">
        <v>1006</v>
      </c>
    </row>
    <row r="258" spans="1:26">
      <c r="A258" s="1" t="s">
        <v>282</v>
      </c>
      <c r="B258">
        <f>HYPERLINK("https://www.suredividend.com/sure-analysis-ETR/","Entergy Corp.")</f>
        <v>0</v>
      </c>
      <c r="C258" t="s">
        <v>897</v>
      </c>
      <c r="D258">
        <v>99</v>
      </c>
      <c r="E258">
        <v>97.13</v>
      </c>
      <c r="F258">
        <v>101</v>
      </c>
      <c r="G258">
        <v>0.9616831683168316</v>
      </c>
      <c r="H258">
        <v>0.0440646556161845</v>
      </c>
      <c r="I258">
        <v>0.007844655217585705</v>
      </c>
      <c r="J258">
        <v>0.05</v>
      </c>
      <c r="K258">
        <v>0.09413719322601644</v>
      </c>
      <c r="L258" t="s">
        <v>900</v>
      </c>
      <c r="M258" t="s">
        <v>900</v>
      </c>
      <c r="N258">
        <v>14.49701492537313</v>
      </c>
      <c r="O258">
        <v>6.7</v>
      </c>
      <c r="P258">
        <v>4.28</v>
      </c>
      <c r="Q258">
        <v>0.6388059701492538</v>
      </c>
      <c r="R258">
        <v>29</v>
      </c>
      <c r="S258">
        <v>0.02992969870596451</v>
      </c>
      <c r="T258" t="s">
        <v>950</v>
      </c>
      <c r="U258">
        <v>-0.077746370282031</v>
      </c>
      <c r="V258" t="s">
        <v>988</v>
      </c>
      <c r="W258" t="s">
        <v>999</v>
      </c>
      <c r="X258">
        <v>20537.813212</v>
      </c>
      <c r="Y258" s="2">
        <v>45071</v>
      </c>
      <c r="Z258" t="s">
        <v>1008</v>
      </c>
    </row>
    <row r="259" spans="1:26">
      <c r="A259" s="1" t="s">
        <v>283</v>
      </c>
      <c r="B259">
        <f>HYPERLINK("https://www.suredividend.com/sure-analysis-NDAQ/","Nasdaq Inc")</f>
        <v>0</v>
      </c>
      <c r="C259" t="s">
        <v>897</v>
      </c>
      <c r="D259">
        <v>57</v>
      </c>
      <c r="E259">
        <v>49.64</v>
      </c>
      <c r="F259">
        <v>54</v>
      </c>
      <c r="G259">
        <v>0.9192592592592592</v>
      </c>
      <c r="H259">
        <v>0.0177276390008058</v>
      </c>
      <c r="I259">
        <v>0.01697996547953506</v>
      </c>
      <c r="J259">
        <v>0.06</v>
      </c>
      <c r="K259">
        <v>0.09365764067903615</v>
      </c>
      <c r="L259" t="s">
        <v>900</v>
      </c>
      <c r="M259" t="s">
        <v>589</v>
      </c>
      <c r="N259">
        <v>18.38518518518518</v>
      </c>
      <c r="O259">
        <v>2.7</v>
      </c>
      <c r="P259">
        <v>0.88</v>
      </c>
      <c r="Q259">
        <v>0.3259259259259259</v>
      </c>
      <c r="R259">
        <v>11</v>
      </c>
      <c r="S259">
        <v>0.06926287390519925</v>
      </c>
      <c r="T259" t="s">
        <v>902</v>
      </c>
      <c r="U259">
        <v>-0.047450914170798</v>
      </c>
      <c r="V259" t="s">
        <v>988</v>
      </c>
      <c r="W259" t="s">
        <v>994</v>
      </c>
      <c r="X259">
        <v>24361.66554</v>
      </c>
      <c r="Y259" s="2">
        <v>45039</v>
      </c>
      <c r="Z259" t="s">
        <v>1006</v>
      </c>
    </row>
    <row r="260" spans="1:26">
      <c r="A260" s="1" t="s">
        <v>284</v>
      </c>
      <c r="B260">
        <f>HYPERLINK("https://www.suredividend.com/sure-analysis-NVS/","Novartis AG")</f>
        <v>0</v>
      </c>
      <c r="C260" t="s">
        <v>897</v>
      </c>
      <c r="D260">
        <v>102</v>
      </c>
      <c r="E260">
        <v>100.69</v>
      </c>
      <c r="F260">
        <v>112</v>
      </c>
      <c r="G260">
        <v>0.8990178571428571</v>
      </c>
      <c r="H260">
        <v>0.03446221074585362</v>
      </c>
      <c r="I260">
        <v>0.02151873550124428</v>
      </c>
      <c r="J260">
        <v>0.04</v>
      </c>
      <c r="K260">
        <v>0.09139835639430793</v>
      </c>
      <c r="L260" t="s">
        <v>900</v>
      </c>
      <c r="M260" t="s">
        <v>900</v>
      </c>
      <c r="N260">
        <v>14.40486409155937</v>
      </c>
      <c r="O260">
        <v>6.99</v>
      </c>
      <c r="P260">
        <v>3.47</v>
      </c>
      <c r="Q260">
        <v>0.4964234620886981</v>
      </c>
      <c r="R260">
        <v>27</v>
      </c>
      <c r="S260">
        <v>0.04187597805184362</v>
      </c>
      <c r="T260" t="s">
        <v>963</v>
      </c>
      <c r="U260">
        <v>0.238552705221012</v>
      </c>
      <c r="V260" t="s">
        <v>988</v>
      </c>
      <c r="W260" t="s">
        <v>996</v>
      </c>
      <c r="X260">
        <v>229319.234849</v>
      </c>
      <c r="Y260" s="2">
        <v>45045</v>
      </c>
      <c r="Z260" t="s">
        <v>1003</v>
      </c>
    </row>
    <row r="261" spans="1:26">
      <c r="A261" s="1" t="s">
        <v>285</v>
      </c>
      <c r="B261">
        <f>HYPERLINK("https://www.suredividend.com/sure-analysis-AAP/","Advance Auto Parts Inc")</f>
        <v>0</v>
      </c>
      <c r="C261" t="s">
        <v>897</v>
      </c>
      <c r="D261">
        <v>68</v>
      </c>
      <c r="E261">
        <v>65.67</v>
      </c>
      <c r="F261">
        <v>75</v>
      </c>
      <c r="G261">
        <v>0.8756</v>
      </c>
      <c r="H261">
        <v>0.01522765341860819</v>
      </c>
      <c r="I261">
        <v>0.02692529023424828</v>
      </c>
      <c r="J261">
        <v>0.05</v>
      </c>
      <c r="K261">
        <v>0.09105957881090787</v>
      </c>
      <c r="L261" t="s">
        <v>900</v>
      </c>
      <c r="M261" t="s">
        <v>589</v>
      </c>
      <c r="N261">
        <v>10.5072</v>
      </c>
      <c r="O261">
        <v>6.25</v>
      </c>
      <c r="P261">
        <v>1</v>
      </c>
      <c r="Q261">
        <v>0.16</v>
      </c>
      <c r="R261">
        <v>0</v>
      </c>
      <c r="S261">
        <v>0.05061112176150684</v>
      </c>
      <c r="T261" t="s">
        <v>911</v>
      </c>
      <c r="U261">
        <v>-0.629751160304723</v>
      </c>
      <c r="V261" t="s">
        <v>988</v>
      </c>
      <c r="W261" t="s">
        <v>995</v>
      </c>
      <c r="X261">
        <v>3903.677761</v>
      </c>
      <c r="Y261" s="2">
        <v>45082</v>
      </c>
      <c r="Z261" t="s">
        <v>1003</v>
      </c>
    </row>
    <row r="262" spans="1:26">
      <c r="A262" s="1" t="s">
        <v>286</v>
      </c>
      <c r="B262">
        <f>HYPERLINK("https://www.suredividend.com/sure-analysis-BR/","Broadridge Financial Solutions, Inc.")</f>
        <v>0</v>
      </c>
      <c r="C262" t="s">
        <v>897</v>
      </c>
      <c r="D262">
        <v>154</v>
      </c>
      <c r="E262">
        <v>158.01</v>
      </c>
      <c r="F262">
        <v>153</v>
      </c>
      <c r="G262">
        <v>1.032745098039216</v>
      </c>
      <c r="H262">
        <v>0.01835326878045693</v>
      </c>
      <c r="I262">
        <v>-0.006423361597579391</v>
      </c>
      <c r="J262">
        <v>0.08</v>
      </c>
      <c r="K262">
        <v>0.09104104971081894</v>
      </c>
      <c r="L262" t="s">
        <v>900</v>
      </c>
      <c r="M262" t="s">
        <v>589</v>
      </c>
      <c r="N262">
        <v>22.70258620689655</v>
      </c>
      <c r="O262">
        <v>6.96</v>
      </c>
      <c r="P262">
        <v>2.9</v>
      </c>
      <c r="Q262">
        <v>0.4166666666666666</v>
      </c>
      <c r="R262">
        <v>16</v>
      </c>
      <c r="S262">
        <v>0.09997743607811183</v>
      </c>
      <c r="T262" t="s">
        <v>916</v>
      </c>
      <c r="U262">
        <v>0.10637314624207</v>
      </c>
      <c r="V262" t="s">
        <v>988</v>
      </c>
      <c r="W262" t="s">
        <v>1000</v>
      </c>
      <c r="X262">
        <v>18642.105125</v>
      </c>
      <c r="Y262" s="2">
        <v>45063</v>
      </c>
      <c r="Z262" t="s">
        <v>1010</v>
      </c>
    </row>
    <row r="263" spans="1:26">
      <c r="A263" s="1" t="s">
        <v>287</v>
      </c>
      <c r="B263">
        <f>HYPERLINK("https://www.suredividend.com/sure-analysis-EQIX/","Equinix Inc")</f>
        <v>0</v>
      </c>
      <c r="C263" t="s">
        <v>897</v>
      </c>
      <c r="D263">
        <v>740</v>
      </c>
      <c r="E263">
        <v>746.11</v>
      </c>
      <c r="F263">
        <v>726</v>
      </c>
      <c r="G263">
        <v>1.027699724517906</v>
      </c>
      <c r="H263">
        <v>0.01828148664406053</v>
      </c>
      <c r="I263">
        <v>-0.005449701721799483</v>
      </c>
      <c r="J263">
        <v>0.08</v>
      </c>
      <c r="K263">
        <v>0.09097945995015055</v>
      </c>
      <c r="L263" t="s">
        <v>900</v>
      </c>
      <c r="M263" t="s">
        <v>791</v>
      </c>
      <c r="N263">
        <v>23.62602913236226</v>
      </c>
      <c r="O263">
        <v>31.58</v>
      </c>
      <c r="P263">
        <v>13.64</v>
      </c>
      <c r="Q263">
        <v>0.4319189360354656</v>
      </c>
      <c r="R263">
        <v>7</v>
      </c>
      <c r="S263">
        <v>0.07998237845783285</v>
      </c>
      <c r="T263" t="s">
        <v>964</v>
      </c>
      <c r="U263">
        <v>0.162277596682718</v>
      </c>
      <c r="V263" t="s">
        <v>989</v>
      </c>
      <c r="W263" t="s">
        <v>1001</v>
      </c>
      <c r="X263">
        <v>69862.66254600001</v>
      </c>
      <c r="Y263" s="2">
        <v>45057</v>
      </c>
      <c r="Z263" t="s">
        <v>1010</v>
      </c>
    </row>
    <row r="264" spans="1:26">
      <c r="A264" s="1" t="s">
        <v>288</v>
      </c>
      <c r="B264">
        <f>HYPERLINK("https://www.suredividend.com/sure-analysis-BLK/","Blackrock Inc.")</f>
        <v>0</v>
      </c>
      <c r="C264" t="s">
        <v>897</v>
      </c>
      <c r="D264">
        <v>691</v>
      </c>
      <c r="E264">
        <v>680.45</v>
      </c>
      <c r="F264">
        <v>630</v>
      </c>
      <c r="G264">
        <v>1.080079365079365</v>
      </c>
      <c r="H264">
        <v>0.02939231390991255</v>
      </c>
      <c r="I264">
        <v>-0.01528882575377233</v>
      </c>
      <c r="J264">
        <v>0.08</v>
      </c>
      <c r="K264">
        <v>0.08962782570535754</v>
      </c>
      <c r="L264" t="s">
        <v>900</v>
      </c>
      <c r="M264" t="s">
        <v>589</v>
      </c>
      <c r="N264">
        <v>19.44142857142857</v>
      </c>
      <c r="O264">
        <v>35</v>
      </c>
      <c r="P264">
        <v>20</v>
      </c>
      <c r="Q264">
        <v>0.5714285714285714</v>
      </c>
      <c r="R264">
        <v>13</v>
      </c>
      <c r="S264">
        <v>0.05996426187273829</v>
      </c>
      <c r="T264" t="s">
        <v>951</v>
      </c>
      <c r="U264">
        <v>0.07317120869879801</v>
      </c>
      <c r="V264" t="s">
        <v>988</v>
      </c>
      <c r="W264" t="s">
        <v>994</v>
      </c>
      <c r="X264">
        <v>101905.998595</v>
      </c>
      <c r="Y264" s="2">
        <v>45033</v>
      </c>
      <c r="Z264" t="s">
        <v>1018</v>
      </c>
    </row>
    <row r="265" spans="1:26">
      <c r="A265" s="1" t="s">
        <v>289</v>
      </c>
      <c r="B265">
        <f>HYPERLINK("https://www.suredividend.com/sure-analysis-CDUAF/","Canadian Utilities Ltd.")</f>
        <v>0</v>
      </c>
      <c r="C265" t="s">
        <v>896</v>
      </c>
      <c r="D265">
        <v>29</v>
      </c>
      <c r="E265">
        <v>26.07</v>
      </c>
      <c r="F265">
        <v>27</v>
      </c>
      <c r="G265">
        <v>0.9655555555555556</v>
      </c>
      <c r="H265">
        <v>0.05063291139240506</v>
      </c>
      <c r="I265">
        <v>0.007034957479237214</v>
      </c>
      <c r="J265">
        <v>0.04</v>
      </c>
      <c r="K265">
        <v>0.08912613169431993</v>
      </c>
      <c r="L265" t="s">
        <v>900</v>
      </c>
      <c r="M265" t="s">
        <v>899</v>
      </c>
      <c r="N265">
        <v>15.61077844311377</v>
      </c>
      <c r="O265">
        <v>1.67</v>
      </c>
      <c r="P265">
        <v>1.32</v>
      </c>
      <c r="Q265">
        <v>0.7904191616766468</v>
      </c>
      <c r="R265">
        <v>51</v>
      </c>
      <c r="S265">
        <v>0.02452478088008614</v>
      </c>
      <c r="T265" t="s">
        <v>950</v>
      </c>
      <c r="U265">
        <v>-0.082365364308342</v>
      </c>
      <c r="V265" t="s">
        <v>988</v>
      </c>
      <c r="W265" t="s">
        <v>999</v>
      </c>
      <c r="X265">
        <v>5255.671461</v>
      </c>
      <c r="Y265" s="2">
        <v>45044</v>
      </c>
      <c r="Z265" t="s">
        <v>1012</v>
      </c>
    </row>
    <row r="266" spans="1:26">
      <c r="A266" s="1" t="s">
        <v>290</v>
      </c>
      <c r="B266">
        <f>HYPERLINK("https://www.suredividend.com/sure-analysis-DTE/","DTE Energy Co.")</f>
        <v>0</v>
      </c>
      <c r="C266" t="s">
        <v>897</v>
      </c>
      <c r="D266">
        <v>113</v>
      </c>
      <c r="E266">
        <v>110</v>
      </c>
      <c r="F266">
        <v>114</v>
      </c>
      <c r="G266">
        <v>0.9649122807017544</v>
      </c>
      <c r="H266">
        <v>0.03463636363636364</v>
      </c>
      <c r="I266">
        <v>0.007169193015529318</v>
      </c>
      <c r="J266">
        <v>0.05</v>
      </c>
      <c r="K266">
        <v>0.08786033312903418</v>
      </c>
      <c r="L266" t="s">
        <v>900</v>
      </c>
      <c r="M266" t="s">
        <v>900</v>
      </c>
      <c r="N266">
        <v>17.6</v>
      </c>
      <c r="O266">
        <v>6.25</v>
      </c>
      <c r="P266">
        <v>3.81</v>
      </c>
      <c r="Q266">
        <v>0.6096</v>
      </c>
      <c r="R266">
        <v>14</v>
      </c>
      <c r="S266">
        <v>0.04988627602367712</v>
      </c>
      <c r="T266" t="s">
        <v>902</v>
      </c>
      <c r="U266">
        <v>-0.07588186073707601</v>
      </c>
      <c r="V266" t="s">
        <v>988</v>
      </c>
      <c r="W266" t="s">
        <v>999</v>
      </c>
      <c r="X266">
        <v>22672.00914</v>
      </c>
      <c r="Y266" s="2">
        <v>45049</v>
      </c>
      <c r="Z266" t="s">
        <v>1007</v>
      </c>
    </row>
    <row r="267" spans="1:26">
      <c r="A267" s="1" t="s">
        <v>291</v>
      </c>
      <c r="B267">
        <f>HYPERLINK("https://www.suredividend.com/sure-analysis-MORN/","Morningstar Inc")</f>
        <v>0</v>
      </c>
      <c r="C267" t="s">
        <v>897</v>
      </c>
      <c r="D267">
        <v>197</v>
      </c>
      <c r="E267">
        <v>193.65</v>
      </c>
      <c r="F267">
        <v>162</v>
      </c>
      <c r="G267">
        <v>1.19537037037037</v>
      </c>
      <c r="H267">
        <v>0.007745933384972889</v>
      </c>
      <c r="I267">
        <v>-0.03506179324640313</v>
      </c>
      <c r="J267">
        <v>0.12</v>
      </c>
      <c r="K267">
        <v>0.08782406277390442</v>
      </c>
      <c r="L267" t="s">
        <v>900</v>
      </c>
      <c r="M267" t="s">
        <v>791</v>
      </c>
      <c r="N267">
        <v>39.5204081632653</v>
      </c>
      <c r="O267">
        <v>4.9</v>
      </c>
      <c r="P267">
        <v>1.5</v>
      </c>
      <c r="Q267">
        <v>0.3061224489795918</v>
      </c>
      <c r="R267">
        <v>12</v>
      </c>
      <c r="S267">
        <v>0.0796084730466029</v>
      </c>
      <c r="T267" t="s">
        <v>919</v>
      </c>
      <c r="U267">
        <v>-0.216887251175174</v>
      </c>
      <c r="V267" t="s">
        <v>988</v>
      </c>
      <c r="W267" t="s">
        <v>994</v>
      </c>
      <c r="X267">
        <v>8239.996309</v>
      </c>
      <c r="Y267" s="2">
        <v>45069</v>
      </c>
      <c r="Z267" t="s">
        <v>1004</v>
      </c>
    </row>
    <row r="268" spans="1:26">
      <c r="A268" s="1" t="s">
        <v>292</v>
      </c>
      <c r="B268">
        <f>HYPERLINK("https://www.suredividend.com/sure-analysis-SWKS/","Skyworks Solutions, Inc.")</f>
        <v>0</v>
      </c>
      <c r="C268" t="s">
        <v>897</v>
      </c>
      <c r="D268">
        <v>97</v>
      </c>
      <c r="E268">
        <v>102.02</v>
      </c>
      <c r="F268">
        <v>109</v>
      </c>
      <c r="G268">
        <v>0.9359633027522936</v>
      </c>
      <c r="H268">
        <v>0.02430895902764164</v>
      </c>
      <c r="I268">
        <v>0.01332378291114877</v>
      </c>
      <c r="J268">
        <v>0.05</v>
      </c>
      <c r="K268">
        <v>0.08637767884312564</v>
      </c>
      <c r="L268" t="s">
        <v>900</v>
      </c>
      <c r="M268" t="s">
        <v>900</v>
      </c>
      <c r="N268">
        <v>12.21796407185629</v>
      </c>
      <c r="O268">
        <v>8.35</v>
      </c>
      <c r="P268">
        <v>2.48</v>
      </c>
      <c r="Q268">
        <v>0.2970059880239521</v>
      </c>
      <c r="R268">
        <v>9</v>
      </c>
      <c r="S268">
        <v>0.07010283006626494</v>
      </c>
      <c r="T268" t="s">
        <v>914</v>
      </c>
      <c r="U268">
        <v>0.072964081680731</v>
      </c>
      <c r="V268" t="s">
        <v>988</v>
      </c>
      <c r="W268" t="s">
        <v>1000</v>
      </c>
      <c r="X268">
        <v>16236.964126</v>
      </c>
      <c r="Y268" s="2">
        <v>45062</v>
      </c>
      <c r="Z268" t="s">
        <v>1011</v>
      </c>
    </row>
    <row r="269" spans="1:26">
      <c r="A269" s="1" t="s">
        <v>293</v>
      </c>
      <c r="B269">
        <f>HYPERLINK("https://www.suredividend.com/sure-analysis-GEF/","Greif Inc")</f>
        <v>0</v>
      </c>
      <c r="C269" t="s">
        <v>897</v>
      </c>
      <c r="D269">
        <v>67</v>
      </c>
      <c r="E269">
        <v>66.55</v>
      </c>
      <c r="F269">
        <v>74</v>
      </c>
      <c r="G269">
        <v>0.8993243243243243</v>
      </c>
      <c r="H269">
        <v>0.03005259203606311</v>
      </c>
      <c r="I269">
        <v>0.02144910441456926</v>
      </c>
      <c r="J269">
        <v>0.04</v>
      </c>
      <c r="K269">
        <v>0.08620375578577444</v>
      </c>
      <c r="L269" t="s">
        <v>900</v>
      </c>
      <c r="M269" t="s">
        <v>900</v>
      </c>
      <c r="N269">
        <v>12.1</v>
      </c>
      <c r="O269">
        <v>5.5</v>
      </c>
      <c r="P269">
        <v>2</v>
      </c>
      <c r="Q269">
        <v>0.3636363636363636</v>
      </c>
      <c r="R269">
        <v>2</v>
      </c>
      <c r="S269">
        <v>0.01924487649145656</v>
      </c>
      <c r="T269" t="s">
        <v>902</v>
      </c>
      <c r="U269">
        <v>0.084432567196525</v>
      </c>
      <c r="V269" t="s">
        <v>988</v>
      </c>
      <c r="W269" t="s">
        <v>995</v>
      </c>
      <c r="X269">
        <v>3307.451233</v>
      </c>
      <c r="Y269" s="2">
        <v>45086</v>
      </c>
      <c r="Z269" t="s">
        <v>1007</v>
      </c>
    </row>
    <row r="270" spans="1:26">
      <c r="A270" s="1" t="s">
        <v>294</v>
      </c>
      <c r="B270">
        <f>HYPERLINK("https://www.suredividend.com/sure-analysis-PDCO/","Patterson Companies Inc.")</f>
        <v>0</v>
      </c>
      <c r="C270" t="s">
        <v>896</v>
      </c>
      <c r="D270">
        <v>27</v>
      </c>
      <c r="E270">
        <v>31.14</v>
      </c>
      <c r="F270">
        <v>34</v>
      </c>
      <c r="G270">
        <v>0.9158823529411765</v>
      </c>
      <c r="H270">
        <v>0.03339755940912011</v>
      </c>
      <c r="I270">
        <v>0.01772879360957735</v>
      </c>
      <c r="J270">
        <v>0.042</v>
      </c>
      <c r="K270">
        <v>0.08565550185903215</v>
      </c>
      <c r="L270" t="s">
        <v>900</v>
      </c>
      <c r="M270" t="s">
        <v>900</v>
      </c>
      <c r="N270">
        <v>13.65789473684211</v>
      </c>
      <c r="O270">
        <v>2.28</v>
      </c>
      <c r="P270">
        <v>1.04</v>
      </c>
      <c r="Q270">
        <v>0.456140350877193</v>
      </c>
      <c r="R270">
        <v>0</v>
      </c>
      <c r="S270">
        <v>0</v>
      </c>
      <c r="T270" t="s">
        <v>915</v>
      </c>
      <c r="U270">
        <v>0.135174741815186</v>
      </c>
      <c r="V270" t="s">
        <v>988</v>
      </c>
      <c r="W270" t="s">
        <v>996</v>
      </c>
      <c r="X270">
        <v>2967.45516</v>
      </c>
      <c r="Y270" s="2">
        <v>44993</v>
      </c>
      <c r="Z270" t="s">
        <v>1016</v>
      </c>
    </row>
    <row r="271" spans="1:26">
      <c r="A271" s="1" t="s">
        <v>295</v>
      </c>
      <c r="B271">
        <f>HYPERLINK("https://www.suredividend.com/sure-analysis-INGR/","Ingredion Inc")</f>
        <v>0</v>
      </c>
      <c r="C271" t="s">
        <v>897</v>
      </c>
      <c r="D271">
        <v>108</v>
      </c>
      <c r="E271">
        <v>104.14</v>
      </c>
      <c r="F271">
        <v>121</v>
      </c>
      <c r="G271">
        <v>0.8606611570247934</v>
      </c>
      <c r="H271">
        <v>0.02727098137123104</v>
      </c>
      <c r="I271">
        <v>0.03046574491920651</v>
      </c>
      <c r="J271">
        <v>0.03</v>
      </c>
      <c r="K271">
        <v>0.08520185955003323</v>
      </c>
      <c r="L271" t="s">
        <v>900</v>
      </c>
      <c r="M271" t="s">
        <v>900</v>
      </c>
      <c r="N271">
        <v>12.93664596273292</v>
      </c>
      <c r="O271">
        <v>8.050000000000001</v>
      </c>
      <c r="P271">
        <v>2.84</v>
      </c>
      <c r="Q271">
        <v>0.3527950310559006</v>
      </c>
      <c r="R271">
        <v>12</v>
      </c>
      <c r="S271">
        <v>0.049731056540673</v>
      </c>
      <c r="T271" t="s">
        <v>924</v>
      </c>
      <c r="U271">
        <v>0.21406421226888</v>
      </c>
      <c r="V271" t="s">
        <v>988</v>
      </c>
      <c r="W271" t="s">
        <v>997</v>
      </c>
      <c r="X271">
        <v>6874.90624</v>
      </c>
      <c r="Y271" s="2">
        <v>45050</v>
      </c>
      <c r="Z271" t="s">
        <v>1015</v>
      </c>
    </row>
    <row r="272" spans="1:26">
      <c r="A272" s="1" t="s">
        <v>296</v>
      </c>
      <c r="B272">
        <f>HYPERLINK("https://www.suredividend.com/sure-analysis-MDLZ/","Mondelez International Inc.")</f>
        <v>0</v>
      </c>
      <c r="C272" t="s">
        <v>897</v>
      </c>
      <c r="D272">
        <v>77</v>
      </c>
      <c r="E272">
        <v>73.09999999999999</v>
      </c>
      <c r="F272">
        <v>68</v>
      </c>
      <c r="G272">
        <v>1.075</v>
      </c>
      <c r="H272">
        <v>0.02106703146374829</v>
      </c>
      <c r="I272">
        <v>-0.01436002927853708</v>
      </c>
      <c r="J272">
        <v>0.08</v>
      </c>
      <c r="K272">
        <v>0.08449969651191402</v>
      </c>
      <c r="L272" t="s">
        <v>900</v>
      </c>
      <c r="M272" t="s">
        <v>791</v>
      </c>
      <c r="N272">
        <v>22.56172839506172</v>
      </c>
      <c r="O272">
        <v>3.24</v>
      </c>
      <c r="P272">
        <v>1.54</v>
      </c>
      <c r="Q272">
        <v>0.4753086419753086</v>
      </c>
      <c r="R272">
        <v>9</v>
      </c>
      <c r="S272">
        <v>0.07973590558946508</v>
      </c>
      <c r="T272" t="s">
        <v>906</v>
      </c>
      <c r="U272">
        <v>0.194657218360786</v>
      </c>
      <c r="V272" t="s">
        <v>988</v>
      </c>
      <c r="W272" t="s">
        <v>997</v>
      </c>
      <c r="X272">
        <v>99551.49063099999</v>
      </c>
      <c r="Y272" s="2">
        <v>45057</v>
      </c>
      <c r="Z272" t="s">
        <v>1018</v>
      </c>
    </row>
    <row r="273" spans="1:26">
      <c r="A273" s="1" t="s">
        <v>297</v>
      </c>
      <c r="B273">
        <f>HYPERLINK("https://www.suredividend.com/sure-analysis-INFY/","Infosys Ltd")</f>
        <v>0</v>
      </c>
      <c r="C273" t="s">
        <v>897</v>
      </c>
      <c r="D273">
        <v>15</v>
      </c>
      <c r="E273">
        <v>15.2</v>
      </c>
      <c r="F273">
        <v>15</v>
      </c>
      <c r="G273">
        <v>1.013333333333333</v>
      </c>
      <c r="H273">
        <v>0.02828947368421053</v>
      </c>
      <c r="I273">
        <v>-0.002645539725573465</v>
      </c>
      <c r="J273">
        <v>0.06</v>
      </c>
      <c r="K273">
        <v>0.08440427711378118</v>
      </c>
      <c r="L273" t="s">
        <v>900</v>
      </c>
      <c r="M273" t="s">
        <v>589</v>
      </c>
      <c r="N273">
        <v>19.48717948717949</v>
      </c>
      <c r="O273">
        <v>0.78</v>
      </c>
      <c r="P273">
        <v>0.43</v>
      </c>
      <c r="Q273">
        <v>0.5512820512820512</v>
      </c>
      <c r="R273">
        <v>8</v>
      </c>
      <c r="S273">
        <v>0.07938012944050121</v>
      </c>
      <c r="T273" t="s">
        <v>930</v>
      </c>
      <c r="U273">
        <v>-0.165875528873328</v>
      </c>
      <c r="V273" t="s">
        <v>988</v>
      </c>
      <c r="W273" t="s">
        <v>1000</v>
      </c>
      <c r="X273">
        <v>63078.095318</v>
      </c>
      <c r="Y273" s="2">
        <v>45064</v>
      </c>
      <c r="Z273" t="s">
        <v>1008</v>
      </c>
    </row>
    <row r="274" spans="1:26">
      <c r="A274" s="1" t="s">
        <v>298</v>
      </c>
      <c r="B274">
        <f>HYPERLINK("https://www.suredividend.com/sure-analysis-AXP/","American Express Co.")</f>
        <v>0</v>
      </c>
      <c r="C274" t="s">
        <v>896</v>
      </c>
      <c r="D274">
        <v>152</v>
      </c>
      <c r="E274">
        <v>168.07</v>
      </c>
      <c r="F274">
        <v>168</v>
      </c>
      <c r="G274">
        <v>1.000416666666667</v>
      </c>
      <c r="H274">
        <v>0.01427976438388767</v>
      </c>
      <c r="I274">
        <v>-8.331250636361975E-05</v>
      </c>
      <c r="J274">
        <v>0.07000000000000001</v>
      </c>
      <c r="K274">
        <v>0.0833853566501126</v>
      </c>
      <c r="L274" t="s">
        <v>900</v>
      </c>
      <c r="M274" t="s">
        <v>791</v>
      </c>
      <c r="N274">
        <v>15.00625</v>
      </c>
      <c r="O274">
        <v>11.2</v>
      </c>
      <c r="P274">
        <v>2.4</v>
      </c>
      <c r="Q274">
        <v>0.2142857142857143</v>
      </c>
      <c r="R274">
        <v>2</v>
      </c>
      <c r="S274">
        <v>0.08022119107630199</v>
      </c>
      <c r="T274" t="s">
        <v>919</v>
      </c>
      <c r="U274">
        <v>0.167016625838096</v>
      </c>
      <c r="V274" t="s">
        <v>988</v>
      </c>
      <c r="W274" t="s">
        <v>994</v>
      </c>
      <c r="X274">
        <v>124921.702351</v>
      </c>
      <c r="Y274" s="2">
        <v>45050</v>
      </c>
      <c r="Z274" t="s">
        <v>1008</v>
      </c>
    </row>
    <row r="275" spans="1:26">
      <c r="A275" s="1" t="s">
        <v>299</v>
      </c>
      <c r="B275">
        <f>HYPERLINK("https://www.suredividend.com/sure-analysis-PSX/","Phillips 66")</f>
        <v>0</v>
      </c>
      <c r="C275" t="s">
        <v>897</v>
      </c>
      <c r="D275">
        <v>94</v>
      </c>
      <c r="E275">
        <v>90.86</v>
      </c>
      <c r="F275">
        <v>162</v>
      </c>
      <c r="G275">
        <v>0.5608641975308641</v>
      </c>
      <c r="H275">
        <v>0.04622496147919877</v>
      </c>
      <c r="I275">
        <v>0.1226088365293343</v>
      </c>
      <c r="J275">
        <v>-0.07000000000000001</v>
      </c>
      <c r="K275">
        <v>0.08279119402609081</v>
      </c>
      <c r="L275" t="s">
        <v>900</v>
      </c>
      <c r="M275" t="s">
        <v>899</v>
      </c>
      <c r="N275">
        <v>6.730370370370371</v>
      </c>
      <c r="O275">
        <v>13.5</v>
      </c>
      <c r="P275">
        <v>4.2</v>
      </c>
      <c r="Q275">
        <v>0.3111111111111111</v>
      </c>
      <c r="R275">
        <v>11</v>
      </c>
      <c r="S275">
        <v>0.02361947884103976</v>
      </c>
      <c r="T275" t="s">
        <v>929</v>
      </c>
      <c r="U275">
        <v>0.123930466234461</v>
      </c>
      <c r="V275" t="s">
        <v>988</v>
      </c>
      <c r="W275" t="s">
        <v>1002</v>
      </c>
      <c r="X275">
        <v>41692.230032</v>
      </c>
      <c r="Y275" s="2">
        <v>45055</v>
      </c>
      <c r="Z275" t="s">
        <v>1007</v>
      </c>
    </row>
    <row r="276" spans="1:26">
      <c r="A276" s="1" t="s">
        <v>300</v>
      </c>
      <c r="B276">
        <f>HYPERLINK("https://www.suredividend.com/sure-analysis-SXT/","Sensient Technologies Corp.")</f>
        <v>0</v>
      </c>
      <c r="C276" t="s">
        <v>897</v>
      </c>
      <c r="D276">
        <v>74</v>
      </c>
      <c r="E276">
        <v>69.56</v>
      </c>
      <c r="F276">
        <v>70</v>
      </c>
      <c r="G276">
        <v>0.9937142857142858</v>
      </c>
      <c r="H276">
        <v>0.02357676825761932</v>
      </c>
      <c r="I276">
        <v>0.001261906046901684</v>
      </c>
      <c r="J276">
        <v>0.06</v>
      </c>
      <c r="K276">
        <v>0.0820542474722521</v>
      </c>
      <c r="L276" t="s">
        <v>900</v>
      </c>
      <c r="M276" t="s">
        <v>589</v>
      </c>
      <c r="N276">
        <v>20.76417910447761</v>
      </c>
      <c r="O276">
        <v>3.35</v>
      </c>
      <c r="P276">
        <v>1.64</v>
      </c>
      <c r="Q276">
        <v>0.4895522388059701</v>
      </c>
      <c r="R276">
        <v>16</v>
      </c>
      <c r="S276">
        <v>0.04968861687192305</v>
      </c>
      <c r="T276" t="s">
        <v>907</v>
      </c>
      <c r="U276">
        <v>-0.123463604081766</v>
      </c>
      <c r="V276" t="s">
        <v>988</v>
      </c>
      <c r="W276" t="s">
        <v>997</v>
      </c>
      <c r="X276">
        <v>2938.518447</v>
      </c>
      <c r="Y276" s="2">
        <v>45069</v>
      </c>
      <c r="Z276" t="s">
        <v>1014</v>
      </c>
    </row>
    <row r="277" spans="1:26">
      <c r="A277" s="1" t="s">
        <v>301</v>
      </c>
      <c r="B277">
        <f>HYPERLINK("https://www.suredividend.com/sure-analysis-FLIC/","First Of Long Island Corp.")</f>
        <v>0</v>
      </c>
      <c r="C277" t="s">
        <v>896</v>
      </c>
      <c r="D277">
        <v>10</v>
      </c>
      <c r="E277">
        <v>12.62</v>
      </c>
      <c r="F277">
        <v>13</v>
      </c>
      <c r="G277">
        <v>0.9707692307692307</v>
      </c>
      <c r="H277">
        <v>0.06656101426307448</v>
      </c>
      <c r="I277">
        <v>0.00595093695895077</v>
      </c>
      <c r="J277">
        <v>0.02</v>
      </c>
      <c r="K277">
        <v>0.08150298113958665</v>
      </c>
      <c r="L277" t="s">
        <v>900</v>
      </c>
      <c r="M277" t="s">
        <v>899</v>
      </c>
      <c r="N277">
        <v>10.096</v>
      </c>
      <c r="O277">
        <v>1.25</v>
      </c>
      <c r="P277">
        <v>0.84</v>
      </c>
      <c r="Q277">
        <v>0.6719999999999999</v>
      </c>
      <c r="R277">
        <v>45</v>
      </c>
      <c r="S277">
        <v>0.009347419909568888</v>
      </c>
      <c r="T277" t="s">
        <v>965</v>
      </c>
      <c r="U277">
        <v>-0.263757868514856</v>
      </c>
      <c r="V277" t="s">
        <v>988</v>
      </c>
      <c r="W277" t="s">
        <v>994</v>
      </c>
      <c r="X277">
        <v>284.650208</v>
      </c>
      <c r="Y277" s="2">
        <v>45057</v>
      </c>
      <c r="Z277" t="s">
        <v>1008</v>
      </c>
    </row>
    <row r="278" spans="1:26">
      <c r="A278" s="1" t="s">
        <v>302</v>
      </c>
      <c r="B278">
        <f>HYPERLINK("https://www.suredividend.com/sure-analysis-SIEGY/","Siemens AG")</f>
        <v>0</v>
      </c>
      <c r="C278" t="s">
        <v>897</v>
      </c>
      <c r="D278">
        <v>84</v>
      </c>
      <c r="E278">
        <v>85.28</v>
      </c>
      <c r="F278">
        <v>84</v>
      </c>
      <c r="G278">
        <v>1.015238095238095</v>
      </c>
      <c r="H278">
        <v>0.02685272045028143</v>
      </c>
      <c r="I278">
        <v>-0.00302006272279709</v>
      </c>
      <c r="J278">
        <v>0.06</v>
      </c>
      <c r="K278">
        <v>0.08066365624883676</v>
      </c>
      <c r="L278" t="s">
        <v>900</v>
      </c>
      <c r="M278" t="s">
        <v>589</v>
      </c>
      <c r="N278">
        <v>16.24380952380952</v>
      </c>
      <c r="O278">
        <v>5.25</v>
      </c>
      <c r="P278">
        <v>2.29</v>
      </c>
      <c r="Q278">
        <v>0.4361904761904762</v>
      </c>
      <c r="R278">
        <v>2</v>
      </c>
      <c r="S278">
        <v>0.04980702308759377</v>
      </c>
      <c r="T278" t="s">
        <v>966</v>
      </c>
      <c r="U278">
        <v>0.5556366289675301</v>
      </c>
      <c r="V278" t="s">
        <v>988</v>
      </c>
      <c r="W278" t="s">
        <v>993</v>
      </c>
      <c r="X278">
        <v>136448</v>
      </c>
      <c r="Y278" s="2">
        <v>45076</v>
      </c>
      <c r="Z278" t="s">
        <v>1008</v>
      </c>
    </row>
    <row r="279" spans="1:26">
      <c r="A279" s="1" t="s">
        <v>303</v>
      </c>
      <c r="B279">
        <f>HYPERLINK("https://www.suredividend.com/sure-analysis-AVNT/","Avient Corp")</f>
        <v>0</v>
      </c>
      <c r="C279" t="s">
        <v>897</v>
      </c>
      <c r="D279">
        <v>38</v>
      </c>
      <c r="E279">
        <v>38.64</v>
      </c>
      <c r="F279">
        <v>42</v>
      </c>
      <c r="G279">
        <v>0.92</v>
      </c>
      <c r="H279">
        <v>0.02562111801242236</v>
      </c>
      <c r="I279">
        <v>0.01681614782195462</v>
      </c>
      <c r="J279">
        <v>0.04</v>
      </c>
      <c r="K279">
        <v>0.07957522098554937</v>
      </c>
      <c r="L279" t="s">
        <v>900</v>
      </c>
      <c r="M279" t="s">
        <v>589</v>
      </c>
      <c r="N279">
        <v>15.77142857142857</v>
      </c>
      <c r="O279">
        <v>2.45</v>
      </c>
      <c r="P279">
        <v>0.99</v>
      </c>
      <c r="Q279">
        <v>0.4040816326530612</v>
      </c>
      <c r="R279">
        <v>12</v>
      </c>
      <c r="S279">
        <v>0.03922410156720635</v>
      </c>
      <c r="T279" t="s">
        <v>902</v>
      </c>
      <c r="U279">
        <v>-0.07750707268451601</v>
      </c>
      <c r="V279" t="s">
        <v>988</v>
      </c>
      <c r="W279" t="s">
        <v>992</v>
      </c>
      <c r="X279">
        <v>3519.040357</v>
      </c>
      <c r="Y279" s="2">
        <v>45075</v>
      </c>
      <c r="Z279" t="s">
        <v>1014</v>
      </c>
    </row>
    <row r="280" spans="1:26">
      <c r="A280" s="1" t="s">
        <v>304</v>
      </c>
      <c r="B280">
        <f>HYPERLINK("https://www.suredividend.com/sure-analysis-APH/","Amphenol Corp.")</f>
        <v>0</v>
      </c>
      <c r="C280" t="s">
        <v>897</v>
      </c>
      <c r="D280">
        <v>75</v>
      </c>
      <c r="E280">
        <v>80.19</v>
      </c>
      <c r="F280">
        <v>68</v>
      </c>
      <c r="G280">
        <v>1.179264705882353</v>
      </c>
      <c r="H280">
        <v>0.0104751215862327</v>
      </c>
      <c r="I280">
        <v>-0.03244036983170406</v>
      </c>
      <c r="J280">
        <v>0.105</v>
      </c>
      <c r="K280">
        <v>0.07940168483636234</v>
      </c>
      <c r="L280" t="s">
        <v>900</v>
      </c>
      <c r="M280" t="s">
        <v>791</v>
      </c>
      <c r="N280">
        <v>27</v>
      </c>
      <c r="O280">
        <v>2.97</v>
      </c>
      <c r="P280">
        <v>0.84</v>
      </c>
      <c r="Q280">
        <v>0.2828282828282828</v>
      </c>
      <c r="R280">
        <v>12</v>
      </c>
      <c r="S280">
        <v>0.08958743119932766</v>
      </c>
      <c r="T280" t="s">
        <v>953</v>
      </c>
      <c r="U280">
        <v>0.230952019120511</v>
      </c>
      <c r="V280" t="s">
        <v>988</v>
      </c>
      <c r="W280" t="s">
        <v>1000</v>
      </c>
      <c r="X280">
        <v>47738.634299</v>
      </c>
      <c r="Y280" s="2">
        <v>45050</v>
      </c>
      <c r="Z280" t="s">
        <v>1014</v>
      </c>
    </row>
    <row r="281" spans="1:26">
      <c r="A281" s="1" t="s">
        <v>305</v>
      </c>
      <c r="B281">
        <f>HYPERLINK("https://www.suredividend.com/sure-analysis-HD/","Home Depot, Inc.")</f>
        <v>0</v>
      </c>
      <c r="C281" t="s">
        <v>897</v>
      </c>
      <c r="D281">
        <v>287</v>
      </c>
      <c r="E281">
        <v>300.81</v>
      </c>
      <c r="F281">
        <v>302</v>
      </c>
      <c r="G281">
        <v>0.9960596026490066</v>
      </c>
      <c r="H281">
        <v>0.02779162926764403</v>
      </c>
      <c r="I281">
        <v>0.0007899480789521629</v>
      </c>
      <c r="J281">
        <v>0.05</v>
      </c>
      <c r="K281">
        <v>0.07823839901172236</v>
      </c>
      <c r="L281" t="s">
        <v>900</v>
      </c>
      <c r="M281" t="s">
        <v>589</v>
      </c>
      <c r="N281">
        <v>19.94761273209549</v>
      </c>
      <c r="O281">
        <v>15.08</v>
      </c>
      <c r="P281">
        <v>8.359999999999999</v>
      </c>
      <c r="Q281">
        <v>0.5543766578249336</v>
      </c>
      <c r="R281">
        <v>14</v>
      </c>
      <c r="S281">
        <v>0.07993699246542785</v>
      </c>
      <c r="T281" t="s">
        <v>912</v>
      </c>
      <c r="U281">
        <v>0.09193987851120601</v>
      </c>
      <c r="V281" t="s">
        <v>988</v>
      </c>
      <c r="W281" t="s">
        <v>995</v>
      </c>
      <c r="X281">
        <v>302427.193665</v>
      </c>
      <c r="Y281" s="2">
        <v>45077</v>
      </c>
      <c r="Z281" t="s">
        <v>1010</v>
      </c>
    </row>
    <row r="282" spans="1:26">
      <c r="A282" s="1" t="s">
        <v>306</v>
      </c>
      <c r="B282">
        <f>HYPERLINK("https://www.suredividend.com/sure-analysis-TSCO/","Tractor Supply Co.")</f>
        <v>0</v>
      </c>
      <c r="C282" t="s">
        <v>897</v>
      </c>
      <c r="D282">
        <v>242</v>
      </c>
      <c r="E282">
        <v>218.7</v>
      </c>
      <c r="F282">
        <v>200</v>
      </c>
      <c r="G282">
        <v>1.0935</v>
      </c>
      <c r="H282">
        <v>0.01883859167809785</v>
      </c>
      <c r="I282">
        <v>-0.0177178717305615</v>
      </c>
      <c r="J282">
        <v>0.077</v>
      </c>
      <c r="K282">
        <v>0.07686976035033766</v>
      </c>
      <c r="L282" t="s">
        <v>900</v>
      </c>
      <c r="M282" t="s">
        <v>589</v>
      </c>
      <c r="N282">
        <v>20.82857142857143</v>
      </c>
      <c r="O282">
        <v>10.5</v>
      </c>
      <c r="P282">
        <v>4.12</v>
      </c>
      <c r="Q282">
        <v>0.3923809523809524</v>
      </c>
      <c r="R282">
        <v>13</v>
      </c>
      <c r="S282">
        <v>0.09037353468678844</v>
      </c>
      <c r="T282" t="s">
        <v>914</v>
      </c>
      <c r="U282">
        <v>0.10242690183763</v>
      </c>
      <c r="V282" t="s">
        <v>988</v>
      </c>
      <c r="W282" t="s">
        <v>995</v>
      </c>
      <c r="X282">
        <v>23962.597708</v>
      </c>
      <c r="Y282" s="2">
        <v>45062</v>
      </c>
      <c r="Z282" t="s">
        <v>1013</v>
      </c>
    </row>
    <row r="283" spans="1:26">
      <c r="A283" s="1" t="s">
        <v>307</v>
      </c>
      <c r="B283">
        <f>HYPERLINK("https://www.suredividend.com/sure-analysis-CBU/","Community Bank System, Inc.")</f>
        <v>0</v>
      </c>
      <c r="C283" t="s">
        <v>897</v>
      </c>
      <c r="D283">
        <v>49</v>
      </c>
      <c r="E283">
        <v>46.82</v>
      </c>
      <c r="F283">
        <v>48</v>
      </c>
      <c r="G283">
        <v>0.9754166666666667</v>
      </c>
      <c r="H283">
        <v>0.03759077317385733</v>
      </c>
      <c r="I283">
        <v>0.004990521143977134</v>
      </c>
      <c r="J283">
        <v>0.04</v>
      </c>
      <c r="K283">
        <v>0.07580286945611348</v>
      </c>
      <c r="L283" t="s">
        <v>900</v>
      </c>
      <c r="M283" t="s">
        <v>900</v>
      </c>
      <c r="N283">
        <v>13.57101449275362</v>
      </c>
      <c r="O283">
        <v>3.45</v>
      </c>
      <c r="P283">
        <v>1.76</v>
      </c>
      <c r="Q283">
        <v>0.5101449275362319</v>
      </c>
      <c r="R283">
        <v>30</v>
      </c>
      <c r="S283">
        <v>0.01002427579815035</v>
      </c>
      <c r="T283" t="s">
        <v>916</v>
      </c>
      <c r="U283">
        <v>-0.242104172635784</v>
      </c>
      <c r="V283" t="s">
        <v>988</v>
      </c>
      <c r="W283" t="s">
        <v>994</v>
      </c>
      <c r="X283">
        <v>2515.581761</v>
      </c>
      <c r="Y283" s="2">
        <v>45044</v>
      </c>
      <c r="Z283" t="s">
        <v>1004</v>
      </c>
    </row>
    <row r="284" spans="1:26">
      <c r="A284" s="1" t="s">
        <v>308</v>
      </c>
      <c r="B284">
        <f>HYPERLINK("https://www.suredividend.com/sure-analysis-UPS/","United Parcel Service, Inc.")</f>
        <v>0</v>
      </c>
      <c r="C284" t="s">
        <v>897</v>
      </c>
      <c r="D284">
        <v>180</v>
      </c>
      <c r="E284">
        <v>169.29</v>
      </c>
      <c r="F284">
        <v>161</v>
      </c>
      <c r="G284">
        <v>1.051490683229814</v>
      </c>
      <c r="H284">
        <v>0.03827751196172249</v>
      </c>
      <c r="I284">
        <v>-0.009991520890332728</v>
      </c>
      <c r="J284">
        <v>0.05</v>
      </c>
      <c r="K284">
        <v>0.07503465813403398</v>
      </c>
      <c r="L284" t="s">
        <v>900</v>
      </c>
      <c r="M284" t="s">
        <v>900</v>
      </c>
      <c r="N284">
        <v>15.73327137546468</v>
      </c>
      <c r="O284">
        <v>10.76</v>
      </c>
      <c r="P284">
        <v>6.48</v>
      </c>
      <c r="Q284">
        <v>0.6022304832713755</v>
      </c>
      <c r="R284">
        <v>14</v>
      </c>
      <c r="S284">
        <v>0.04999226737156715</v>
      </c>
      <c r="T284" t="s">
        <v>931</v>
      </c>
      <c r="U284">
        <v>-0.034921597712406</v>
      </c>
      <c r="V284" t="s">
        <v>988</v>
      </c>
      <c r="W284" t="s">
        <v>993</v>
      </c>
      <c r="X284">
        <v>146421.994968</v>
      </c>
      <c r="Y284" s="2">
        <v>45050</v>
      </c>
      <c r="Z284" t="s">
        <v>1010</v>
      </c>
    </row>
    <row r="285" spans="1:26">
      <c r="A285" s="1" t="s">
        <v>309</v>
      </c>
      <c r="B285">
        <f>HYPERLINK("https://www.suredividend.com/sure-analysis-GRC/","Gorman-Rupp Co.")</f>
        <v>0</v>
      </c>
      <c r="C285" t="s">
        <v>897</v>
      </c>
      <c r="D285">
        <v>25</v>
      </c>
      <c r="E285">
        <v>27.39</v>
      </c>
      <c r="F285">
        <v>24</v>
      </c>
      <c r="G285">
        <v>1.14125</v>
      </c>
      <c r="H285">
        <v>0.02555677254472435</v>
      </c>
      <c r="I285">
        <v>-0.02607874982570413</v>
      </c>
      <c r="J285">
        <v>0.08</v>
      </c>
      <c r="K285">
        <v>0.07496584712133303</v>
      </c>
      <c r="L285" t="s">
        <v>900</v>
      </c>
      <c r="M285" t="s">
        <v>900</v>
      </c>
      <c r="N285">
        <v>26.08571428571429</v>
      </c>
      <c r="O285">
        <v>1.05</v>
      </c>
      <c r="P285">
        <v>0.7</v>
      </c>
      <c r="Q285">
        <v>0.6666666666666666</v>
      </c>
      <c r="R285">
        <v>50</v>
      </c>
      <c r="S285">
        <v>0.04920026914708719</v>
      </c>
      <c r="T285" t="s">
        <v>931</v>
      </c>
      <c r="U285">
        <v>-0.022103530638256</v>
      </c>
      <c r="V285" t="s">
        <v>988</v>
      </c>
      <c r="W285" t="s">
        <v>993</v>
      </c>
      <c r="X285">
        <v>717.022213</v>
      </c>
      <c r="Y285" s="2">
        <v>45048</v>
      </c>
      <c r="Z285" t="s">
        <v>1004</v>
      </c>
    </row>
    <row r="286" spans="1:26">
      <c r="A286" s="1" t="s">
        <v>310</v>
      </c>
      <c r="B286">
        <f>HYPERLINK("https://www.suredividend.com/sure-analysis-K/","Kellogg Co")</f>
        <v>0</v>
      </c>
      <c r="C286" t="s">
        <v>897</v>
      </c>
      <c r="D286">
        <v>70</v>
      </c>
      <c r="E286">
        <v>65.16</v>
      </c>
      <c r="F286">
        <v>66</v>
      </c>
      <c r="G286">
        <v>0.9872727272727272</v>
      </c>
      <c r="H286">
        <v>0.03621853898096992</v>
      </c>
      <c r="I286">
        <v>0.002565075850640364</v>
      </c>
      <c r="J286">
        <v>0.04</v>
      </c>
      <c r="K286">
        <v>0.074242318691359</v>
      </c>
      <c r="L286" t="s">
        <v>900</v>
      </c>
      <c r="M286" t="s">
        <v>900</v>
      </c>
      <c r="N286">
        <v>15.89268292682927</v>
      </c>
      <c r="O286">
        <v>4.1</v>
      </c>
      <c r="P286">
        <v>2.36</v>
      </c>
      <c r="Q286">
        <v>0.575609756097561</v>
      </c>
      <c r="R286">
        <v>18</v>
      </c>
      <c r="S286">
        <v>0.0303095182681723</v>
      </c>
      <c r="T286" t="s">
        <v>912</v>
      </c>
      <c r="U286">
        <v>-0.046776140145558</v>
      </c>
      <c r="V286" t="s">
        <v>988</v>
      </c>
      <c r="W286" t="s">
        <v>997</v>
      </c>
      <c r="X286">
        <v>22161.5676</v>
      </c>
      <c r="Y286" s="2">
        <v>45054</v>
      </c>
      <c r="Z286" t="s">
        <v>1004</v>
      </c>
    </row>
    <row r="287" spans="1:26">
      <c r="A287" s="1" t="s">
        <v>311</v>
      </c>
      <c r="B287">
        <f>HYPERLINK("https://www.suredividend.com/sure-analysis-OMC/","Omnicom Group, Inc.")</f>
        <v>0</v>
      </c>
      <c r="C287" t="s">
        <v>897</v>
      </c>
      <c r="D287">
        <v>92</v>
      </c>
      <c r="E287">
        <v>93.18000000000001</v>
      </c>
      <c r="F287">
        <v>96</v>
      </c>
      <c r="G287">
        <v>0.9706250000000001</v>
      </c>
      <c r="H287">
        <v>0.0300493668169135</v>
      </c>
      <c r="I287">
        <v>0.005980831192947456</v>
      </c>
      <c r="J287">
        <v>0.04</v>
      </c>
      <c r="K287">
        <v>0.07381122973136334</v>
      </c>
      <c r="L287" t="s">
        <v>900</v>
      </c>
      <c r="M287" t="s">
        <v>900</v>
      </c>
      <c r="N287">
        <v>12.59189189189189</v>
      </c>
      <c r="O287">
        <v>7.4</v>
      </c>
      <c r="P287">
        <v>2.8</v>
      </c>
      <c r="Q287">
        <v>0.3783783783783783</v>
      </c>
      <c r="R287">
        <v>0</v>
      </c>
      <c r="S287">
        <v>0.04978904632428516</v>
      </c>
      <c r="T287" t="s">
        <v>926</v>
      </c>
      <c r="U287">
        <v>0.49328119616343</v>
      </c>
      <c r="V287" t="s">
        <v>988</v>
      </c>
      <c r="W287" t="s">
        <v>998</v>
      </c>
      <c r="X287">
        <v>18590.784871</v>
      </c>
      <c r="Y287" s="2">
        <v>45064</v>
      </c>
      <c r="Z287" t="s">
        <v>1008</v>
      </c>
    </row>
    <row r="288" spans="1:26">
      <c r="A288" s="1" t="s">
        <v>312</v>
      </c>
      <c r="B288">
        <f>HYPERLINK("https://www.suredividend.com/sure-analysis-WTRG/","Essential Utilities Inc")</f>
        <v>0</v>
      </c>
      <c r="C288" t="s">
        <v>897</v>
      </c>
      <c r="D288">
        <v>43</v>
      </c>
      <c r="E288">
        <v>40.01</v>
      </c>
      <c r="F288">
        <v>34</v>
      </c>
      <c r="G288">
        <v>1.176764705882353</v>
      </c>
      <c r="H288">
        <v>0.02874281429642589</v>
      </c>
      <c r="I288">
        <v>-0.03202960867795857</v>
      </c>
      <c r="J288">
        <v>0.08</v>
      </c>
      <c r="K288">
        <v>0.07271503619580866</v>
      </c>
      <c r="L288" t="s">
        <v>900</v>
      </c>
      <c r="M288" t="s">
        <v>900</v>
      </c>
      <c r="N288">
        <v>21.28191489361702</v>
      </c>
      <c r="O288">
        <v>1.88</v>
      </c>
      <c r="P288">
        <v>1.15</v>
      </c>
      <c r="Q288">
        <v>0.6117021276595744</v>
      </c>
      <c r="R288">
        <v>31</v>
      </c>
      <c r="S288">
        <v>0.06014330757368569</v>
      </c>
      <c r="T288" t="s">
        <v>943</v>
      </c>
      <c r="U288">
        <v>-0.101577236064454</v>
      </c>
      <c r="V288" t="s">
        <v>988</v>
      </c>
      <c r="W288" t="s">
        <v>999</v>
      </c>
      <c r="X288">
        <v>10577.824115</v>
      </c>
      <c r="Y288" s="2">
        <v>45055</v>
      </c>
      <c r="Z288" t="s">
        <v>1007</v>
      </c>
    </row>
    <row r="289" spans="1:26">
      <c r="A289" s="1" t="s">
        <v>313</v>
      </c>
      <c r="B289">
        <f>HYPERLINK("https://www.suredividend.com/sure-analysis-EIX/","Edison International")</f>
        <v>0</v>
      </c>
      <c r="C289" t="s">
        <v>897</v>
      </c>
      <c r="D289">
        <v>73.7</v>
      </c>
      <c r="E289">
        <v>67.76000000000001</v>
      </c>
      <c r="F289">
        <v>57.4</v>
      </c>
      <c r="G289">
        <v>1.180487804878049</v>
      </c>
      <c r="H289">
        <v>0.04353600944510035</v>
      </c>
      <c r="I289">
        <v>-0.03264094995925371</v>
      </c>
      <c r="J289">
        <v>0.067</v>
      </c>
      <c r="K289">
        <v>0.07127142206115922</v>
      </c>
      <c r="L289" t="s">
        <v>900</v>
      </c>
      <c r="M289" t="s">
        <v>900</v>
      </c>
      <c r="N289">
        <v>14.76252723311547</v>
      </c>
      <c r="O289">
        <v>4.59</v>
      </c>
      <c r="P289">
        <v>2.95</v>
      </c>
      <c r="Q289">
        <v>0.6427015250544663</v>
      </c>
      <c r="R289">
        <v>19</v>
      </c>
      <c r="S289">
        <v>0.03180924735278889</v>
      </c>
      <c r="T289" t="s">
        <v>906</v>
      </c>
      <c r="U289">
        <v>0.128421192869097</v>
      </c>
      <c r="V289" t="s">
        <v>988</v>
      </c>
      <c r="W289" t="s">
        <v>999</v>
      </c>
      <c r="X289">
        <v>25950.929638</v>
      </c>
      <c r="Y289" s="2">
        <v>45067</v>
      </c>
      <c r="Z289" t="s">
        <v>1013</v>
      </c>
    </row>
    <row r="290" spans="1:26">
      <c r="A290" s="1" t="s">
        <v>314</v>
      </c>
      <c r="B290">
        <f>HYPERLINK("https://www.suredividend.com/sure-analysis-LMT/","Lockheed Martin Corp.")</f>
        <v>0</v>
      </c>
      <c r="C290" t="s">
        <v>897</v>
      </c>
      <c r="D290">
        <v>460</v>
      </c>
      <c r="E290">
        <v>459.36</v>
      </c>
      <c r="F290">
        <v>428</v>
      </c>
      <c r="G290">
        <v>1.073271028037383</v>
      </c>
      <c r="H290">
        <v>0.02612330198537095</v>
      </c>
      <c r="I290">
        <v>-0.01404267293834383</v>
      </c>
      <c r="J290">
        <v>0.06</v>
      </c>
      <c r="K290">
        <v>0.07006370160514663</v>
      </c>
      <c r="L290" t="s">
        <v>900</v>
      </c>
      <c r="M290" t="s">
        <v>900</v>
      </c>
      <c r="N290">
        <v>17.17233644859813</v>
      </c>
      <c r="O290">
        <v>26.75</v>
      </c>
      <c r="P290">
        <v>12</v>
      </c>
      <c r="Q290">
        <v>0.4485981308411215</v>
      </c>
      <c r="R290">
        <v>21</v>
      </c>
      <c r="S290">
        <v>0.06001706997692002</v>
      </c>
      <c r="T290" t="s">
        <v>912</v>
      </c>
      <c r="U290">
        <v>0.124893384174256</v>
      </c>
      <c r="V290" t="s">
        <v>988</v>
      </c>
      <c r="W290" t="s">
        <v>993</v>
      </c>
      <c r="X290">
        <v>116334.092746</v>
      </c>
      <c r="Y290" s="2">
        <v>45043</v>
      </c>
      <c r="Z290" t="s">
        <v>1016</v>
      </c>
    </row>
    <row r="291" spans="1:26">
      <c r="A291" s="1" t="s">
        <v>315</v>
      </c>
      <c r="B291">
        <f>HYPERLINK("https://www.suredividend.com/sure-analysis-IPG/","Interpublic Group Of Cos., Inc.")</f>
        <v>0</v>
      </c>
      <c r="C291" t="s">
        <v>897</v>
      </c>
      <c r="D291">
        <v>36</v>
      </c>
      <c r="E291">
        <v>38.48</v>
      </c>
      <c r="F291">
        <v>33</v>
      </c>
      <c r="G291">
        <v>1.166060606060606</v>
      </c>
      <c r="H291">
        <v>0.03222453222453223</v>
      </c>
      <c r="I291">
        <v>-0.03025896064657008</v>
      </c>
      <c r="J291">
        <v>0.07000000000000001</v>
      </c>
      <c r="K291">
        <v>0.06934916710306527</v>
      </c>
      <c r="L291" t="s">
        <v>900</v>
      </c>
      <c r="M291" t="s">
        <v>900</v>
      </c>
      <c r="N291">
        <v>13.99272727272727</v>
      </c>
      <c r="O291">
        <v>2.75</v>
      </c>
      <c r="P291">
        <v>1.24</v>
      </c>
      <c r="Q291">
        <v>0.4509090909090909</v>
      </c>
      <c r="R291">
        <v>12</v>
      </c>
      <c r="S291">
        <v>0.06513694131438896</v>
      </c>
      <c r="T291" t="s">
        <v>967</v>
      </c>
      <c r="U291">
        <v>0.413557366992259</v>
      </c>
      <c r="V291" t="s">
        <v>988</v>
      </c>
      <c r="W291" t="s">
        <v>998</v>
      </c>
      <c r="X291">
        <v>14854.541528</v>
      </c>
      <c r="Y291" s="2">
        <v>45044</v>
      </c>
      <c r="Z291" t="s">
        <v>1012</v>
      </c>
    </row>
    <row r="292" spans="1:26">
      <c r="A292" s="1" t="s">
        <v>316</v>
      </c>
      <c r="B292">
        <f>HYPERLINK("https://www.suredividend.com/sure-analysis-BAH/","Booz Allen Hamilton Holding Corp")</f>
        <v>0</v>
      </c>
      <c r="C292" t="s">
        <v>897</v>
      </c>
      <c r="D292">
        <v>101</v>
      </c>
      <c r="E292">
        <v>107.44</v>
      </c>
      <c r="F292">
        <v>93</v>
      </c>
      <c r="G292">
        <v>1.155268817204301</v>
      </c>
      <c r="H292">
        <v>0.01749813849590469</v>
      </c>
      <c r="I292">
        <v>-0.0284539514094384</v>
      </c>
      <c r="J292">
        <v>0.08</v>
      </c>
      <c r="K292">
        <v>0.06904049696040304</v>
      </c>
      <c r="L292" t="s">
        <v>900</v>
      </c>
      <c r="M292" t="s">
        <v>791</v>
      </c>
      <c r="N292">
        <v>22.01639344262295</v>
      </c>
      <c r="O292">
        <v>4.88</v>
      </c>
      <c r="P292">
        <v>1.88</v>
      </c>
      <c r="Q292">
        <v>0.3852459016393442</v>
      </c>
      <c r="R292">
        <v>11</v>
      </c>
      <c r="S292">
        <v>0.1197834098119592</v>
      </c>
      <c r="T292" t="s">
        <v>916</v>
      </c>
      <c r="U292">
        <v>0.221733761197899</v>
      </c>
      <c r="V292" t="s">
        <v>988</v>
      </c>
      <c r="W292" t="s">
        <v>993</v>
      </c>
      <c r="X292">
        <v>14055.789007</v>
      </c>
      <c r="Y292" s="2">
        <v>45079</v>
      </c>
      <c r="Z292" t="s">
        <v>1016</v>
      </c>
    </row>
    <row r="293" spans="1:26">
      <c r="A293" s="1" t="s">
        <v>317</v>
      </c>
      <c r="B293">
        <f>HYPERLINK("https://www.suredividend.com/sure-analysis-MCO/","Moody`s Corp.")</f>
        <v>0</v>
      </c>
      <c r="C293" t="s">
        <v>897</v>
      </c>
      <c r="D293">
        <v>313</v>
      </c>
      <c r="E293">
        <v>337.28</v>
      </c>
      <c r="F293">
        <v>244</v>
      </c>
      <c r="G293">
        <v>1.382295081967213</v>
      </c>
      <c r="H293">
        <v>0.009131878557874763</v>
      </c>
      <c r="I293">
        <v>-0.06269734452622011</v>
      </c>
      <c r="J293">
        <v>0.13</v>
      </c>
      <c r="K293">
        <v>0.068999816946262</v>
      </c>
      <c r="L293" t="s">
        <v>900</v>
      </c>
      <c r="M293" t="s">
        <v>791</v>
      </c>
      <c r="N293">
        <v>34.59282051282051</v>
      </c>
      <c r="O293">
        <v>9.75</v>
      </c>
      <c r="P293">
        <v>3.08</v>
      </c>
      <c r="Q293">
        <v>0.3158974358974359</v>
      </c>
      <c r="R293">
        <v>14</v>
      </c>
      <c r="S293">
        <v>0.1100008932331438</v>
      </c>
      <c r="T293" t="s">
        <v>908</v>
      </c>
      <c r="U293">
        <v>0.230601731701239</v>
      </c>
      <c r="V293" t="s">
        <v>988</v>
      </c>
      <c r="W293" t="s">
        <v>994</v>
      </c>
      <c r="X293">
        <v>61890.88</v>
      </c>
      <c r="Y293" s="2">
        <v>45049</v>
      </c>
      <c r="Z293" t="s">
        <v>1004</v>
      </c>
    </row>
    <row r="294" spans="1:26">
      <c r="A294" s="1" t="s">
        <v>318</v>
      </c>
      <c r="B294">
        <f>HYPERLINK("https://www.suredividend.com/sure-analysis-TXN/","Texas Instruments Inc.")</f>
        <v>0</v>
      </c>
      <c r="C294" t="s">
        <v>897</v>
      </c>
      <c r="D294">
        <v>163</v>
      </c>
      <c r="E294">
        <v>167.68</v>
      </c>
      <c r="F294">
        <v>143</v>
      </c>
      <c r="G294">
        <v>1.172587412587413</v>
      </c>
      <c r="H294">
        <v>0.02958015267175572</v>
      </c>
      <c r="I294">
        <v>-0.03134091859766119</v>
      </c>
      <c r="J294">
        <v>0.07000000000000001</v>
      </c>
      <c r="K294">
        <v>0.0679323962084637</v>
      </c>
      <c r="L294" t="s">
        <v>900</v>
      </c>
      <c r="M294" t="s">
        <v>589</v>
      </c>
      <c r="N294">
        <v>22.35733333333333</v>
      </c>
      <c r="O294">
        <v>7.5</v>
      </c>
      <c r="P294">
        <v>4.96</v>
      </c>
      <c r="Q294">
        <v>0.6613333333333333</v>
      </c>
      <c r="R294">
        <v>19</v>
      </c>
      <c r="S294">
        <v>0.08995501081970847</v>
      </c>
      <c r="T294" t="s">
        <v>907</v>
      </c>
      <c r="U294">
        <v>0.115679191664875</v>
      </c>
      <c r="V294" t="s">
        <v>988</v>
      </c>
      <c r="W294" t="s">
        <v>1000</v>
      </c>
      <c r="X294">
        <v>152195.39958</v>
      </c>
      <c r="Y294" s="2">
        <v>45056</v>
      </c>
      <c r="Z294" t="s">
        <v>1008</v>
      </c>
    </row>
    <row r="295" spans="1:26">
      <c r="A295" s="1" t="s">
        <v>319</v>
      </c>
      <c r="B295">
        <f>HYPERLINK("https://www.suredividend.com/sure-analysis-RSG/","Republic Services, Inc.")</f>
        <v>0</v>
      </c>
      <c r="C295" t="s">
        <v>897</v>
      </c>
      <c r="D295">
        <v>144</v>
      </c>
      <c r="E295">
        <v>146.53</v>
      </c>
      <c r="F295">
        <v>130</v>
      </c>
      <c r="G295">
        <v>1.127153846153846</v>
      </c>
      <c r="H295">
        <v>0.01351259127823654</v>
      </c>
      <c r="I295">
        <v>-0.02365487855807313</v>
      </c>
      <c r="J295">
        <v>0.08</v>
      </c>
      <c r="K295">
        <v>0.0673790470149831</v>
      </c>
      <c r="L295" t="s">
        <v>900</v>
      </c>
      <c r="M295" t="s">
        <v>791</v>
      </c>
      <c r="N295">
        <v>28.23314065510597</v>
      </c>
      <c r="O295">
        <v>5.19</v>
      </c>
      <c r="P295">
        <v>1.98</v>
      </c>
      <c r="Q295">
        <v>0.3815028901734104</v>
      </c>
      <c r="R295">
        <v>18</v>
      </c>
      <c r="S295">
        <v>0.06478229245750722</v>
      </c>
      <c r="T295" t="s">
        <v>924</v>
      </c>
      <c r="U295">
        <v>0.144631488497441</v>
      </c>
      <c r="V295" t="s">
        <v>988</v>
      </c>
      <c r="W295" t="s">
        <v>993</v>
      </c>
      <c r="X295">
        <v>46344.848789</v>
      </c>
      <c r="Y295" s="2">
        <v>45044</v>
      </c>
      <c r="Z295" t="s">
        <v>1012</v>
      </c>
    </row>
    <row r="296" spans="1:26">
      <c r="A296" s="1" t="s">
        <v>320</v>
      </c>
      <c r="B296">
        <f>HYPERLINK("https://www.suredividend.com/sure-analysis-WHR/","Whirlpool Corp.")</f>
        <v>0</v>
      </c>
      <c r="C296" t="s">
        <v>897</v>
      </c>
      <c r="D296">
        <v>140</v>
      </c>
      <c r="E296">
        <v>140.59</v>
      </c>
      <c r="F296">
        <v>140</v>
      </c>
      <c r="G296">
        <v>1.004214285714286</v>
      </c>
      <c r="H296">
        <v>0.04979016999786613</v>
      </c>
      <c r="I296">
        <v>-0.0008407324827383045</v>
      </c>
      <c r="J296">
        <v>0.02</v>
      </c>
      <c r="K296">
        <v>0.06653422135497378</v>
      </c>
      <c r="L296" t="s">
        <v>900</v>
      </c>
      <c r="M296" t="s">
        <v>899</v>
      </c>
      <c r="N296">
        <v>8.520606060606061</v>
      </c>
      <c r="O296">
        <v>16.5</v>
      </c>
      <c r="P296">
        <v>7</v>
      </c>
      <c r="Q296">
        <v>0.4242424242424243</v>
      </c>
      <c r="R296">
        <v>12</v>
      </c>
      <c r="S296">
        <v>0.04008374958398786</v>
      </c>
      <c r="T296" t="s">
        <v>908</v>
      </c>
      <c r="U296">
        <v>-0.112634621198684</v>
      </c>
      <c r="V296" t="s">
        <v>988</v>
      </c>
      <c r="W296" t="s">
        <v>995</v>
      </c>
      <c r="X296">
        <v>7698.418503</v>
      </c>
      <c r="Y296" s="2">
        <v>45050</v>
      </c>
      <c r="Z296" t="s">
        <v>1010</v>
      </c>
    </row>
    <row r="297" spans="1:26">
      <c r="A297" s="1" t="s">
        <v>321</v>
      </c>
      <c r="B297">
        <f>HYPERLINK("https://www.suredividend.com/sure-analysis-AWK/","American Water Works Co. Inc.")</f>
        <v>0</v>
      </c>
      <c r="C297" t="s">
        <v>897</v>
      </c>
      <c r="D297">
        <v>146</v>
      </c>
      <c r="E297">
        <v>145.76</v>
      </c>
      <c r="F297">
        <v>124</v>
      </c>
      <c r="G297">
        <v>1.175483870967742</v>
      </c>
      <c r="H297">
        <v>0.01941547749725576</v>
      </c>
      <c r="I297">
        <v>-0.03181875589017613</v>
      </c>
      <c r="J297">
        <v>0.08</v>
      </c>
      <c r="K297">
        <v>0.06545656087882534</v>
      </c>
      <c r="L297" t="s">
        <v>900</v>
      </c>
      <c r="M297" t="s">
        <v>791</v>
      </c>
      <c r="N297">
        <v>30.55765199161426</v>
      </c>
      <c r="O297">
        <v>4.77</v>
      </c>
      <c r="P297">
        <v>2.83</v>
      </c>
      <c r="Q297">
        <v>0.5932914046121593</v>
      </c>
      <c r="R297">
        <v>15</v>
      </c>
      <c r="S297">
        <v>0.08009356595129047</v>
      </c>
      <c r="T297" t="s">
        <v>955</v>
      </c>
      <c r="U297">
        <v>0.000363057119385</v>
      </c>
      <c r="V297" t="s">
        <v>988</v>
      </c>
      <c r="W297" t="s">
        <v>999</v>
      </c>
      <c r="X297">
        <v>28371.252739</v>
      </c>
      <c r="Y297" s="2">
        <v>45043</v>
      </c>
      <c r="Z297" t="s">
        <v>1012</v>
      </c>
    </row>
    <row r="298" spans="1:26">
      <c r="A298" s="1" t="s">
        <v>322</v>
      </c>
      <c r="B298">
        <f>HYPERLINK("https://www.suredividend.com/sure-analysis-LRLCF/","L`Oreal")</f>
        <v>0</v>
      </c>
      <c r="C298" t="s">
        <v>897</v>
      </c>
      <c r="D298">
        <v>450</v>
      </c>
      <c r="E298">
        <v>441.21</v>
      </c>
      <c r="F298">
        <v>350</v>
      </c>
      <c r="G298">
        <v>1.2606</v>
      </c>
      <c r="H298">
        <v>0.01468688379683144</v>
      </c>
      <c r="I298">
        <v>-0.04526127242120315</v>
      </c>
      <c r="J298">
        <v>0.1</v>
      </c>
      <c r="K298">
        <v>0.06529324134957037</v>
      </c>
      <c r="L298" t="s">
        <v>900</v>
      </c>
      <c r="M298" t="s">
        <v>791</v>
      </c>
      <c r="N298">
        <v>31.515</v>
      </c>
      <c r="O298">
        <v>14</v>
      </c>
      <c r="P298">
        <v>6.48</v>
      </c>
      <c r="Q298">
        <v>0.4628571428571429</v>
      </c>
      <c r="R298">
        <v>23</v>
      </c>
      <c r="S298">
        <v>0.0849176890175305</v>
      </c>
      <c r="T298" t="s">
        <v>968</v>
      </c>
      <c r="U298">
        <v>0.277018813314037</v>
      </c>
      <c r="V298" t="s">
        <v>988</v>
      </c>
      <c r="W298" t="s">
        <v>997</v>
      </c>
      <c r="X298">
        <v>236472.273615</v>
      </c>
      <c r="Y298" s="2">
        <v>45064</v>
      </c>
      <c r="Z298" t="s">
        <v>1012</v>
      </c>
    </row>
    <row r="299" spans="1:26">
      <c r="A299" s="1" t="s">
        <v>323</v>
      </c>
      <c r="B299">
        <f>HYPERLINK("https://www.suredividend.com/sure-analysis-XEL/","Xcel Energy, Inc.")</f>
        <v>0</v>
      </c>
      <c r="C299" t="s">
        <v>897</v>
      </c>
      <c r="D299">
        <v>70</v>
      </c>
      <c r="E299">
        <v>62.1</v>
      </c>
      <c r="F299">
        <v>60</v>
      </c>
      <c r="G299">
        <v>1.035</v>
      </c>
      <c r="H299">
        <v>0.03349436392914654</v>
      </c>
      <c r="I299">
        <v>-0.00685667037055171</v>
      </c>
      <c r="J299">
        <v>0.04</v>
      </c>
      <c r="K299">
        <v>0.0640760311137063</v>
      </c>
      <c r="L299" t="s">
        <v>900</v>
      </c>
      <c r="M299" t="s">
        <v>900</v>
      </c>
      <c r="N299">
        <v>18.53731343283582</v>
      </c>
      <c r="O299">
        <v>3.35</v>
      </c>
      <c r="P299">
        <v>2.08</v>
      </c>
      <c r="Q299">
        <v>0.6208955223880597</v>
      </c>
      <c r="R299">
        <v>20</v>
      </c>
      <c r="S299">
        <v>0.03994755272054218</v>
      </c>
      <c r="T299" t="s">
        <v>916</v>
      </c>
      <c r="U299">
        <v>-0.059250551421576</v>
      </c>
      <c r="V299" t="s">
        <v>988</v>
      </c>
      <c r="W299" t="s">
        <v>999</v>
      </c>
      <c r="X299">
        <v>34177.128155</v>
      </c>
      <c r="Y299" s="2">
        <v>45043</v>
      </c>
      <c r="Z299" t="s">
        <v>1017</v>
      </c>
    </row>
    <row r="300" spans="1:26">
      <c r="A300" s="1" t="s">
        <v>324</v>
      </c>
      <c r="B300">
        <f>HYPERLINK("https://www.suredividend.com/sure-analysis-ZTS/","Zoetis Inc")</f>
        <v>0</v>
      </c>
      <c r="C300" t="s">
        <v>897</v>
      </c>
      <c r="D300">
        <v>186</v>
      </c>
      <c r="E300">
        <v>168.37</v>
      </c>
      <c r="F300">
        <v>128</v>
      </c>
      <c r="G300">
        <v>1.315390625</v>
      </c>
      <c r="H300">
        <v>0.008908950525628082</v>
      </c>
      <c r="I300">
        <v>-0.0533508450421184</v>
      </c>
      <c r="J300">
        <v>0.11</v>
      </c>
      <c r="K300">
        <v>0.06188308785416319</v>
      </c>
      <c r="L300" t="s">
        <v>900</v>
      </c>
      <c r="M300" t="s">
        <v>791</v>
      </c>
      <c r="N300">
        <v>31.52996254681648</v>
      </c>
      <c r="O300">
        <v>5.34</v>
      </c>
      <c r="P300">
        <v>1.5</v>
      </c>
      <c r="Q300">
        <v>0.2808988764044944</v>
      </c>
      <c r="R300">
        <v>9</v>
      </c>
      <c r="S300">
        <v>0.1502258848040678</v>
      </c>
      <c r="T300" t="s">
        <v>915</v>
      </c>
      <c r="U300">
        <v>-0.027555576091162</v>
      </c>
      <c r="V300" t="s">
        <v>988</v>
      </c>
      <c r="W300" t="s">
        <v>996</v>
      </c>
      <c r="X300">
        <v>77805.821012</v>
      </c>
      <c r="Y300" s="2">
        <v>45056</v>
      </c>
      <c r="Z300" t="s">
        <v>1015</v>
      </c>
    </row>
    <row r="301" spans="1:26">
      <c r="A301" s="1" t="s">
        <v>325</v>
      </c>
      <c r="B301">
        <f>HYPERLINK("https://www.suredividend.com/sure-analysis-MURGF/","Muenchener Rueckversicherungs-Gesellschaft AG")</f>
        <v>0</v>
      </c>
      <c r="C301" t="s">
        <v>897</v>
      </c>
      <c r="D301">
        <v>367</v>
      </c>
      <c r="E301">
        <v>360.94</v>
      </c>
      <c r="F301">
        <v>372</v>
      </c>
      <c r="G301">
        <v>0.970268817204301</v>
      </c>
      <c r="H301">
        <v>0.03421621322103396</v>
      </c>
      <c r="I301">
        <v>0.006054678863993468</v>
      </c>
      <c r="J301">
        <v>0.02</v>
      </c>
      <c r="K301">
        <v>0.05971310388115603</v>
      </c>
      <c r="L301" t="s">
        <v>900</v>
      </c>
      <c r="M301" t="s">
        <v>900</v>
      </c>
      <c r="N301">
        <v>11.64322580645161</v>
      </c>
      <c r="O301">
        <v>31</v>
      </c>
      <c r="P301">
        <v>12.35</v>
      </c>
      <c r="Q301">
        <v>0.3983870967741935</v>
      </c>
      <c r="R301">
        <v>2</v>
      </c>
      <c r="S301">
        <v>0.04997232247159333</v>
      </c>
      <c r="T301" t="s">
        <v>955</v>
      </c>
      <c r="U301">
        <v>0.5286295104184311</v>
      </c>
      <c r="V301" t="s">
        <v>988</v>
      </c>
      <c r="W301" t="s">
        <v>994</v>
      </c>
      <c r="X301">
        <v>49256.814061</v>
      </c>
      <c r="Y301" s="2">
        <v>45068</v>
      </c>
      <c r="Z301" t="s">
        <v>1012</v>
      </c>
    </row>
    <row r="302" spans="1:26">
      <c r="A302" s="1" t="s">
        <v>326</v>
      </c>
      <c r="B302">
        <f>HYPERLINK("https://www.suredividend.com/sure-analysis-IBM/","International Business Machines Corp.")</f>
        <v>0</v>
      </c>
      <c r="C302" t="s">
        <v>897</v>
      </c>
      <c r="D302">
        <v>125</v>
      </c>
      <c r="E302">
        <v>129.43</v>
      </c>
      <c r="F302">
        <v>114</v>
      </c>
      <c r="G302">
        <v>1.135350877192983</v>
      </c>
      <c r="H302">
        <v>0.05130186201035308</v>
      </c>
      <c r="I302">
        <v>-0.02506877527121387</v>
      </c>
      <c r="J302">
        <v>0.04</v>
      </c>
      <c r="K302">
        <v>0.05949351600085206</v>
      </c>
      <c r="L302" t="s">
        <v>900</v>
      </c>
      <c r="M302" t="s">
        <v>899</v>
      </c>
      <c r="N302">
        <v>13.62421052631579</v>
      </c>
      <c r="O302">
        <v>9.5</v>
      </c>
      <c r="P302">
        <v>6.64</v>
      </c>
      <c r="Q302">
        <v>0.6989473684210527</v>
      </c>
      <c r="R302">
        <v>29</v>
      </c>
      <c r="S302">
        <v>0.008877132303628299</v>
      </c>
      <c r="T302" t="s">
        <v>905</v>
      </c>
      <c r="U302">
        <v>-0.042073851273139</v>
      </c>
      <c r="V302" t="s">
        <v>988</v>
      </c>
      <c r="W302" t="s">
        <v>1000</v>
      </c>
      <c r="X302">
        <v>117528.317934</v>
      </c>
      <c r="Y302" s="2">
        <v>45042</v>
      </c>
      <c r="Z302" t="s">
        <v>1016</v>
      </c>
    </row>
    <row r="303" spans="1:26">
      <c r="A303" s="1" t="s">
        <v>327</v>
      </c>
      <c r="B303">
        <f>HYPERLINK("https://www.suredividend.com/sure-analysis-RMD/","Resmed Inc.")</f>
        <v>0</v>
      </c>
      <c r="C303" t="s">
        <v>897</v>
      </c>
      <c r="D303">
        <v>224</v>
      </c>
      <c r="E303">
        <v>215.27</v>
      </c>
      <c r="F303">
        <v>156</v>
      </c>
      <c r="G303">
        <v>1.379935897435898</v>
      </c>
      <c r="H303">
        <v>0.008175779253960142</v>
      </c>
      <c r="I303">
        <v>-0.06237707467962983</v>
      </c>
      <c r="J303">
        <v>0.12</v>
      </c>
      <c r="K303">
        <v>0.05900686574162295</v>
      </c>
      <c r="L303" t="s">
        <v>900</v>
      </c>
      <c r="M303" t="s">
        <v>791</v>
      </c>
      <c r="N303">
        <v>33.11846153846154</v>
      </c>
      <c r="O303">
        <v>6.5</v>
      </c>
      <c r="P303">
        <v>1.76</v>
      </c>
      <c r="Q303">
        <v>0.2707692307692308</v>
      </c>
      <c r="R303">
        <v>2</v>
      </c>
      <c r="S303">
        <v>0.0996506962606063</v>
      </c>
      <c r="T303" t="s">
        <v>910</v>
      </c>
      <c r="U303">
        <v>0.025791310770403</v>
      </c>
      <c r="V303" t="s">
        <v>988</v>
      </c>
      <c r="W303" t="s">
        <v>996</v>
      </c>
      <c r="X303">
        <v>31629.763178</v>
      </c>
      <c r="Y303" s="2">
        <v>45065</v>
      </c>
      <c r="Z303" t="s">
        <v>1008</v>
      </c>
    </row>
    <row r="304" spans="1:26">
      <c r="A304" s="1" t="s">
        <v>328</v>
      </c>
      <c r="B304">
        <f>HYPERLINK("https://www.suredividend.com/sure-analysis-RGLD/","Royal Gold, Inc.")</f>
        <v>0</v>
      </c>
      <c r="C304" t="s">
        <v>897</v>
      </c>
      <c r="D304">
        <v>122</v>
      </c>
      <c r="E304">
        <v>114.01</v>
      </c>
      <c r="F304">
        <v>122</v>
      </c>
      <c r="G304">
        <v>0.9345081967213115</v>
      </c>
      <c r="H304">
        <v>0.01315674063678625</v>
      </c>
      <c r="I304">
        <v>0.01363915222455558</v>
      </c>
      <c r="J304">
        <v>0.03</v>
      </c>
      <c r="K304">
        <v>0.05811872617945602</v>
      </c>
      <c r="L304" t="s">
        <v>900</v>
      </c>
      <c r="M304" t="s">
        <v>791</v>
      </c>
      <c r="N304">
        <v>29.8455497382199</v>
      </c>
      <c r="O304">
        <v>3.82</v>
      </c>
      <c r="P304">
        <v>1.5</v>
      </c>
      <c r="Q304">
        <v>0.3926701570680629</v>
      </c>
      <c r="R304">
        <v>22</v>
      </c>
      <c r="S304">
        <v>0.09019489529987834</v>
      </c>
      <c r="T304" t="s">
        <v>919</v>
      </c>
      <c r="U304">
        <v>0.052765714612861</v>
      </c>
      <c r="V304" t="s">
        <v>988</v>
      </c>
      <c r="W304" t="s">
        <v>992</v>
      </c>
      <c r="X304">
        <v>7478.981665</v>
      </c>
      <c r="Y304" s="2">
        <v>45069</v>
      </c>
      <c r="Z304" t="s">
        <v>1010</v>
      </c>
    </row>
    <row r="305" spans="1:26">
      <c r="A305" s="1" t="s">
        <v>329</v>
      </c>
      <c r="B305">
        <f>HYPERLINK("https://www.suredividend.com/sure-analysis-HON/","Honeywell International Inc")</f>
        <v>0</v>
      </c>
      <c r="C305" t="s">
        <v>897</v>
      </c>
      <c r="D305">
        <v>200</v>
      </c>
      <c r="E305">
        <v>200.09</v>
      </c>
      <c r="F305">
        <v>155</v>
      </c>
      <c r="G305">
        <v>1.290903225806452</v>
      </c>
      <c r="H305">
        <v>0.02059073416962367</v>
      </c>
      <c r="I305">
        <v>-0.04978635450980151</v>
      </c>
      <c r="J305">
        <v>0.09</v>
      </c>
      <c r="K305">
        <v>0.05809268866048423</v>
      </c>
      <c r="L305" t="s">
        <v>900</v>
      </c>
      <c r="M305" t="s">
        <v>589</v>
      </c>
      <c r="N305">
        <v>21.91566265060241</v>
      </c>
      <c r="O305">
        <v>9.130000000000001</v>
      </c>
      <c r="P305">
        <v>4.12</v>
      </c>
      <c r="Q305">
        <v>0.4512595837897043</v>
      </c>
      <c r="R305">
        <v>13</v>
      </c>
      <c r="S305">
        <v>0.09002989341627976</v>
      </c>
      <c r="T305" t="s">
        <v>943</v>
      </c>
      <c r="U305">
        <v>0.145984272713214</v>
      </c>
      <c r="V305" t="s">
        <v>988</v>
      </c>
      <c r="W305" t="s">
        <v>993</v>
      </c>
      <c r="X305">
        <v>133195.260707</v>
      </c>
      <c r="Y305" s="2">
        <v>45045</v>
      </c>
      <c r="Z305" t="s">
        <v>1003</v>
      </c>
    </row>
    <row r="306" spans="1:26">
      <c r="A306" s="1" t="s">
        <v>330</v>
      </c>
      <c r="B306">
        <f>HYPERLINK("https://www.suredividend.com/sure-analysis-ARTNA/","Artesian Resources Corp.")</f>
        <v>0</v>
      </c>
      <c r="C306" t="s">
        <v>898</v>
      </c>
      <c r="D306">
        <v>55.3</v>
      </c>
      <c r="E306">
        <v>47.95</v>
      </c>
      <c r="F306">
        <v>42.8</v>
      </c>
      <c r="G306">
        <v>1.120327102803738</v>
      </c>
      <c r="H306">
        <v>0.02377476538060479</v>
      </c>
      <c r="I306">
        <v>-0.0224678911643017</v>
      </c>
      <c r="J306">
        <v>0.061</v>
      </c>
      <c r="K306">
        <v>0.0580261096274739</v>
      </c>
      <c r="L306" t="s">
        <v>900</v>
      </c>
      <c r="M306" t="s">
        <v>589</v>
      </c>
      <c r="N306">
        <v>25.23684210526316</v>
      </c>
      <c r="O306">
        <v>1.9</v>
      </c>
      <c r="P306">
        <v>1.14</v>
      </c>
      <c r="Q306">
        <v>0.6</v>
      </c>
      <c r="R306">
        <v>28</v>
      </c>
      <c r="S306">
        <v>0.01859380928703191</v>
      </c>
      <c r="T306" t="s">
        <v>908</v>
      </c>
      <c r="U306">
        <v>0.033215897949729</v>
      </c>
      <c r="V306" t="s">
        <v>988</v>
      </c>
      <c r="W306" t="s">
        <v>999</v>
      </c>
      <c r="X306">
        <v>447.079614</v>
      </c>
      <c r="Y306" s="2">
        <v>45067</v>
      </c>
      <c r="Z306" t="s">
        <v>1013</v>
      </c>
    </row>
    <row r="307" spans="1:26">
      <c r="A307" s="1" t="s">
        <v>331</v>
      </c>
      <c r="B307">
        <f>HYPERLINK("https://www.suredividend.com/sure-analysis-PNM/","PNM Resources Inc")</f>
        <v>0</v>
      </c>
      <c r="C307" t="s">
        <v>897</v>
      </c>
      <c r="D307">
        <v>47</v>
      </c>
      <c r="E307">
        <v>44.98</v>
      </c>
      <c r="F307">
        <v>40</v>
      </c>
      <c r="G307">
        <v>1.1245</v>
      </c>
      <c r="H307">
        <v>0.03268119164072922</v>
      </c>
      <c r="I307">
        <v>-0.0231944735408619</v>
      </c>
      <c r="J307">
        <v>0.05</v>
      </c>
      <c r="K307">
        <v>0.05786971701374388</v>
      </c>
      <c r="L307" t="s">
        <v>900</v>
      </c>
      <c r="M307" t="s">
        <v>900</v>
      </c>
      <c r="N307">
        <v>16.97358490566038</v>
      </c>
      <c r="O307">
        <v>2.65</v>
      </c>
      <c r="P307">
        <v>1.47</v>
      </c>
      <c r="Q307">
        <v>0.5547169811320755</v>
      </c>
      <c r="R307">
        <v>12</v>
      </c>
      <c r="S307">
        <v>0.05043238559570518</v>
      </c>
      <c r="T307" t="s">
        <v>928</v>
      </c>
      <c r="U307">
        <v>-0.028140286588422</v>
      </c>
      <c r="V307" t="s">
        <v>988</v>
      </c>
      <c r="W307" t="s">
        <v>999</v>
      </c>
      <c r="X307">
        <v>3860.852633</v>
      </c>
      <c r="Y307" s="2">
        <v>45084</v>
      </c>
      <c r="Z307" t="s">
        <v>1009</v>
      </c>
    </row>
    <row r="308" spans="1:26">
      <c r="A308" s="1" t="s">
        <v>332</v>
      </c>
      <c r="B308">
        <f>HYPERLINK("https://www.suredividend.com/sure-analysis-SAP/","Sap SE")</f>
        <v>0</v>
      </c>
      <c r="C308" t="s">
        <v>897</v>
      </c>
      <c r="D308">
        <v>129</v>
      </c>
      <c r="E308">
        <v>133.47</v>
      </c>
      <c r="F308">
        <v>110</v>
      </c>
      <c r="G308">
        <v>1.213363636363636</v>
      </c>
      <c r="H308">
        <v>0.01670787442871057</v>
      </c>
      <c r="I308">
        <v>-0.03794078248130894</v>
      </c>
      <c r="J308">
        <v>0.08</v>
      </c>
      <c r="K308">
        <v>0.0568253959488676</v>
      </c>
      <c r="L308" t="s">
        <v>900</v>
      </c>
      <c r="M308" t="s">
        <v>791</v>
      </c>
      <c r="N308">
        <v>23.01206896551724</v>
      </c>
      <c r="O308">
        <v>5.8</v>
      </c>
      <c r="P308">
        <v>2.23</v>
      </c>
      <c r="Q308">
        <v>0.3844827586206896</v>
      </c>
      <c r="R308">
        <v>8</v>
      </c>
      <c r="S308">
        <v>0.08479578433327761</v>
      </c>
      <c r="T308" t="s">
        <v>931</v>
      </c>
      <c r="U308">
        <v>0.378813767683258</v>
      </c>
      <c r="V308" t="s">
        <v>988</v>
      </c>
      <c r="W308" t="s">
        <v>1000</v>
      </c>
      <c r="X308">
        <v>163968.459845</v>
      </c>
      <c r="Y308" s="2">
        <v>45071</v>
      </c>
      <c r="Z308" t="s">
        <v>1008</v>
      </c>
    </row>
    <row r="309" spans="1:26">
      <c r="A309" s="1" t="s">
        <v>333</v>
      </c>
      <c r="B309">
        <f>HYPERLINK("https://www.suredividend.com/sure-analysis-NVO/","Novo Nordisk")</f>
        <v>0</v>
      </c>
      <c r="C309" t="s">
        <v>897</v>
      </c>
      <c r="D309">
        <v>169</v>
      </c>
      <c r="E309">
        <v>159.07</v>
      </c>
      <c r="F309">
        <v>123</v>
      </c>
      <c r="G309">
        <v>1.293252032520325</v>
      </c>
      <c r="H309">
        <v>0.01074998428364871</v>
      </c>
      <c r="I309">
        <v>-0.05013176148575849</v>
      </c>
      <c r="J309">
        <v>0.1</v>
      </c>
      <c r="K309">
        <v>0.05573097762654666</v>
      </c>
      <c r="L309" t="s">
        <v>900</v>
      </c>
      <c r="M309" t="s">
        <v>791</v>
      </c>
      <c r="N309">
        <v>29.84427767354596</v>
      </c>
      <c r="O309">
        <v>5.33</v>
      </c>
      <c r="P309">
        <v>1.71</v>
      </c>
      <c r="Q309">
        <v>0.3208255159474672</v>
      </c>
      <c r="R309">
        <v>3</v>
      </c>
      <c r="S309">
        <v>0.07014598459437504</v>
      </c>
      <c r="T309" t="s">
        <v>969</v>
      </c>
      <c r="U309">
        <v>0.43782602368386</v>
      </c>
      <c r="V309" t="s">
        <v>988</v>
      </c>
      <c r="W309" t="s">
        <v>996</v>
      </c>
      <c r="X309">
        <v>273212.90548</v>
      </c>
      <c r="Y309" s="2">
        <v>45058</v>
      </c>
      <c r="Z309" t="s">
        <v>1016</v>
      </c>
    </row>
    <row r="310" spans="1:26">
      <c r="A310" s="1" t="s">
        <v>334</v>
      </c>
      <c r="B310">
        <f>HYPERLINK("https://www.suredividend.com/sure-analysis-RTX/","Raytheon Technologies Corporation")</f>
        <v>0</v>
      </c>
      <c r="C310" t="s">
        <v>897</v>
      </c>
      <c r="D310">
        <v>102</v>
      </c>
      <c r="E310">
        <v>96.91</v>
      </c>
      <c r="F310">
        <v>80</v>
      </c>
      <c r="G310">
        <v>1.211375</v>
      </c>
      <c r="H310">
        <v>0.02435249200288928</v>
      </c>
      <c r="I310">
        <v>-0.03762511955640857</v>
      </c>
      <c r="J310">
        <v>0.07000000000000001</v>
      </c>
      <c r="K310">
        <v>0.05511383977315965</v>
      </c>
      <c r="L310" t="s">
        <v>900</v>
      </c>
      <c r="M310" t="s">
        <v>900</v>
      </c>
      <c r="N310">
        <v>19.45983935742971</v>
      </c>
      <c r="O310">
        <v>4.98</v>
      </c>
      <c r="P310">
        <v>2.36</v>
      </c>
      <c r="Q310">
        <v>0.4738955823293172</v>
      </c>
      <c r="R310">
        <v>29</v>
      </c>
      <c r="S310">
        <v>0.06999857218918182</v>
      </c>
      <c r="T310" t="s">
        <v>908</v>
      </c>
      <c r="U310">
        <v>0.052987285050861</v>
      </c>
      <c r="V310" t="s">
        <v>988</v>
      </c>
      <c r="W310" t="s">
        <v>993</v>
      </c>
      <c r="X310">
        <v>141599.272771</v>
      </c>
      <c r="Y310" s="2">
        <v>45042</v>
      </c>
      <c r="Z310" t="s">
        <v>1003</v>
      </c>
    </row>
    <row r="311" spans="1:26">
      <c r="A311" s="1" t="s">
        <v>335</v>
      </c>
      <c r="B311">
        <f>HYPERLINK("https://www.suredividend.com/sure-analysis-MRK/","Merck &amp; Co Inc")</f>
        <v>0</v>
      </c>
      <c r="C311" t="s">
        <v>897</v>
      </c>
      <c r="D311">
        <v>119</v>
      </c>
      <c r="E311">
        <v>114.6</v>
      </c>
      <c r="F311">
        <v>104</v>
      </c>
      <c r="G311">
        <v>1.101923076923077</v>
      </c>
      <c r="H311">
        <v>0.02547993019197208</v>
      </c>
      <c r="I311">
        <v>-0.01922419331849978</v>
      </c>
      <c r="J311">
        <v>0.05</v>
      </c>
      <c r="K311">
        <v>0.0548681426109614</v>
      </c>
      <c r="L311" t="s">
        <v>900</v>
      </c>
      <c r="M311" t="s">
        <v>589</v>
      </c>
      <c r="N311">
        <v>16.51296829971182</v>
      </c>
      <c r="O311">
        <v>6.94</v>
      </c>
      <c r="P311">
        <v>2.92</v>
      </c>
      <c r="Q311">
        <v>0.4207492795389048</v>
      </c>
      <c r="R311">
        <v>12</v>
      </c>
      <c r="S311">
        <v>0.05018351330582038</v>
      </c>
      <c r="T311" t="s">
        <v>916</v>
      </c>
      <c r="U311">
        <v>0.265758472077102</v>
      </c>
      <c r="V311" t="s">
        <v>988</v>
      </c>
      <c r="W311" t="s">
        <v>996</v>
      </c>
      <c r="X311">
        <v>290790.160328</v>
      </c>
      <c r="Y311" s="2">
        <v>45050</v>
      </c>
      <c r="Z311" t="s">
        <v>1003</v>
      </c>
    </row>
    <row r="312" spans="1:26">
      <c r="A312" s="1" t="s">
        <v>336</v>
      </c>
      <c r="B312">
        <f>HYPERLINK("https://www.suredividend.com/sure-analysis-HII/","Huntington Ingalls Industries Inc")</f>
        <v>0</v>
      </c>
      <c r="C312" t="s">
        <v>897</v>
      </c>
      <c r="D312">
        <v>202</v>
      </c>
      <c r="E312">
        <v>216.96</v>
      </c>
      <c r="F312">
        <v>200</v>
      </c>
      <c r="G312">
        <v>1.0848</v>
      </c>
      <c r="H312">
        <v>0.02286135693215339</v>
      </c>
      <c r="I312">
        <v>-0.01614733874759244</v>
      </c>
      <c r="J312">
        <v>0.05</v>
      </c>
      <c r="K312">
        <v>0.0547205993259543</v>
      </c>
      <c r="L312" t="s">
        <v>900</v>
      </c>
      <c r="M312" t="s">
        <v>589</v>
      </c>
      <c r="N312">
        <v>15.16142557651992</v>
      </c>
      <c r="O312">
        <v>14.31</v>
      </c>
      <c r="P312">
        <v>4.96</v>
      </c>
      <c r="Q312">
        <v>0.3466107617051013</v>
      </c>
      <c r="R312">
        <v>11</v>
      </c>
      <c r="S312">
        <v>0.03984145456721544</v>
      </c>
      <c r="T312" t="s">
        <v>946</v>
      </c>
      <c r="U312">
        <v>0.030065903137912</v>
      </c>
      <c r="V312" t="s">
        <v>988</v>
      </c>
      <c r="W312" t="s">
        <v>993</v>
      </c>
      <c r="X312">
        <v>8654.680197</v>
      </c>
      <c r="Y312" s="2">
        <v>45070</v>
      </c>
      <c r="Z312" t="s">
        <v>1016</v>
      </c>
    </row>
    <row r="313" spans="1:26">
      <c r="A313" s="1" t="s">
        <v>337</v>
      </c>
      <c r="B313">
        <f>HYPERLINK("https://www.suredividend.com/sure-analysis-AMX/","America Movil S.A.B.DE C.V.")</f>
        <v>0</v>
      </c>
      <c r="C313" t="s">
        <v>897</v>
      </c>
      <c r="D313">
        <v>21</v>
      </c>
      <c r="E313">
        <v>21.49</v>
      </c>
      <c r="F313">
        <v>19</v>
      </c>
      <c r="G313">
        <v>1.131052631578947</v>
      </c>
      <c r="H313">
        <v>0.02140530479292695</v>
      </c>
      <c r="I313">
        <v>-0.02432890900594864</v>
      </c>
      <c r="J313">
        <v>0.06</v>
      </c>
      <c r="K313">
        <v>0.05427243517805969</v>
      </c>
      <c r="L313" t="s">
        <v>900</v>
      </c>
      <c r="M313" t="s">
        <v>589</v>
      </c>
      <c r="N313">
        <v>15.35</v>
      </c>
      <c r="O313">
        <v>1.4</v>
      </c>
      <c r="P313">
        <v>0.46</v>
      </c>
      <c r="Q313">
        <v>0.3285714285714286</v>
      </c>
      <c r="R313">
        <v>3</v>
      </c>
      <c r="S313">
        <v>0.03638464900130689</v>
      </c>
      <c r="U313">
        <v>0.041565973900435</v>
      </c>
      <c r="V313" t="s">
        <v>988</v>
      </c>
      <c r="W313" t="s">
        <v>998</v>
      </c>
      <c r="X313">
        <v>68075.3725</v>
      </c>
      <c r="Y313" s="2">
        <v>45044</v>
      </c>
      <c r="Z313" t="s">
        <v>1007</v>
      </c>
    </row>
    <row r="314" spans="1:26">
      <c r="A314" s="1" t="s">
        <v>338</v>
      </c>
      <c r="B314">
        <f>HYPERLINK("https://www.suredividend.com/sure-analysis-TROW/","T. Rowe Price Group Inc.")</f>
        <v>0</v>
      </c>
      <c r="C314" t="s">
        <v>897</v>
      </c>
      <c r="D314">
        <v>107</v>
      </c>
      <c r="E314">
        <v>106.33</v>
      </c>
      <c r="F314">
        <v>95</v>
      </c>
      <c r="G314">
        <v>1.119263157894737</v>
      </c>
      <c r="H314">
        <v>0.04589485563810778</v>
      </c>
      <c r="I314">
        <v>-0.0222821180378262</v>
      </c>
      <c r="J314">
        <v>0.03</v>
      </c>
      <c r="K314">
        <v>0.0536500691419326</v>
      </c>
      <c r="L314" t="s">
        <v>900</v>
      </c>
      <c r="M314" t="s">
        <v>899</v>
      </c>
      <c r="N314">
        <v>15.70605612998523</v>
      </c>
      <c r="O314">
        <v>6.77</v>
      </c>
      <c r="P314">
        <v>4.88</v>
      </c>
      <c r="Q314">
        <v>0.7208271787296898</v>
      </c>
      <c r="R314">
        <v>37</v>
      </c>
      <c r="S314">
        <v>0.04563955259127317</v>
      </c>
      <c r="T314" t="s">
        <v>916</v>
      </c>
      <c r="U314">
        <v>-0.07629653374475601</v>
      </c>
      <c r="V314" t="s">
        <v>988</v>
      </c>
      <c r="W314" t="s">
        <v>994</v>
      </c>
      <c r="X314">
        <v>23878.739378</v>
      </c>
      <c r="Y314" s="2">
        <v>45050</v>
      </c>
      <c r="Z314" t="s">
        <v>1003</v>
      </c>
    </row>
    <row r="315" spans="1:26">
      <c r="A315" s="1" t="s">
        <v>339</v>
      </c>
      <c r="B315">
        <f>HYPERLINK("https://www.suredividend.com/sure-analysis-KMB/","Kimberly-Clark Corp.")</f>
        <v>0</v>
      </c>
      <c r="C315" t="s">
        <v>897</v>
      </c>
      <c r="D315">
        <v>146</v>
      </c>
      <c r="E315">
        <v>136.97</v>
      </c>
      <c r="F315">
        <v>118</v>
      </c>
      <c r="G315">
        <v>1.160762711864407</v>
      </c>
      <c r="H315">
        <v>0.03446010075198949</v>
      </c>
      <c r="I315">
        <v>-0.02937536376788419</v>
      </c>
      <c r="J315">
        <v>0.05</v>
      </c>
      <c r="K315">
        <v>0.05279685824351144</v>
      </c>
      <c r="L315" t="s">
        <v>900</v>
      </c>
      <c r="M315" t="s">
        <v>900</v>
      </c>
      <c r="N315">
        <v>22.09193548387097</v>
      </c>
      <c r="O315">
        <v>6.2</v>
      </c>
      <c r="P315">
        <v>4.72</v>
      </c>
      <c r="Q315">
        <v>0.7612903225806451</v>
      </c>
      <c r="R315">
        <v>51</v>
      </c>
      <c r="S315">
        <v>0.03954315876327219</v>
      </c>
      <c r="T315" t="s">
        <v>926</v>
      </c>
      <c r="U315">
        <v>0.05603125920374701</v>
      </c>
      <c r="V315" t="s">
        <v>988</v>
      </c>
      <c r="W315" t="s">
        <v>997</v>
      </c>
      <c r="X315">
        <v>46210.9386</v>
      </c>
      <c r="Y315" s="2">
        <v>45044</v>
      </c>
      <c r="Z315" t="s">
        <v>1004</v>
      </c>
    </row>
    <row r="316" spans="1:26">
      <c r="A316" s="1" t="s">
        <v>340</v>
      </c>
      <c r="B316">
        <f>HYPERLINK("https://www.suredividend.com/sure-analysis-GILD/","Gilead Sciences, Inc.")</f>
        <v>0</v>
      </c>
      <c r="C316" t="s">
        <v>897</v>
      </c>
      <c r="D316">
        <v>78</v>
      </c>
      <c r="E316">
        <v>77.47</v>
      </c>
      <c r="F316">
        <v>68</v>
      </c>
      <c r="G316">
        <v>1.139264705882353</v>
      </c>
      <c r="H316">
        <v>0.03872466761326965</v>
      </c>
      <c r="I316">
        <v>-0.02573955318810939</v>
      </c>
      <c r="J316">
        <v>0.04</v>
      </c>
      <c r="K316">
        <v>0.0526791260127899</v>
      </c>
      <c r="L316" t="s">
        <v>900</v>
      </c>
      <c r="M316" t="s">
        <v>900</v>
      </c>
      <c r="N316">
        <v>11.39264705882353</v>
      </c>
      <c r="O316">
        <v>6.8</v>
      </c>
      <c r="P316">
        <v>3</v>
      </c>
      <c r="Q316">
        <v>0.4411764705882353</v>
      </c>
      <c r="R316">
        <v>9</v>
      </c>
      <c r="S316">
        <v>0.05006335758366887</v>
      </c>
      <c r="T316" t="s">
        <v>916</v>
      </c>
      <c r="U316">
        <v>0.28879742739597</v>
      </c>
      <c r="V316" t="s">
        <v>988</v>
      </c>
      <c r="W316" t="s">
        <v>996</v>
      </c>
      <c r="X316">
        <v>96632.412817</v>
      </c>
      <c r="Y316" s="2">
        <v>45057</v>
      </c>
      <c r="Z316" t="s">
        <v>1008</v>
      </c>
    </row>
    <row r="317" spans="1:26">
      <c r="A317" s="1" t="s">
        <v>341</v>
      </c>
      <c r="B317">
        <f>HYPERLINK("https://www.suredividend.com/sure-analysis-BBY/","Best Buy Co. Inc.")</f>
        <v>0</v>
      </c>
      <c r="C317" t="s">
        <v>897</v>
      </c>
      <c r="D317">
        <v>73</v>
      </c>
      <c r="E317">
        <v>79.13</v>
      </c>
      <c r="F317">
        <v>67</v>
      </c>
      <c r="G317">
        <v>1.181044776119403</v>
      </c>
      <c r="H317">
        <v>0.04650575003159359</v>
      </c>
      <c r="I317">
        <v>-0.03273220692875023</v>
      </c>
      <c r="J317">
        <v>0.04</v>
      </c>
      <c r="K317">
        <v>0.05260842586636816</v>
      </c>
      <c r="L317" t="s">
        <v>900</v>
      </c>
      <c r="M317" t="s">
        <v>900</v>
      </c>
      <c r="N317">
        <v>12.97213114754098</v>
      </c>
      <c r="O317">
        <v>6.1</v>
      </c>
      <c r="P317">
        <v>3.68</v>
      </c>
      <c r="Q317">
        <v>0.6032786885245902</v>
      </c>
      <c r="R317">
        <v>20</v>
      </c>
      <c r="S317">
        <v>0.04012620718096094</v>
      </c>
      <c r="T317" t="s">
        <v>916</v>
      </c>
      <c r="U317">
        <v>0.110283274472745</v>
      </c>
      <c r="V317" t="s">
        <v>988</v>
      </c>
      <c r="W317" t="s">
        <v>995</v>
      </c>
      <c r="X317">
        <v>17266.999635</v>
      </c>
      <c r="Y317" s="2">
        <v>45083</v>
      </c>
      <c r="Z317" t="s">
        <v>1016</v>
      </c>
    </row>
    <row r="318" spans="1:26">
      <c r="A318" s="1" t="s">
        <v>342</v>
      </c>
      <c r="B318">
        <f>HYPERLINK("https://www.suredividend.com/sure-analysis-CMS/","CMS Energy Corporation")</f>
        <v>0</v>
      </c>
      <c r="C318" t="s">
        <v>897</v>
      </c>
      <c r="D318">
        <v>62</v>
      </c>
      <c r="E318">
        <v>58.59</v>
      </c>
      <c r="F318">
        <v>46</v>
      </c>
      <c r="G318">
        <v>1.273695652173913</v>
      </c>
      <c r="H318">
        <v>0.0332821300563236</v>
      </c>
      <c r="I318">
        <v>-0.04723264853559472</v>
      </c>
      <c r="J318">
        <v>0.06</v>
      </c>
      <c r="K318">
        <v>0.04556538023769963</v>
      </c>
      <c r="L318" t="s">
        <v>900</v>
      </c>
      <c r="M318" t="s">
        <v>900</v>
      </c>
      <c r="N318">
        <v>19.14705882352941</v>
      </c>
      <c r="O318">
        <v>3.06</v>
      </c>
      <c r="P318">
        <v>1.95</v>
      </c>
      <c r="Q318">
        <v>0.6372549019607843</v>
      </c>
      <c r="R318">
        <v>16</v>
      </c>
      <c r="S318">
        <v>0.06003737798448272</v>
      </c>
      <c r="T318" t="s">
        <v>948</v>
      </c>
      <c r="U318">
        <v>-0.073091167392552</v>
      </c>
      <c r="V318" t="s">
        <v>988</v>
      </c>
      <c r="W318" t="s">
        <v>999</v>
      </c>
      <c r="X318">
        <v>17088.132364</v>
      </c>
      <c r="Y318" s="2">
        <v>45061</v>
      </c>
      <c r="Z318" t="s">
        <v>1009</v>
      </c>
    </row>
    <row r="319" spans="1:26">
      <c r="A319" s="1" t="s">
        <v>343</v>
      </c>
      <c r="B319">
        <f>HYPERLINK("https://www.suredividend.com/sure-analysis-CARR/","Carrier Global Corp")</f>
        <v>0</v>
      </c>
      <c r="C319" t="s">
        <v>897</v>
      </c>
      <c r="D319">
        <v>41</v>
      </c>
      <c r="E319">
        <v>48.05</v>
      </c>
      <c r="F319">
        <v>41</v>
      </c>
      <c r="G319">
        <v>1.171951219512195</v>
      </c>
      <c r="H319">
        <v>0.0154006243496358</v>
      </c>
      <c r="I319">
        <v>-0.03123577421624957</v>
      </c>
      <c r="J319">
        <v>0.06</v>
      </c>
      <c r="K319">
        <v>0.04389515420282386</v>
      </c>
      <c r="L319" t="s">
        <v>900</v>
      </c>
      <c r="M319" t="s">
        <v>791</v>
      </c>
      <c r="N319">
        <v>18.84313725490196</v>
      </c>
      <c r="O319">
        <v>2.55</v>
      </c>
      <c r="P319">
        <v>0.74</v>
      </c>
      <c r="Q319">
        <v>0.2901960784313726</v>
      </c>
      <c r="R319">
        <v>3</v>
      </c>
      <c r="S319">
        <v>0.08053529061413389</v>
      </c>
      <c r="T319" t="s">
        <v>940</v>
      </c>
      <c r="U319">
        <v>0.346232510184297</v>
      </c>
      <c r="V319" t="s">
        <v>988</v>
      </c>
      <c r="W319" t="s">
        <v>993</v>
      </c>
      <c r="X319">
        <v>40113.970801</v>
      </c>
      <c r="Y319" s="2">
        <v>45042</v>
      </c>
      <c r="Z319" t="s">
        <v>1012</v>
      </c>
    </row>
    <row r="320" spans="1:26">
      <c r="A320" s="1" t="s">
        <v>344</v>
      </c>
      <c r="B320">
        <f>HYPERLINK("https://www.suredividend.com/sure-analysis-SNA/","Snap-on, Inc.")</f>
        <v>0</v>
      </c>
      <c r="C320" t="s">
        <v>897</v>
      </c>
      <c r="D320">
        <v>259</v>
      </c>
      <c r="E320">
        <v>273.62</v>
      </c>
      <c r="F320">
        <v>244</v>
      </c>
      <c r="G320">
        <v>1.121393442622951</v>
      </c>
      <c r="H320">
        <v>0.02368247935092464</v>
      </c>
      <c r="I320">
        <v>-0.02265387015823139</v>
      </c>
      <c r="J320">
        <v>0.04</v>
      </c>
      <c r="K320">
        <v>0.04311543945493601</v>
      </c>
      <c r="L320" t="s">
        <v>900</v>
      </c>
      <c r="M320" t="s">
        <v>589</v>
      </c>
      <c r="N320">
        <v>15.72528735632184</v>
      </c>
      <c r="O320">
        <v>17.4</v>
      </c>
      <c r="P320">
        <v>6.48</v>
      </c>
      <c r="Q320">
        <v>0.3724137931034484</v>
      </c>
      <c r="R320">
        <v>13</v>
      </c>
      <c r="S320">
        <v>0.07997173304574834</v>
      </c>
      <c r="T320" t="s">
        <v>908</v>
      </c>
      <c r="U320">
        <v>0.391135818010434</v>
      </c>
      <c r="V320" t="s">
        <v>988</v>
      </c>
      <c r="W320" t="s">
        <v>993</v>
      </c>
      <c r="X320">
        <v>14483.25384</v>
      </c>
      <c r="Y320" s="2">
        <v>45048</v>
      </c>
      <c r="Z320" t="s">
        <v>1004</v>
      </c>
    </row>
    <row r="321" spans="1:26">
      <c r="A321" s="1" t="s">
        <v>345</v>
      </c>
      <c r="B321">
        <f>HYPERLINK("https://www.suredividend.com/sure-analysis-PEP/","PepsiCo Inc")</f>
        <v>0</v>
      </c>
      <c r="C321" t="s">
        <v>897</v>
      </c>
      <c r="D321">
        <v>191</v>
      </c>
      <c r="E321">
        <v>186.07</v>
      </c>
      <c r="F321">
        <v>153</v>
      </c>
      <c r="G321">
        <v>1.216143790849673</v>
      </c>
      <c r="H321">
        <v>0.02719406674907293</v>
      </c>
      <c r="I321">
        <v>-0.03838104660050634</v>
      </c>
      <c r="J321">
        <v>0.055</v>
      </c>
      <c r="K321">
        <v>0.04307517602802435</v>
      </c>
      <c r="L321" t="s">
        <v>900</v>
      </c>
      <c r="M321" t="s">
        <v>900</v>
      </c>
      <c r="N321">
        <v>25.59422283356259</v>
      </c>
      <c r="O321">
        <v>7.27</v>
      </c>
      <c r="P321">
        <v>5.06</v>
      </c>
      <c r="Q321">
        <v>0.6960110041265475</v>
      </c>
      <c r="R321">
        <v>51</v>
      </c>
      <c r="S321">
        <v>0.05489731887718152</v>
      </c>
      <c r="T321" t="s">
        <v>930</v>
      </c>
      <c r="U321">
        <v>0.158268231193003</v>
      </c>
      <c r="V321" t="s">
        <v>988</v>
      </c>
      <c r="W321" t="s">
        <v>997</v>
      </c>
      <c r="X321">
        <v>256347.357908</v>
      </c>
      <c r="Y321" s="2">
        <v>45045</v>
      </c>
      <c r="Z321" t="s">
        <v>1003</v>
      </c>
    </row>
    <row r="322" spans="1:26">
      <c r="A322" s="1" t="s">
        <v>346</v>
      </c>
      <c r="B322">
        <f>HYPERLINK("https://www.suredividend.com/sure-analysis-SJM/","J.M. Smucker Co.")</f>
        <v>0</v>
      </c>
      <c r="C322" t="s">
        <v>897</v>
      </c>
      <c r="D322">
        <v>148</v>
      </c>
      <c r="E322">
        <v>150.32</v>
      </c>
      <c r="F322">
        <v>126</v>
      </c>
      <c r="G322">
        <v>1.193015873015873</v>
      </c>
      <c r="H322">
        <v>0.02714209686003193</v>
      </c>
      <c r="I322">
        <v>-0.03468121942622637</v>
      </c>
      <c r="J322">
        <v>0.05</v>
      </c>
      <c r="K322">
        <v>0.04181768063885705</v>
      </c>
      <c r="L322" t="s">
        <v>900</v>
      </c>
      <c r="M322" t="s">
        <v>900</v>
      </c>
      <c r="N322">
        <v>19.07614213197969</v>
      </c>
      <c r="O322">
        <v>7.88</v>
      </c>
      <c r="P322">
        <v>4.08</v>
      </c>
      <c r="Q322">
        <v>0.5177664974619289</v>
      </c>
      <c r="R322">
        <v>26</v>
      </c>
      <c r="S322">
        <v>0.05011173571018346</v>
      </c>
      <c r="T322" t="s">
        <v>943</v>
      </c>
      <c r="U322">
        <v>0.207584517661084</v>
      </c>
      <c r="V322" t="s">
        <v>988</v>
      </c>
      <c r="W322" t="s">
        <v>997</v>
      </c>
      <c r="X322">
        <v>15339.646866</v>
      </c>
      <c r="Y322" s="2">
        <v>45083</v>
      </c>
      <c r="Z322" t="s">
        <v>1007</v>
      </c>
    </row>
    <row r="323" spans="1:26">
      <c r="A323" s="1" t="s">
        <v>347</v>
      </c>
      <c r="B323">
        <f>HYPERLINK("https://www.suredividend.com/sure-analysis-ED/","Consolidated Edison, Inc.")</f>
        <v>0</v>
      </c>
      <c r="C323" t="s">
        <v>898</v>
      </c>
      <c r="D323">
        <v>94</v>
      </c>
      <c r="E323">
        <v>90.73999999999999</v>
      </c>
      <c r="F323">
        <v>78</v>
      </c>
      <c r="G323">
        <v>1.163333333333333</v>
      </c>
      <c r="H323">
        <v>0.03570641392990963</v>
      </c>
      <c r="I323">
        <v>-0.02980470190595175</v>
      </c>
      <c r="J323">
        <v>0.035</v>
      </c>
      <c r="K323">
        <v>0.04042992764389264</v>
      </c>
      <c r="L323" t="s">
        <v>900</v>
      </c>
      <c r="M323" t="s">
        <v>900</v>
      </c>
      <c r="N323">
        <v>18.70927835051546</v>
      </c>
      <c r="O323">
        <v>4.85</v>
      </c>
      <c r="P323">
        <v>3.24</v>
      </c>
      <c r="Q323">
        <v>0.6680412371134021</v>
      </c>
      <c r="R323">
        <v>49</v>
      </c>
      <c r="S323">
        <v>0.03510199080097043</v>
      </c>
      <c r="T323" t="s">
        <v>922</v>
      </c>
      <c r="U323">
        <v>0.010018933680914</v>
      </c>
      <c r="V323" t="s">
        <v>988</v>
      </c>
      <c r="W323" t="s">
        <v>999</v>
      </c>
      <c r="X323">
        <v>31445.057748</v>
      </c>
      <c r="Y323" s="2">
        <v>45071</v>
      </c>
      <c r="Z323" t="s">
        <v>1003</v>
      </c>
    </row>
    <row r="324" spans="1:26">
      <c r="A324" s="1" t="s">
        <v>348</v>
      </c>
      <c r="B324">
        <f>HYPERLINK("https://www.suredividend.com/sure-analysis-IMO/","Imperial Oil Ltd.")</f>
        <v>0</v>
      </c>
      <c r="C324" t="s">
        <v>898</v>
      </c>
      <c r="D324">
        <v>47</v>
      </c>
      <c r="E324">
        <v>48.02</v>
      </c>
      <c r="F324">
        <v>77</v>
      </c>
      <c r="G324">
        <v>0.6236363636363637</v>
      </c>
      <c r="H324">
        <v>0.03082049146189087</v>
      </c>
      <c r="I324">
        <v>0.09904054372674387</v>
      </c>
      <c r="J324">
        <v>-0.09</v>
      </c>
      <c r="K324">
        <v>0.03305620286597466</v>
      </c>
      <c r="L324" t="s">
        <v>900</v>
      </c>
      <c r="M324" t="s">
        <v>900</v>
      </c>
      <c r="N324">
        <v>8.730909090909092</v>
      </c>
      <c r="O324">
        <v>5.5</v>
      </c>
      <c r="P324">
        <v>1.48</v>
      </c>
      <c r="Q324">
        <v>0.2690909090909091</v>
      </c>
      <c r="R324">
        <v>8</v>
      </c>
      <c r="S324">
        <v>0.04450667934242181</v>
      </c>
      <c r="T324" t="s">
        <v>930</v>
      </c>
      <c r="U324">
        <v>0.051117770281954</v>
      </c>
      <c r="V324" t="s">
        <v>988</v>
      </c>
      <c r="W324" t="s">
        <v>1002</v>
      </c>
      <c r="X324">
        <v>28051.013518</v>
      </c>
      <c r="Y324" s="2">
        <v>45057</v>
      </c>
      <c r="Z324" t="s">
        <v>1007</v>
      </c>
    </row>
    <row r="325" spans="1:26">
      <c r="A325" s="1" t="s">
        <v>349</v>
      </c>
      <c r="B325">
        <f>HYPERLINK("https://www.suredividend.com/sure-analysis-WM/","Waste Management, Inc.")</f>
        <v>0</v>
      </c>
      <c r="C325" t="s">
        <v>897</v>
      </c>
      <c r="D325">
        <v>167</v>
      </c>
      <c r="E325">
        <v>165.59</v>
      </c>
      <c r="F325">
        <v>127</v>
      </c>
      <c r="G325">
        <v>1.303858267716536</v>
      </c>
      <c r="H325">
        <v>0.01690923364937496</v>
      </c>
      <c r="I325">
        <v>-0.05168215505148088</v>
      </c>
      <c r="J325">
        <v>0.07000000000000001</v>
      </c>
      <c r="K325">
        <v>0.03255751637137094</v>
      </c>
      <c r="L325" t="s">
        <v>900</v>
      </c>
      <c r="M325" t="s">
        <v>791</v>
      </c>
      <c r="N325">
        <v>27.3702479338843</v>
      </c>
      <c r="O325">
        <v>6.05</v>
      </c>
      <c r="P325">
        <v>2.8</v>
      </c>
      <c r="Q325">
        <v>0.4628099173553719</v>
      </c>
      <c r="R325">
        <v>20</v>
      </c>
      <c r="S325">
        <v>0.04978904632428516</v>
      </c>
      <c r="T325" t="s">
        <v>930</v>
      </c>
      <c r="U325">
        <v>0.120147089065189</v>
      </c>
      <c r="V325" t="s">
        <v>988</v>
      </c>
      <c r="W325" t="s">
        <v>993</v>
      </c>
      <c r="X325">
        <v>67364.778181</v>
      </c>
      <c r="Y325" s="2">
        <v>45050</v>
      </c>
      <c r="Z325" t="s">
        <v>1010</v>
      </c>
    </row>
    <row r="326" spans="1:26">
      <c r="A326" s="1" t="s">
        <v>350</v>
      </c>
      <c r="B326">
        <f>HYPERLINK("https://www.suredividend.com/sure-analysis-LAD/","Lithia Motors, Inc.")</f>
        <v>0</v>
      </c>
      <c r="C326" t="s">
        <v>897</v>
      </c>
      <c r="D326">
        <v>212</v>
      </c>
      <c r="E326">
        <v>283.43</v>
      </c>
      <c r="F326">
        <v>275</v>
      </c>
      <c r="G326">
        <v>1.030654545454545</v>
      </c>
      <c r="H326">
        <v>0.007056416046290089</v>
      </c>
      <c r="I326">
        <v>-0.006020619283369832</v>
      </c>
      <c r="J326">
        <v>0.03</v>
      </c>
      <c r="K326">
        <v>0.03228189939154591</v>
      </c>
      <c r="L326" t="s">
        <v>900</v>
      </c>
      <c r="M326" t="s">
        <v>648</v>
      </c>
      <c r="N326">
        <v>8.23445671121441</v>
      </c>
      <c r="O326">
        <v>34.42</v>
      </c>
      <c r="P326">
        <v>2</v>
      </c>
      <c r="Q326">
        <v>0.05810575246949447</v>
      </c>
      <c r="R326">
        <v>11</v>
      </c>
      <c r="S326">
        <v>0.09993032380125255</v>
      </c>
      <c r="T326" t="s">
        <v>943</v>
      </c>
      <c r="U326">
        <v>-0.013044609213649</v>
      </c>
      <c r="V326" t="s">
        <v>988</v>
      </c>
      <c r="W326" t="s">
        <v>995</v>
      </c>
      <c r="X326">
        <v>7794.325</v>
      </c>
      <c r="Y326" s="2">
        <v>45062</v>
      </c>
      <c r="Z326" t="s">
        <v>1010</v>
      </c>
    </row>
    <row r="327" spans="1:26">
      <c r="A327" s="1" t="s">
        <v>351</v>
      </c>
      <c r="B327">
        <f>HYPERLINK("https://www.suredividend.com/sure-analysis-APD/","Air Products &amp; Chemicals Inc.")</f>
        <v>0</v>
      </c>
      <c r="C327" t="s">
        <v>897</v>
      </c>
      <c r="D327">
        <v>280</v>
      </c>
      <c r="E327">
        <v>286.26</v>
      </c>
      <c r="F327">
        <v>217</v>
      </c>
      <c r="G327">
        <v>1.319170506912442</v>
      </c>
      <c r="H327">
        <v>0.0244532942080626</v>
      </c>
      <c r="I327">
        <v>-0.05389396364644949</v>
      </c>
      <c r="J327">
        <v>0.06</v>
      </c>
      <c r="K327">
        <v>0.03100370881858083</v>
      </c>
      <c r="L327" t="s">
        <v>900</v>
      </c>
      <c r="M327" t="s">
        <v>900</v>
      </c>
      <c r="N327">
        <v>25.11052631578947</v>
      </c>
      <c r="O327">
        <v>11.4</v>
      </c>
      <c r="P327">
        <v>7</v>
      </c>
      <c r="Q327">
        <v>0.6140350877192983</v>
      </c>
      <c r="R327">
        <v>41</v>
      </c>
      <c r="S327">
        <v>0.0700465954361047</v>
      </c>
      <c r="T327" t="s">
        <v>924</v>
      </c>
      <c r="U327">
        <v>0.164562729598997</v>
      </c>
      <c r="V327" t="s">
        <v>988</v>
      </c>
      <c r="W327" t="s">
        <v>992</v>
      </c>
      <c r="X327">
        <v>63584.849541</v>
      </c>
      <c r="Y327" s="2">
        <v>45056</v>
      </c>
      <c r="Z327" t="s">
        <v>1008</v>
      </c>
    </row>
    <row r="328" spans="1:26">
      <c r="A328" s="1" t="s">
        <v>352</v>
      </c>
      <c r="B328">
        <f>HYPERLINK("https://www.suredividend.com/sure-analysis-YORW/","York Water Co.")</f>
        <v>0</v>
      </c>
      <c r="C328" t="s">
        <v>898</v>
      </c>
      <c r="D328">
        <v>43</v>
      </c>
      <c r="E328">
        <v>41.91</v>
      </c>
      <c r="F328">
        <v>33</v>
      </c>
      <c r="G328">
        <v>1.27</v>
      </c>
      <c r="H328">
        <v>0.01932712956335004</v>
      </c>
      <c r="I328">
        <v>-0.04667878942197823</v>
      </c>
      <c r="J328">
        <v>0.06</v>
      </c>
      <c r="K328">
        <v>0.03064294984414317</v>
      </c>
      <c r="L328" t="s">
        <v>900</v>
      </c>
      <c r="M328" t="s">
        <v>589</v>
      </c>
      <c r="N328">
        <v>27.75496688741721</v>
      </c>
      <c r="O328">
        <v>1.51</v>
      </c>
      <c r="P328">
        <v>0.8100000000000001</v>
      </c>
      <c r="Q328">
        <v>0.5364238410596027</v>
      </c>
      <c r="R328">
        <v>26</v>
      </c>
      <c r="S328">
        <v>0.04095039696925684</v>
      </c>
      <c r="T328" t="s">
        <v>970</v>
      </c>
      <c r="U328">
        <v>0.07374812651320001</v>
      </c>
      <c r="V328" t="s">
        <v>988</v>
      </c>
      <c r="W328" t="s">
        <v>999</v>
      </c>
      <c r="X328">
        <v>599.131655</v>
      </c>
      <c r="Y328" s="2">
        <v>45070</v>
      </c>
      <c r="Z328" t="s">
        <v>1012</v>
      </c>
    </row>
    <row r="329" spans="1:26">
      <c r="A329" s="1" t="s">
        <v>353</v>
      </c>
      <c r="B329">
        <f>HYPERLINK("https://www.suredividend.com/sure-analysis-NC/","Nacco Industries Inc.")</f>
        <v>0</v>
      </c>
      <c r="C329" t="s">
        <v>898</v>
      </c>
      <c r="D329">
        <v>33</v>
      </c>
      <c r="E329">
        <v>34.62</v>
      </c>
      <c r="F329">
        <v>45</v>
      </c>
      <c r="G329">
        <v>0.7693333333333333</v>
      </c>
      <c r="H329">
        <v>0.02512998266897747</v>
      </c>
      <c r="I329">
        <v>0.05384585100443973</v>
      </c>
      <c r="J329">
        <v>-0.05</v>
      </c>
      <c r="K329">
        <v>0.02862438558412594</v>
      </c>
      <c r="L329" t="s">
        <v>900</v>
      </c>
      <c r="M329" t="s">
        <v>589</v>
      </c>
      <c r="N329">
        <v>6.923999999999999</v>
      </c>
      <c r="O329">
        <v>5</v>
      </c>
      <c r="P329">
        <v>0.87</v>
      </c>
      <c r="Q329">
        <v>0.174</v>
      </c>
      <c r="R329">
        <v>38</v>
      </c>
      <c r="S329">
        <v>0.0499309672496191</v>
      </c>
      <c r="T329" t="s">
        <v>934</v>
      </c>
      <c r="U329">
        <v>-0.07004480546691101</v>
      </c>
      <c r="V329" t="s">
        <v>988</v>
      </c>
      <c r="W329" t="s">
        <v>1002</v>
      </c>
      <c r="X329">
        <v>205.801533</v>
      </c>
      <c r="Y329" s="2">
        <v>45069</v>
      </c>
      <c r="Z329" t="s">
        <v>1003</v>
      </c>
    </row>
    <row r="330" spans="1:26">
      <c r="A330" s="1" t="s">
        <v>354</v>
      </c>
      <c r="B330">
        <f>HYPERLINK("https://www.suredividend.com/sure-analysis-TRI/","Thomson-Reuters Corp")</f>
        <v>0</v>
      </c>
      <c r="C330" t="s">
        <v>897</v>
      </c>
      <c r="D330">
        <v>124</v>
      </c>
      <c r="E330">
        <v>133.6</v>
      </c>
      <c r="F330">
        <v>99</v>
      </c>
      <c r="G330">
        <v>1.34949494949495</v>
      </c>
      <c r="H330">
        <v>0.01467065868263473</v>
      </c>
      <c r="I330">
        <v>-0.05818468716900627</v>
      </c>
      <c r="J330">
        <v>0.075</v>
      </c>
      <c r="K330">
        <v>0.02684241836118595</v>
      </c>
      <c r="L330" t="s">
        <v>900</v>
      </c>
      <c r="M330" t="s">
        <v>791</v>
      </c>
      <c r="N330">
        <v>40.48484848484848</v>
      </c>
      <c r="O330">
        <v>3.3</v>
      </c>
      <c r="P330">
        <v>1.96</v>
      </c>
      <c r="Q330">
        <v>0.593939393939394</v>
      </c>
      <c r="R330">
        <v>30</v>
      </c>
      <c r="S330">
        <v>0.01962279460665517</v>
      </c>
      <c r="T330" t="s">
        <v>937</v>
      </c>
      <c r="U330">
        <v>0.256462174939786</v>
      </c>
      <c r="V330" t="s">
        <v>988</v>
      </c>
      <c r="W330" t="s">
        <v>993</v>
      </c>
      <c r="X330">
        <v>62925.420174</v>
      </c>
      <c r="Y330" s="2">
        <v>45062</v>
      </c>
      <c r="Z330" t="s">
        <v>1010</v>
      </c>
    </row>
    <row r="331" spans="1:26">
      <c r="A331" s="1" t="s">
        <v>355</v>
      </c>
      <c r="B331">
        <f>HYPERLINK("https://www.suredividend.com/sure-analysis-ROK/","Rockwell Automation Inc")</f>
        <v>0</v>
      </c>
      <c r="C331" t="s">
        <v>897</v>
      </c>
      <c r="D331">
        <v>274</v>
      </c>
      <c r="E331">
        <v>313.27</v>
      </c>
      <c r="F331">
        <v>237</v>
      </c>
      <c r="G331">
        <v>1.321814345991561</v>
      </c>
      <c r="H331">
        <v>0.01506687521945925</v>
      </c>
      <c r="I331">
        <v>-0.0542727393444864</v>
      </c>
      <c r="J331">
        <v>0.065</v>
      </c>
      <c r="K331">
        <v>0.02460506438934984</v>
      </c>
      <c r="L331" t="s">
        <v>900</v>
      </c>
      <c r="M331" t="s">
        <v>791</v>
      </c>
      <c r="N331">
        <v>26.43628691983122</v>
      </c>
      <c r="O331">
        <v>11.85</v>
      </c>
      <c r="P331">
        <v>4.72</v>
      </c>
      <c r="Q331">
        <v>0.3983122362869198</v>
      </c>
      <c r="R331">
        <v>13</v>
      </c>
      <c r="S331">
        <v>0.06999857218918182</v>
      </c>
      <c r="T331" t="s">
        <v>931</v>
      </c>
      <c r="U331">
        <v>0.592633226130837</v>
      </c>
      <c r="V331" t="s">
        <v>988</v>
      </c>
      <c r="W331" t="s">
        <v>993</v>
      </c>
      <c r="X331">
        <v>35986.993063</v>
      </c>
      <c r="Y331" s="2">
        <v>45064</v>
      </c>
      <c r="Z331" t="s">
        <v>1008</v>
      </c>
    </row>
    <row r="332" spans="1:26">
      <c r="A332" s="1" t="s">
        <v>356</v>
      </c>
      <c r="B332">
        <f>HYPERLINK("https://www.suredividend.com/sure-analysis-ERIE/","Erie Indemnity Co.")</f>
        <v>0</v>
      </c>
      <c r="C332" t="s">
        <v>898</v>
      </c>
      <c r="D332">
        <v>233</v>
      </c>
      <c r="E332">
        <v>211.1</v>
      </c>
      <c r="F332">
        <v>161</v>
      </c>
      <c r="G332">
        <v>1.311180124223603</v>
      </c>
      <c r="H332">
        <v>0.02254855518711511</v>
      </c>
      <c r="I332">
        <v>-0.05274364288022815</v>
      </c>
      <c r="J332">
        <v>0.055</v>
      </c>
      <c r="K332">
        <v>0.02432205660793163</v>
      </c>
      <c r="L332" t="s">
        <v>900</v>
      </c>
      <c r="M332" t="s">
        <v>589</v>
      </c>
      <c r="N332">
        <v>28.91780821917808</v>
      </c>
      <c r="O332">
        <v>7.3</v>
      </c>
      <c r="P332">
        <v>4.76</v>
      </c>
      <c r="Q332">
        <v>0.6520547945205479</v>
      </c>
      <c r="R332">
        <v>33</v>
      </c>
      <c r="S332">
        <v>0.05016931709648742</v>
      </c>
      <c r="T332" t="s">
        <v>959</v>
      </c>
      <c r="U332">
        <v>0.12201411898771</v>
      </c>
      <c r="V332" t="s">
        <v>988</v>
      </c>
      <c r="W332" t="s">
        <v>994</v>
      </c>
      <c r="X332">
        <v>9750.512255</v>
      </c>
      <c r="Y332" s="2">
        <v>45057</v>
      </c>
      <c r="Z332" t="s">
        <v>1008</v>
      </c>
    </row>
    <row r="333" spans="1:26">
      <c r="A333" s="1" t="s">
        <v>357</v>
      </c>
      <c r="B333">
        <f>HYPERLINK("https://www.suredividend.com/sure-analysis-TT/","Trane Technologies plc")</f>
        <v>0</v>
      </c>
      <c r="C333" t="s">
        <v>898</v>
      </c>
      <c r="D333">
        <v>177</v>
      </c>
      <c r="E333">
        <v>186.16</v>
      </c>
      <c r="F333">
        <v>143</v>
      </c>
      <c r="G333">
        <v>1.301818181818182</v>
      </c>
      <c r="H333">
        <v>0.01611516974645466</v>
      </c>
      <c r="I333">
        <v>-0.05138511844394111</v>
      </c>
      <c r="J333">
        <v>0.06</v>
      </c>
      <c r="K333">
        <v>0.02368876661255981</v>
      </c>
      <c r="L333" t="s">
        <v>900</v>
      </c>
      <c r="M333" t="s">
        <v>791</v>
      </c>
      <c r="N333">
        <v>22.16190476190476</v>
      </c>
      <c r="O333">
        <v>8.4</v>
      </c>
      <c r="P333">
        <v>3</v>
      </c>
      <c r="Q333">
        <v>0.3571428571428572</v>
      </c>
      <c r="R333">
        <v>3</v>
      </c>
      <c r="S333">
        <v>0.05975292415044642</v>
      </c>
      <c r="T333" t="s">
        <v>930</v>
      </c>
      <c r="U333">
        <v>0.439721336274233</v>
      </c>
      <c r="V333" t="s">
        <v>988</v>
      </c>
      <c r="W333" t="s">
        <v>993</v>
      </c>
      <c r="X333">
        <v>42454.130907</v>
      </c>
      <c r="Y333" s="2">
        <v>45058</v>
      </c>
      <c r="Z333" t="s">
        <v>1012</v>
      </c>
    </row>
    <row r="334" spans="1:26">
      <c r="A334" s="1" t="s">
        <v>358</v>
      </c>
      <c r="B334">
        <f>HYPERLINK("https://www.suredividend.com/sure-analysis-FNV/","Franco-Nevada Corporation")</f>
        <v>0</v>
      </c>
      <c r="C334" t="s">
        <v>898</v>
      </c>
      <c r="D334">
        <v>160</v>
      </c>
      <c r="E334">
        <v>139.15</v>
      </c>
      <c r="F334">
        <v>154</v>
      </c>
      <c r="G334">
        <v>0.9035714285714286</v>
      </c>
      <c r="H334">
        <v>0.009773625583902264</v>
      </c>
      <c r="I334">
        <v>0.02048705975484921</v>
      </c>
      <c r="J334">
        <v>-0.01</v>
      </c>
      <c r="K334">
        <v>0.0219064753553122</v>
      </c>
      <c r="L334" t="s">
        <v>900</v>
      </c>
      <c r="M334" t="s">
        <v>791</v>
      </c>
      <c r="N334">
        <v>37.91553133514986</v>
      </c>
      <c r="O334">
        <v>3.67</v>
      </c>
      <c r="P334">
        <v>1.36</v>
      </c>
      <c r="Q334">
        <v>0.3705722070844687</v>
      </c>
      <c r="R334">
        <v>16</v>
      </c>
      <c r="S334">
        <v>0.0801851873035635</v>
      </c>
      <c r="T334" t="s">
        <v>916</v>
      </c>
      <c r="U334">
        <v>0.014723887905643</v>
      </c>
      <c r="V334" t="s">
        <v>988</v>
      </c>
      <c r="W334" t="s">
        <v>992</v>
      </c>
      <c r="X334">
        <v>26711.038773</v>
      </c>
      <c r="Y334" s="2">
        <v>45057</v>
      </c>
      <c r="Z334" t="s">
        <v>1010</v>
      </c>
    </row>
    <row r="335" spans="1:26">
      <c r="A335" s="1" t="s">
        <v>359</v>
      </c>
      <c r="B335">
        <f>HYPERLINK("https://www.suredividend.com/sure-analysis-HUBB/","Hubbell Inc.")</f>
        <v>0</v>
      </c>
      <c r="C335" t="s">
        <v>897</v>
      </c>
      <c r="D335">
        <v>273</v>
      </c>
      <c r="E335">
        <v>317.07</v>
      </c>
      <c r="F335">
        <v>239</v>
      </c>
      <c r="G335">
        <v>1.326652719665272</v>
      </c>
      <c r="H335">
        <v>0.0141293720629514</v>
      </c>
      <c r="I335">
        <v>-0.05496357149758468</v>
      </c>
      <c r="J335">
        <v>0.06</v>
      </c>
      <c r="K335">
        <v>0.0170689353792961</v>
      </c>
      <c r="L335" t="s">
        <v>900</v>
      </c>
      <c r="M335" t="s">
        <v>589</v>
      </c>
      <c r="N335">
        <v>23.92981132075472</v>
      </c>
      <c r="O335">
        <v>13.25</v>
      </c>
      <c r="P335">
        <v>4.48</v>
      </c>
      <c r="Q335">
        <v>0.3381132075471698</v>
      </c>
      <c r="R335">
        <v>16</v>
      </c>
      <c r="S335">
        <v>0.03997691152451632</v>
      </c>
      <c r="T335" t="s">
        <v>934</v>
      </c>
      <c r="U335">
        <v>0.753822156337809</v>
      </c>
      <c r="V335" t="s">
        <v>988</v>
      </c>
      <c r="W335" t="s">
        <v>993</v>
      </c>
      <c r="X335">
        <v>16991.320914</v>
      </c>
      <c r="Y335" s="2">
        <v>45050</v>
      </c>
      <c r="Z335" t="s">
        <v>1010</v>
      </c>
    </row>
    <row r="336" spans="1:26">
      <c r="A336" s="1" t="s">
        <v>360</v>
      </c>
      <c r="B336">
        <f>HYPERLINK("https://www.suredividend.com/sure-analysis-XYL/","Xylem Inc")</f>
        <v>0</v>
      </c>
      <c r="C336" t="s">
        <v>898</v>
      </c>
      <c r="D336">
        <v>103</v>
      </c>
      <c r="E336">
        <v>111.03</v>
      </c>
      <c r="F336">
        <v>72</v>
      </c>
      <c r="G336">
        <v>1.542083333333333</v>
      </c>
      <c r="H336">
        <v>0.0118886787354769</v>
      </c>
      <c r="I336">
        <v>-0.08298079459503682</v>
      </c>
      <c r="J336">
        <v>0.09</v>
      </c>
      <c r="K336">
        <v>0.01485117402225211</v>
      </c>
      <c r="L336" t="s">
        <v>900</v>
      </c>
      <c r="M336" t="s">
        <v>791</v>
      </c>
      <c r="N336">
        <v>34.16307692307692</v>
      </c>
      <c r="O336">
        <v>3.25</v>
      </c>
      <c r="P336">
        <v>1.32</v>
      </c>
      <c r="Q336">
        <v>0.4061538461538462</v>
      </c>
      <c r="R336">
        <v>12</v>
      </c>
      <c r="S336">
        <v>0.09521121099648799</v>
      </c>
      <c r="T336" t="s">
        <v>914</v>
      </c>
      <c r="U336">
        <v>0.502652998489729</v>
      </c>
      <c r="V336" t="s">
        <v>988</v>
      </c>
      <c r="W336" t="s">
        <v>993</v>
      </c>
      <c r="X336">
        <v>20306.721865</v>
      </c>
      <c r="Y336" s="2">
        <v>45065</v>
      </c>
      <c r="Z336" t="s">
        <v>1008</v>
      </c>
    </row>
    <row r="337" spans="1:26">
      <c r="A337" s="1" t="s">
        <v>361</v>
      </c>
      <c r="B337">
        <f>HYPERLINK("https://www.suredividend.com/sure-analysis-ORCL/","Oracle Corp.")</f>
        <v>0</v>
      </c>
      <c r="C337" t="s">
        <v>897</v>
      </c>
      <c r="D337">
        <v>85</v>
      </c>
      <c r="E337">
        <v>118.64</v>
      </c>
      <c r="F337">
        <v>80</v>
      </c>
      <c r="G337">
        <v>1.483</v>
      </c>
      <c r="H337">
        <v>0.01348617666891436</v>
      </c>
      <c r="I337">
        <v>-0.0757876452905526</v>
      </c>
      <c r="J337">
        <v>0.08</v>
      </c>
      <c r="K337">
        <v>0.01431818275094665</v>
      </c>
      <c r="L337" t="s">
        <v>900</v>
      </c>
      <c r="M337" t="s">
        <v>791</v>
      </c>
      <c r="N337">
        <v>23.728</v>
      </c>
      <c r="O337">
        <v>5</v>
      </c>
      <c r="P337">
        <v>1.6</v>
      </c>
      <c r="Q337">
        <v>0.32</v>
      </c>
      <c r="R337">
        <v>13</v>
      </c>
      <c r="S337">
        <v>0.06961037572506878</v>
      </c>
      <c r="T337" t="s">
        <v>913</v>
      </c>
      <c r="U337">
        <v>0.7077211624134371</v>
      </c>
      <c r="V337" t="s">
        <v>988</v>
      </c>
      <c r="W337" t="s">
        <v>1000</v>
      </c>
      <c r="X337">
        <v>322019.68776</v>
      </c>
      <c r="Y337" s="2">
        <v>45005</v>
      </c>
      <c r="Z337" t="s">
        <v>1008</v>
      </c>
    </row>
    <row r="338" spans="1:26">
      <c r="A338" s="1" t="s">
        <v>362</v>
      </c>
      <c r="B338">
        <f>HYPERLINK("https://www.suredividend.com/sure-analysis-OTIS/","Otis Worldwide Corp")</f>
        <v>0</v>
      </c>
      <c r="C338" t="s">
        <v>898</v>
      </c>
      <c r="D338">
        <v>83</v>
      </c>
      <c r="E338">
        <v>86.37</v>
      </c>
      <c r="F338">
        <v>62</v>
      </c>
      <c r="G338">
        <v>1.393064516129032</v>
      </c>
      <c r="H338">
        <v>0.01574620817413454</v>
      </c>
      <c r="I338">
        <v>-0.06415105740900728</v>
      </c>
      <c r="J338">
        <v>0.06</v>
      </c>
      <c r="K338">
        <v>0.01071267530881381</v>
      </c>
      <c r="L338" t="s">
        <v>900</v>
      </c>
      <c r="M338" t="s">
        <v>791</v>
      </c>
      <c r="N338">
        <v>25.03478260869565</v>
      </c>
      <c r="O338">
        <v>3.45</v>
      </c>
      <c r="P338">
        <v>1.36</v>
      </c>
      <c r="Q338">
        <v>0.3942028985507247</v>
      </c>
      <c r="R338">
        <v>3</v>
      </c>
      <c r="S338">
        <v>0.06000153927394081</v>
      </c>
      <c r="T338" t="s">
        <v>908</v>
      </c>
      <c r="U338">
        <v>0.237073534045661</v>
      </c>
      <c r="V338" t="s">
        <v>988</v>
      </c>
      <c r="W338" t="s">
        <v>993</v>
      </c>
      <c r="X338">
        <v>35695.97269</v>
      </c>
      <c r="Y338" s="2">
        <v>45042</v>
      </c>
      <c r="Z338" t="s">
        <v>1017</v>
      </c>
    </row>
    <row r="339" spans="1:26">
      <c r="A339" s="1" t="s">
        <v>363</v>
      </c>
      <c r="B339">
        <f>HYPERLINK("https://www.suredividend.com/sure-analysis-CPK/","Chesapeake Utilities Corp")</f>
        <v>0</v>
      </c>
      <c r="C339" t="s">
        <v>898</v>
      </c>
      <c r="D339">
        <v>130</v>
      </c>
      <c r="E339">
        <v>120.31</v>
      </c>
      <c r="F339">
        <v>83</v>
      </c>
      <c r="G339">
        <v>1.449518072289157</v>
      </c>
      <c r="H339">
        <v>0.01961599202061341</v>
      </c>
      <c r="I339">
        <v>-0.07155694247213484</v>
      </c>
      <c r="J339">
        <v>0.06</v>
      </c>
      <c r="K339">
        <v>0.007966879463056742</v>
      </c>
      <c r="L339" t="s">
        <v>900</v>
      </c>
      <c r="M339" t="s">
        <v>589</v>
      </c>
      <c r="N339">
        <v>21.87454545454545</v>
      </c>
      <c r="O339">
        <v>5.5</v>
      </c>
      <c r="P339">
        <v>2.36</v>
      </c>
      <c r="Q339">
        <v>0.4290909090909091</v>
      </c>
      <c r="R339">
        <v>20</v>
      </c>
      <c r="S339">
        <v>0.0601199707922162</v>
      </c>
      <c r="T339" t="s">
        <v>916</v>
      </c>
      <c r="U339">
        <v>0.015983306493223</v>
      </c>
      <c r="V339" t="s">
        <v>988</v>
      </c>
      <c r="W339" t="s">
        <v>999</v>
      </c>
      <c r="X339">
        <v>2140.297575</v>
      </c>
      <c r="Y339" s="2">
        <v>45084</v>
      </c>
      <c r="Z339" t="s">
        <v>1009</v>
      </c>
    </row>
    <row r="340" spans="1:26">
      <c r="A340" s="1" t="s">
        <v>364</v>
      </c>
      <c r="B340">
        <f>HYPERLINK("https://www.suredividend.com/sure-analysis-MKC/","McCormick &amp; Co., Inc.")</f>
        <v>0</v>
      </c>
      <c r="C340" t="s">
        <v>897</v>
      </c>
      <c r="D340">
        <v>85</v>
      </c>
      <c r="E340">
        <v>93.79000000000001</v>
      </c>
      <c r="F340">
        <v>56</v>
      </c>
      <c r="G340">
        <v>1.674821428571429</v>
      </c>
      <c r="H340">
        <v>0.0166329032945943</v>
      </c>
      <c r="I340">
        <v>-0.09800049703580183</v>
      </c>
      <c r="J340">
        <v>0.09</v>
      </c>
      <c r="K340">
        <v>0.005990114066226182</v>
      </c>
      <c r="L340" t="s">
        <v>900</v>
      </c>
      <c r="M340" t="s">
        <v>589</v>
      </c>
      <c r="N340">
        <v>36.21235521235522</v>
      </c>
      <c r="O340">
        <v>2.59</v>
      </c>
      <c r="P340">
        <v>1.56</v>
      </c>
      <c r="Q340">
        <v>0.6023166023166023</v>
      </c>
      <c r="R340">
        <v>36</v>
      </c>
      <c r="S340">
        <v>0.09979014724923641</v>
      </c>
      <c r="T340" t="s">
        <v>909</v>
      </c>
      <c r="U340">
        <v>0.08809269960450901</v>
      </c>
      <c r="V340" t="s">
        <v>988</v>
      </c>
      <c r="W340" t="s">
        <v>997</v>
      </c>
      <c r="X340">
        <v>25148.063955</v>
      </c>
      <c r="Y340" s="2">
        <v>45028</v>
      </c>
      <c r="Z340" t="s">
        <v>1003</v>
      </c>
    </row>
    <row r="341" spans="1:26">
      <c r="A341" s="1" t="s">
        <v>365</v>
      </c>
      <c r="B341">
        <f>HYPERLINK("https://www.suredividend.com/sure-analysis-HSY/","Hershey Company")</f>
        <v>0</v>
      </c>
      <c r="C341" t="s">
        <v>898</v>
      </c>
      <c r="D341">
        <v>272</v>
      </c>
      <c r="E341">
        <v>259.09</v>
      </c>
      <c r="F341">
        <v>189</v>
      </c>
      <c r="G341">
        <v>1.370846560846561</v>
      </c>
      <c r="H341">
        <v>0.01597900343509977</v>
      </c>
      <c r="I341">
        <v>-0.06113698592974537</v>
      </c>
      <c r="J341">
        <v>0.05</v>
      </c>
      <c r="K341">
        <v>0.00469264995874874</v>
      </c>
      <c r="L341" t="s">
        <v>900</v>
      </c>
      <c r="M341" t="s">
        <v>791</v>
      </c>
      <c r="N341">
        <v>27.38794926004228</v>
      </c>
      <c r="O341">
        <v>9.460000000000001</v>
      </c>
      <c r="P341">
        <v>4.14</v>
      </c>
      <c r="Q341">
        <v>0.4376321353065538</v>
      </c>
      <c r="R341">
        <v>13</v>
      </c>
      <c r="S341">
        <v>0.04984870359842875</v>
      </c>
      <c r="T341" t="s">
        <v>908</v>
      </c>
      <c r="U341">
        <v>0.193159812679113</v>
      </c>
      <c r="V341" t="s">
        <v>988</v>
      </c>
      <c r="W341" t="s">
        <v>997</v>
      </c>
      <c r="X341">
        <v>53134.1772</v>
      </c>
      <c r="Y341" s="2">
        <v>45043</v>
      </c>
      <c r="Z341" t="s">
        <v>1017</v>
      </c>
    </row>
    <row r="342" spans="1:26">
      <c r="A342" s="1" t="s">
        <v>366</v>
      </c>
      <c r="B342">
        <f>HYPERLINK("https://www.suredividend.com/sure-analysis-BALL/","Ball Corp.")</f>
        <v>0</v>
      </c>
      <c r="C342" t="s">
        <v>898</v>
      </c>
      <c r="D342">
        <v>59</v>
      </c>
      <c r="E342">
        <v>55.81</v>
      </c>
      <c r="F342">
        <v>35</v>
      </c>
      <c r="G342">
        <v>1.594571428571429</v>
      </c>
      <c r="H342">
        <v>0.01433434868303171</v>
      </c>
      <c r="I342">
        <v>-0.08909894648051819</v>
      </c>
      <c r="J342">
        <v>0.08</v>
      </c>
      <c r="K342">
        <v>0.002487365133521768</v>
      </c>
      <c r="L342" t="s">
        <v>900</v>
      </c>
      <c r="M342" t="s">
        <v>791</v>
      </c>
      <c r="N342">
        <v>24.26521739130435</v>
      </c>
      <c r="O342">
        <v>2.3</v>
      </c>
      <c r="P342">
        <v>0.8</v>
      </c>
      <c r="Q342">
        <v>0.3478260869565218</v>
      </c>
      <c r="R342">
        <v>5</v>
      </c>
      <c r="S342">
        <v>0.08083252207959757</v>
      </c>
      <c r="T342" t="s">
        <v>912</v>
      </c>
      <c r="U342">
        <v>-0.208947777229715</v>
      </c>
      <c r="V342" t="s">
        <v>988</v>
      </c>
      <c r="W342" t="s">
        <v>995</v>
      </c>
      <c r="X342">
        <v>17554.901723</v>
      </c>
      <c r="Y342" s="2">
        <v>45052</v>
      </c>
      <c r="Z342" t="s">
        <v>1009</v>
      </c>
    </row>
    <row r="343" spans="1:26">
      <c r="A343" s="1" t="s">
        <v>367</v>
      </c>
      <c r="B343">
        <f>HYPERLINK("https://www.suredividend.com/sure-analysis-CHRW/","C.H. Robinson Worldwide, Inc.")</f>
        <v>0</v>
      </c>
      <c r="C343" t="s">
        <v>898</v>
      </c>
      <c r="D343">
        <v>101</v>
      </c>
      <c r="E343">
        <v>90.45</v>
      </c>
      <c r="F343">
        <v>62</v>
      </c>
      <c r="G343">
        <v>1.458870967741936</v>
      </c>
      <c r="H343">
        <v>0.02697622996130459</v>
      </c>
      <c r="I343">
        <v>-0.07275046617185832</v>
      </c>
      <c r="J343">
        <v>0.04</v>
      </c>
      <c r="K343">
        <v>-0.002822217082649181</v>
      </c>
      <c r="L343" t="s">
        <v>900</v>
      </c>
      <c r="M343" t="s">
        <v>589</v>
      </c>
      <c r="N343">
        <v>21.95388349514563</v>
      </c>
      <c r="O343">
        <v>4.12</v>
      </c>
      <c r="P343">
        <v>2.44</v>
      </c>
      <c r="Q343">
        <v>0.5922330097087378</v>
      </c>
      <c r="R343">
        <v>25</v>
      </c>
      <c r="S343">
        <v>0.0400957567386353</v>
      </c>
      <c r="T343" t="s">
        <v>930</v>
      </c>
      <c r="U343">
        <v>-0.102566392227599</v>
      </c>
      <c r="V343" t="s">
        <v>988</v>
      </c>
      <c r="W343" t="s">
        <v>993</v>
      </c>
      <c r="X343">
        <v>10531.893259</v>
      </c>
      <c r="Y343" s="2">
        <v>45050</v>
      </c>
      <c r="Z343" t="s">
        <v>1011</v>
      </c>
    </row>
    <row r="344" spans="1:26">
      <c r="A344" s="1" t="s">
        <v>368</v>
      </c>
      <c r="B344">
        <f>HYPERLINK("https://www.suredividend.com/sure-analysis-MWA/","Mueller Water Products Inc")</f>
        <v>0</v>
      </c>
      <c r="C344" t="s">
        <v>898</v>
      </c>
      <c r="D344">
        <v>13.56</v>
      </c>
      <c r="E344">
        <v>15.35</v>
      </c>
      <c r="F344">
        <v>10.4</v>
      </c>
      <c r="G344">
        <v>1.475961538461538</v>
      </c>
      <c r="H344">
        <v>0.01563517915309446</v>
      </c>
      <c r="I344">
        <v>-0.07490785811045064</v>
      </c>
      <c r="J344">
        <v>0.05</v>
      </c>
      <c r="K344">
        <v>-0.009318948552109463</v>
      </c>
      <c r="L344" t="s">
        <v>900</v>
      </c>
      <c r="M344" t="s">
        <v>791</v>
      </c>
      <c r="N344">
        <v>23.61538461538461</v>
      </c>
      <c r="O344">
        <v>0.65</v>
      </c>
      <c r="P344">
        <v>0.24</v>
      </c>
      <c r="Q344">
        <v>0.3692307692307692</v>
      </c>
      <c r="R344">
        <v>8</v>
      </c>
      <c r="S344">
        <v>0.04563955259127317</v>
      </c>
      <c r="T344" t="s">
        <v>905</v>
      </c>
      <c r="U344">
        <v>0.312335958005249</v>
      </c>
      <c r="V344" t="s">
        <v>988</v>
      </c>
      <c r="W344" t="s">
        <v>993</v>
      </c>
      <c r="X344">
        <v>2401.072067</v>
      </c>
      <c r="Y344" s="2">
        <v>45061</v>
      </c>
      <c r="Z344" t="s">
        <v>1012</v>
      </c>
    </row>
    <row r="345" spans="1:26">
      <c r="A345" s="1" t="s">
        <v>369</v>
      </c>
      <c r="B345">
        <f>HYPERLINK("https://www.suredividend.com/sure-analysis-FMS/","Fresenius Medical Care AG &amp; Co. KGaA")</f>
        <v>0</v>
      </c>
      <c r="C345" t="s">
        <v>898</v>
      </c>
      <c r="D345">
        <v>22</v>
      </c>
      <c r="E345">
        <v>24.3</v>
      </c>
      <c r="F345">
        <v>14</v>
      </c>
      <c r="G345">
        <v>1.735714285714286</v>
      </c>
      <c r="H345">
        <v>0.02469135802469136</v>
      </c>
      <c r="I345">
        <v>-0.1044200700714452</v>
      </c>
      <c r="J345">
        <v>0.03</v>
      </c>
      <c r="K345">
        <v>-0.04282564842471881</v>
      </c>
      <c r="L345" t="s">
        <v>900</v>
      </c>
      <c r="M345" t="s">
        <v>589</v>
      </c>
      <c r="N345">
        <v>22.09090909090909</v>
      </c>
      <c r="O345">
        <v>1.1</v>
      </c>
      <c r="P345">
        <v>0.6</v>
      </c>
      <c r="Q345">
        <v>0.5454545454545454</v>
      </c>
      <c r="R345">
        <v>24</v>
      </c>
      <c r="S345">
        <v>0.03131030647754507</v>
      </c>
      <c r="T345" t="s">
        <v>937</v>
      </c>
      <c r="U345">
        <v>-6.995395383800001E-05</v>
      </c>
      <c r="V345" t="s">
        <v>988</v>
      </c>
      <c r="W345" t="s">
        <v>996</v>
      </c>
      <c r="X345">
        <v>14259.893621</v>
      </c>
      <c r="Y345" s="2">
        <v>45074</v>
      </c>
      <c r="Z345" t="s">
        <v>1003</v>
      </c>
    </row>
    <row r="346" spans="1:26">
      <c r="A346" s="1" t="s">
        <v>370</v>
      </c>
      <c r="B346">
        <f>HYPERLINK("https://www.suredividend.com/sure-analysis-VRSK/","Verisk Analytics Inc")</f>
        <v>0</v>
      </c>
      <c r="C346" t="s">
        <v>898</v>
      </c>
      <c r="D346">
        <v>215</v>
      </c>
      <c r="E346">
        <v>224.35</v>
      </c>
      <c r="F346">
        <v>111</v>
      </c>
      <c r="G346">
        <v>2.021171171171171</v>
      </c>
      <c r="H346">
        <v>0.006061956763984845</v>
      </c>
      <c r="I346">
        <v>-0.1312808784044284</v>
      </c>
      <c r="J346">
        <v>0.09</v>
      </c>
      <c r="K346">
        <v>-0.04398589249739038</v>
      </c>
      <c r="L346" t="s">
        <v>900</v>
      </c>
      <c r="M346" t="s">
        <v>791</v>
      </c>
      <c r="N346">
        <v>40.56962025316455</v>
      </c>
      <c r="O346">
        <v>5.53</v>
      </c>
      <c r="P346">
        <v>1.36</v>
      </c>
      <c r="Q346">
        <v>0.2459312839059675</v>
      </c>
      <c r="R346">
        <v>4</v>
      </c>
      <c r="S346">
        <v>0.07028365177818952</v>
      </c>
      <c r="T346" t="s">
        <v>916</v>
      </c>
      <c r="U346">
        <v>0.307783512426129</v>
      </c>
      <c r="V346" t="s">
        <v>988</v>
      </c>
      <c r="W346" t="s">
        <v>1000</v>
      </c>
      <c r="X346">
        <v>32483.900784</v>
      </c>
      <c r="Y346" s="2">
        <v>45062</v>
      </c>
      <c r="Z346" t="s">
        <v>1011</v>
      </c>
    </row>
    <row r="347" spans="1:26">
      <c r="A347" s="1" t="s">
        <v>371</v>
      </c>
      <c r="B347">
        <f>HYPERLINK("https://www.suredividend.com/sure-analysis-CEG/","Constellation Energy Corporation")</f>
        <v>0</v>
      </c>
      <c r="C347" t="s">
        <v>898</v>
      </c>
      <c r="D347">
        <v>82</v>
      </c>
      <c r="E347">
        <v>90.36</v>
      </c>
      <c r="F347">
        <v>48</v>
      </c>
      <c r="G347">
        <v>1.8825</v>
      </c>
      <c r="H347">
        <v>0.01250553342186808</v>
      </c>
      <c r="I347">
        <v>-0.1188435937224576</v>
      </c>
      <c r="J347">
        <v>0.02</v>
      </c>
      <c r="K347">
        <v>-0.08171671001739889</v>
      </c>
      <c r="L347" t="s">
        <v>900</v>
      </c>
      <c r="M347" t="s">
        <v>791</v>
      </c>
      <c r="N347">
        <v>22.76070528967254</v>
      </c>
      <c r="O347">
        <v>3.97</v>
      </c>
      <c r="P347">
        <v>1.13</v>
      </c>
      <c r="Q347">
        <v>0.2846347607052896</v>
      </c>
      <c r="R347">
        <v>1</v>
      </c>
      <c r="S347">
        <v>0.02039028219796957</v>
      </c>
      <c r="T347" t="s">
        <v>943</v>
      </c>
      <c r="U347">
        <v>0.5457753767357041</v>
      </c>
      <c r="V347" t="s">
        <v>988</v>
      </c>
      <c r="W347" t="s">
        <v>1002</v>
      </c>
      <c r="X347">
        <v>29313.819255</v>
      </c>
      <c r="Y347" s="2">
        <v>45069</v>
      </c>
      <c r="Z347" t="s">
        <v>1003</v>
      </c>
    </row>
    <row r="348" spans="1:26">
      <c r="A348" s="1" t="s">
        <v>372</v>
      </c>
      <c r="B348">
        <f>HYPERLINK("https://www.suredividend.com/sure-analysis-LLY/","Lilly(Eli) &amp; Co")</f>
        <v>0</v>
      </c>
      <c r="C348" t="s">
        <v>898</v>
      </c>
      <c r="D348">
        <v>396</v>
      </c>
      <c r="E348">
        <v>458.84</v>
      </c>
      <c r="F348">
        <v>153</v>
      </c>
      <c r="G348">
        <v>2.998954248366013</v>
      </c>
      <c r="H348">
        <v>0.009850928428210269</v>
      </c>
      <c r="I348">
        <v>-0.1972024619784464</v>
      </c>
      <c r="J348">
        <v>0.06</v>
      </c>
      <c r="K348">
        <v>-0.127680515505712</v>
      </c>
      <c r="L348" t="s">
        <v>900</v>
      </c>
      <c r="M348" t="s">
        <v>791</v>
      </c>
      <c r="N348">
        <v>52.43885714285714</v>
      </c>
      <c r="O348">
        <v>8.75</v>
      </c>
      <c r="P348">
        <v>4.52</v>
      </c>
      <c r="Q348">
        <v>0.5165714285714286</v>
      </c>
      <c r="R348">
        <v>9</v>
      </c>
      <c r="S348">
        <v>0.06004276922950136</v>
      </c>
      <c r="T348" t="s">
        <v>931</v>
      </c>
      <c r="U348">
        <v>0.42595737169367</v>
      </c>
      <c r="V348" t="s">
        <v>988</v>
      </c>
      <c r="W348" t="s">
        <v>996</v>
      </c>
      <c r="X348">
        <v>435564.392578</v>
      </c>
      <c r="Y348" s="2">
        <v>45047</v>
      </c>
      <c r="Z348" t="s">
        <v>1003</v>
      </c>
    </row>
    <row r="349" spans="1:26">
      <c r="A349" s="1" t="s">
        <v>373</v>
      </c>
      <c r="B349">
        <f>HYPERLINK("https://www.suredividend.com/sure-analysis-VFC/","VF Corp.")</f>
        <v>0</v>
      </c>
      <c r="C349" t="s">
        <v>896</v>
      </c>
      <c r="D349">
        <v>19</v>
      </c>
      <c r="E349">
        <v>18.23</v>
      </c>
      <c r="F349">
        <v>38</v>
      </c>
      <c r="G349">
        <v>0.4797368421052632</v>
      </c>
      <c r="H349">
        <v>0.06582556226001096</v>
      </c>
      <c r="I349">
        <v>0.1582422037210258</v>
      </c>
      <c r="J349">
        <v>0.09</v>
      </c>
      <c r="K349">
        <v>0.2888093374918024</v>
      </c>
      <c r="L349" t="s">
        <v>589</v>
      </c>
      <c r="M349" t="s">
        <v>899</v>
      </c>
      <c r="N349">
        <v>8.68095238095238</v>
      </c>
      <c r="O349">
        <v>2.1</v>
      </c>
      <c r="P349">
        <v>1.2</v>
      </c>
      <c r="Q349">
        <v>0.5714285714285714</v>
      </c>
      <c r="R349">
        <v>0</v>
      </c>
      <c r="S349">
        <v>0.01924487649145656</v>
      </c>
      <c r="T349" t="s">
        <v>941</v>
      </c>
      <c r="U349">
        <v>-0.597733360989624</v>
      </c>
      <c r="V349" t="s">
        <v>988</v>
      </c>
      <c r="W349" t="s">
        <v>995</v>
      </c>
      <c r="X349">
        <v>7085.587307</v>
      </c>
      <c r="Y349" s="2">
        <v>45070</v>
      </c>
      <c r="Z349" t="s">
        <v>1007</v>
      </c>
    </row>
    <row r="350" spans="1:26">
      <c r="A350" s="1" t="s">
        <v>374</v>
      </c>
      <c r="B350">
        <f>HYPERLINK("https://www.suredividend.com/sure-analysis-OPI/","Office Properties Income Trust")</f>
        <v>0</v>
      </c>
      <c r="C350" t="s">
        <v>897</v>
      </c>
      <c r="D350">
        <v>6.5</v>
      </c>
      <c r="E350">
        <v>7.15</v>
      </c>
      <c r="F350">
        <v>17</v>
      </c>
      <c r="G350">
        <v>0.4205882352941177</v>
      </c>
      <c r="H350">
        <v>0.1398601398601398</v>
      </c>
      <c r="I350">
        <v>0.1891279192169586</v>
      </c>
      <c r="J350">
        <v>0</v>
      </c>
      <c r="K350">
        <v>0.2520547720070587</v>
      </c>
      <c r="L350" t="s">
        <v>589</v>
      </c>
      <c r="M350" t="s">
        <v>899</v>
      </c>
      <c r="N350">
        <v>1.702380952380952</v>
      </c>
      <c r="O350">
        <v>4.2</v>
      </c>
      <c r="P350">
        <v>1</v>
      </c>
      <c r="Q350">
        <v>0.2380952380952381</v>
      </c>
      <c r="R350">
        <v>0</v>
      </c>
      <c r="S350">
        <v>0</v>
      </c>
      <c r="T350" t="s">
        <v>944</v>
      </c>
      <c r="U350">
        <v>-0.580650080350963</v>
      </c>
      <c r="V350" t="s">
        <v>989</v>
      </c>
      <c r="W350" t="s">
        <v>1001</v>
      </c>
      <c r="X350">
        <v>347.230519</v>
      </c>
      <c r="Y350" s="2">
        <v>45044</v>
      </c>
      <c r="Z350" t="s">
        <v>1007</v>
      </c>
    </row>
    <row r="351" spans="1:26">
      <c r="A351" s="1" t="s">
        <v>375</v>
      </c>
      <c r="B351">
        <f>HYPERLINK("https://www.suredividend.com/sure-analysis-EOG/","EOG Resources, Inc.")</f>
        <v>0</v>
      </c>
      <c r="C351" t="s">
        <v>896</v>
      </c>
      <c r="D351">
        <v>114</v>
      </c>
      <c r="E351">
        <v>106.82</v>
      </c>
      <c r="F351">
        <v>256</v>
      </c>
      <c r="G351">
        <v>0.417265625</v>
      </c>
      <c r="H351">
        <v>0.0308930911814267</v>
      </c>
      <c r="I351">
        <v>0.1910156778798338</v>
      </c>
      <c r="J351">
        <v>0.03</v>
      </c>
      <c r="K351">
        <v>0.2435667781936204</v>
      </c>
      <c r="L351" t="s">
        <v>589</v>
      </c>
      <c r="M351" t="s">
        <v>589</v>
      </c>
      <c r="N351">
        <v>7.522535211267606</v>
      </c>
      <c r="O351">
        <v>14.2</v>
      </c>
      <c r="P351">
        <v>3.3</v>
      </c>
      <c r="Q351">
        <v>0.2323943661971831</v>
      </c>
      <c r="R351">
        <v>6</v>
      </c>
      <c r="S351">
        <v>0.08005422401318252</v>
      </c>
      <c r="T351" t="s">
        <v>911</v>
      </c>
      <c r="U351">
        <v>0.025547480294549</v>
      </c>
      <c r="V351" t="s">
        <v>988</v>
      </c>
      <c r="W351" t="s">
        <v>1002</v>
      </c>
      <c r="X351">
        <v>62474.600032</v>
      </c>
      <c r="Y351" s="2">
        <v>45057</v>
      </c>
      <c r="Z351" t="s">
        <v>1015</v>
      </c>
    </row>
    <row r="352" spans="1:26">
      <c r="A352" s="1" t="s">
        <v>376</v>
      </c>
      <c r="B352">
        <f>HYPERLINK("https://www.suredividend.com/sure-analysis-LNC/","Lincoln National Corp.")</f>
        <v>0</v>
      </c>
      <c r="C352" t="s">
        <v>896</v>
      </c>
      <c r="D352">
        <v>20</v>
      </c>
      <c r="E352">
        <v>23.78</v>
      </c>
      <c r="F352">
        <v>51</v>
      </c>
      <c r="G352">
        <v>0.4662745098039216</v>
      </c>
      <c r="H352">
        <v>0.07569386038687972</v>
      </c>
      <c r="I352">
        <v>0.1648544554772582</v>
      </c>
      <c r="J352">
        <v>0.03</v>
      </c>
      <c r="K352">
        <v>0.2428349624630248</v>
      </c>
      <c r="L352" t="s">
        <v>589</v>
      </c>
      <c r="M352" t="s">
        <v>899</v>
      </c>
      <c r="N352">
        <v>3.235374149659864</v>
      </c>
      <c r="O352">
        <v>7.35</v>
      </c>
      <c r="P352">
        <v>1.8</v>
      </c>
      <c r="Q352">
        <v>0.2448979591836735</v>
      </c>
      <c r="R352">
        <v>11</v>
      </c>
      <c r="S352">
        <v>0.0796084730466029</v>
      </c>
      <c r="T352" t="s">
        <v>909</v>
      </c>
      <c r="U352">
        <v>-0.4872889486836171</v>
      </c>
      <c r="V352" t="s">
        <v>988</v>
      </c>
      <c r="W352" t="s">
        <v>994</v>
      </c>
      <c r="X352">
        <v>4032.104483</v>
      </c>
      <c r="Y352" s="2">
        <v>45064</v>
      </c>
      <c r="Z352" t="s">
        <v>1010</v>
      </c>
    </row>
    <row r="353" spans="1:26">
      <c r="A353" s="1" t="s">
        <v>377</v>
      </c>
      <c r="B353">
        <f>HYPERLINK("https://www.suredividend.com/sure-analysis-ZION/","Zions Bancorporation N.A")</f>
        <v>0</v>
      </c>
      <c r="C353" t="s">
        <v>896</v>
      </c>
      <c r="D353">
        <v>29</v>
      </c>
      <c r="E353">
        <v>26.6</v>
      </c>
      <c r="F353">
        <v>53</v>
      </c>
      <c r="G353">
        <v>0.5018867924528302</v>
      </c>
      <c r="H353">
        <v>0.06165413533834586</v>
      </c>
      <c r="I353">
        <v>0.147833370314673</v>
      </c>
      <c r="J353">
        <v>0.05</v>
      </c>
      <c r="K353">
        <v>0.2373429738829715</v>
      </c>
      <c r="L353" t="s">
        <v>589</v>
      </c>
      <c r="M353" t="s">
        <v>900</v>
      </c>
      <c r="N353">
        <v>5.018867924528302</v>
      </c>
      <c r="O353">
        <v>5.3</v>
      </c>
      <c r="P353">
        <v>1.64</v>
      </c>
      <c r="Q353">
        <v>0.3094339622641509</v>
      </c>
      <c r="R353">
        <v>11</v>
      </c>
      <c r="S353">
        <v>0.04968861687192305</v>
      </c>
      <c r="T353" t="s">
        <v>937</v>
      </c>
      <c r="U353">
        <v>-0.4715868683377231</v>
      </c>
      <c r="V353" t="s">
        <v>988</v>
      </c>
      <c r="W353" t="s">
        <v>994</v>
      </c>
      <c r="X353">
        <v>3939.478647</v>
      </c>
      <c r="Y353" s="2">
        <v>45040</v>
      </c>
      <c r="Z353" t="s">
        <v>1006</v>
      </c>
    </row>
    <row r="354" spans="1:26">
      <c r="A354" s="1" t="s">
        <v>378</v>
      </c>
      <c r="B354">
        <f>HYPERLINK("https://www.suredividend.com/sure-analysis-WAFD/","Washington Federal Inc.")</f>
        <v>0</v>
      </c>
      <c r="C354" t="s">
        <v>896</v>
      </c>
      <c r="D354">
        <v>29</v>
      </c>
      <c r="E354">
        <v>26.3</v>
      </c>
      <c r="F354">
        <v>47</v>
      </c>
      <c r="G354">
        <v>0.5595744680851064</v>
      </c>
      <c r="H354">
        <v>0.03802281368821293</v>
      </c>
      <c r="I354">
        <v>0.123125846779943</v>
      </c>
      <c r="J354">
        <v>0.07000000000000001</v>
      </c>
      <c r="K354">
        <v>0.2240119624051182</v>
      </c>
      <c r="L354" t="s">
        <v>589</v>
      </c>
      <c r="M354" t="s">
        <v>900</v>
      </c>
      <c r="N354">
        <v>6.743589743589744</v>
      </c>
      <c r="O354">
        <v>3.9</v>
      </c>
      <c r="P354">
        <v>1</v>
      </c>
      <c r="Q354">
        <v>0.2564102564102564</v>
      </c>
      <c r="R354">
        <v>13</v>
      </c>
      <c r="S354">
        <v>0.08009875865888949</v>
      </c>
      <c r="T354" t="s">
        <v>908</v>
      </c>
      <c r="U354">
        <v>-0.102820826837596</v>
      </c>
      <c r="V354" t="s">
        <v>988</v>
      </c>
      <c r="W354" t="s">
        <v>994</v>
      </c>
      <c r="X354">
        <v>1730.335281</v>
      </c>
      <c r="Y354" s="2">
        <v>45032</v>
      </c>
      <c r="Z354" t="s">
        <v>1006</v>
      </c>
    </row>
    <row r="355" spans="1:26">
      <c r="A355" s="1" t="s">
        <v>379</v>
      </c>
      <c r="B355">
        <f>HYPERLINK("https://www.suredividend.com/sure-analysis-SNV/","Synovus Financial Corp.")</f>
        <v>0</v>
      </c>
      <c r="C355" t="s">
        <v>896</v>
      </c>
      <c r="D355">
        <v>31</v>
      </c>
      <c r="E355">
        <v>29.04</v>
      </c>
      <c r="F355">
        <v>52</v>
      </c>
      <c r="G355">
        <v>0.5584615384615385</v>
      </c>
      <c r="H355">
        <v>0.05234159779614325</v>
      </c>
      <c r="I355">
        <v>0.1235731344575597</v>
      </c>
      <c r="J355">
        <v>0.05</v>
      </c>
      <c r="K355">
        <v>0.2121315408569071</v>
      </c>
      <c r="L355" t="s">
        <v>589</v>
      </c>
      <c r="M355" t="s">
        <v>900</v>
      </c>
      <c r="N355">
        <v>5.584615384615384</v>
      </c>
      <c r="O355">
        <v>5.2</v>
      </c>
      <c r="P355">
        <v>1.52</v>
      </c>
      <c r="Q355">
        <v>0.2923076923076923</v>
      </c>
      <c r="R355">
        <v>9</v>
      </c>
      <c r="S355">
        <v>0.07967303520906954</v>
      </c>
      <c r="T355" t="s">
        <v>916</v>
      </c>
      <c r="U355">
        <v>-0.182121583372058</v>
      </c>
      <c r="V355" t="s">
        <v>988</v>
      </c>
      <c r="W355" t="s">
        <v>994</v>
      </c>
      <c r="X355">
        <v>4243.242152</v>
      </c>
      <c r="Y355" s="2">
        <v>45037</v>
      </c>
      <c r="Z355" t="s">
        <v>1006</v>
      </c>
    </row>
    <row r="356" spans="1:26">
      <c r="A356" s="1" t="s">
        <v>380</v>
      </c>
      <c r="B356">
        <f>HYPERLINK("https://www.suredividend.com/sure-analysis-HASI/","Hannon Armstrong Sustainable Infrastructure capital Inc")</f>
        <v>0</v>
      </c>
      <c r="C356" t="s">
        <v>896</v>
      </c>
      <c r="D356">
        <v>25</v>
      </c>
      <c r="E356">
        <v>23.74</v>
      </c>
      <c r="F356">
        <v>30</v>
      </c>
      <c r="G356">
        <v>0.7913333333333333</v>
      </c>
      <c r="H356">
        <v>0.06655433866891323</v>
      </c>
      <c r="I356">
        <v>0.0479199490594262</v>
      </c>
      <c r="J356">
        <v>0.115</v>
      </c>
      <c r="K356">
        <v>0.2094424599915428</v>
      </c>
      <c r="L356" t="s">
        <v>589</v>
      </c>
      <c r="M356" t="s">
        <v>899</v>
      </c>
      <c r="N356">
        <v>10.27705627705628</v>
      </c>
      <c r="O356">
        <v>2.31</v>
      </c>
      <c r="P356">
        <v>1.58</v>
      </c>
      <c r="Q356">
        <v>0.683982683982684</v>
      </c>
      <c r="R356">
        <v>5</v>
      </c>
      <c r="S356">
        <v>0.0703829372933884</v>
      </c>
      <c r="T356" t="s">
        <v>924</v>
      </c>
      <c r="U356">
        <v>-0.342771874844275</v>
      </c>
      <c r="V356" t="s">
        <v>989</v>
      </c>
      <c r="W356" t="s">
        <v>1001</v>
      </c>
      <c r="X356">
        <v>2180.843739</v>
      </c>
      <c r="Y356" s="2">
        <v>45058</v>
      </c>
      <c r="Z356" t="s">
        <v>1012</v>
      </c>
    </row>
    <row r="357" spans="1:26">
      <c r="A357" s="1" t="s">
        <v>381</v>
      </c>
      <c r="B357">
        <f>HYPERLINK("https://www.suredividend.com/sure-analysis-ASB/","Associated Banc-Corp.")</f>
        <v>0</v>
      </c>
      <c r="C357" t="s">
        <v>896</v>
      </c>
      <c r="D357">
        <v>18</v>
      </c>
      <c r="E357">
        <v>15.64</v>
      </c>
      <c r="F357">
        <v>25</v>
      </c>
      <c r="G357">
        <v>0.6256</v>
      </c>
      <c r="H357">
        <v>0.0537084398976982</v>
      </c>
      <c r="I357">
        <v>0.09834974108834582</v>
      </c>
      <c r="J357">
        <v>0.06</v>
      </c>
      <c r="K357">
        <v>0.2010582306590045</v>
      </c>
      <c r="L357" t="s">
        <v>589</v>
      </c>
      <c r="M357" t="s">
        <v>900</v>
      </c>
      <c r="N357">
        <v>6.383673469387755</v>
      </c>
      <c r="O357">
        <v>2.45</v>
      </c>
      <c r="P357">
        <v>0.84</v>
      </c>
      <c r="Q357">
        <v>0.3428571428571428</v>
      </c>
      <c r="R357">
        <v>12</v>
      </c>
      <c r="S357">
        <v>0.09953965407958165</v>
      </c>
      <c r="T357" t="s">
        <v>912</v>
      </c>
      <c r="U357">
        <v>-0.123328213809262</v>
      </c>
      <c r="V357" t="s">
        <v>988</v>
      </c>
      <c r="W357" t="s">
        <v>994</v>
      </c>
      <c r="X357">
        <v>2359.928718</v>
      </c>
      <c r="Y357" s="2">
        <v>45039</v>
      </c>
      <c r="Z357" t="s">
        <v>1006</v>
      </c>
    </row>
    <row r="358" spans="1:26">
      <c r="A358" s="1" t="s">
        <v>382</v>
      </c>
      <c r="B358">
        <f>HYPERLINK("https://www.suredividend.com/sure-analysis-PACW/","Pacwest Bancorp")</f>
        <v>0</v>
      </c>
      <c r="C358" t="s">
        <v>896</v>
      </c>
      <c r="D358">
        <v>11</v>
      </c>
      <c r="E358">
        <v>7.23</v>
      </c>
      <c r="F358">
        <v>14</v>
      </c>
      <c r="G358">
        <v>0.5164285714285715</v>
      </c>
      <c r="H358">
        <v>0.005532503457814661</v>
      </c>
      <c r="I358">
        <v>0.1412950868413301</v>
      </c>
      <c r="J358">
        <v>0.05</v>
      </c>
      <c r="K358">
        <v>0.201030613667295</v>
      </c>
      <c r="L358" t="s">
        <v>589</v>
      </c>
      <c r="M358" t="s">
        <v>648</v>
      </c>
      <c r="N358">
        <v>4.381818181818183</v>
      </c>
      <c r="O358">
        <v>1.65</v>
      </c>
      <c r="P358">
        <v>0.04</v>
      </c>
      <c r="Q358">
        <v>0.02424242424242425</v>
      </c>
      <c r="R358">
        <v>0</v>
      </c>
      <c r="S358">
        <v>0</v>
      </c>
      <c r="T358" t="s">
        <v>931</v>
      </c>
      <c r="U358">
        <v>-0.7286117534007981</v>
      </c>
      <c r="V358" t="s">
        <v>988</v>
      </c>
      <c r="W358" t="s">
        <v>994</v>
      </c>
      <c r="X358">
        <v>853.404589</v>
      </c>
      <c r="Y358" s="2">
        <v>45044</v>
      </c>
      <c r="Z358" t="s">
        <v>1004</v>
      </c>
    </row>
    <row r="359" spans="1:26">
      <c r="A359" s="1" t="s">
        <v>383</v>
      </c>
      <c r="B359">
        <f>HYPERLINK("https://www.suredividend.com/sure-analysis-AROW/","Arrow Financial Corp.")</f>
        <v>0</v>
      </c>
      <c r="C359" t="s">
        <v>897</v>
      </c>
      <c r="D359">
        <v>32</v>
      </c>
      <c r="E359">
        <v>21.17</v>
      </c>
      <c r="F359">
        <v>35</v>
      </c>
      <c r="G359">
        <v>0.6048571428571429</v>
      </c>
      <c r="H359">
        <v>0.05101558809636278</v>
      </c>
      <c r="I359">
        <v>0.1057817990653183</v>
      </c>
      <c r="J359">
        <v>0.05</v>
      </c>
      <c r="K359">
        <v>0.1894175198670007</v>
      </c>
      <c r="L359" t="s">
        <v>589</v>
      </c>
      <c r="M359" t="s">
        <v>900</v>
      </c>
      <c r="N359">
        <v>6.720634920634922</v>
      </c>
      <c r="O359">
        <v>3.15</v>
      </c>
      <c r="P359">
        <v>1.08</v>
      </c>
      <c r="Q359">
        <v>0.3428571428571429</v>
      </c>
      <c r="R359">
        <v>27</v>
      </c>
      <c r="S359">
        <v>0.01958782572000284</v>
      </c>
      <c r="T359" t="s">
        <v>930</v>
      </c>
      <c r="U359">
        <v>-0.291357032871393</v>
      </c>
      <c r="V359" t="s">
        <v>988</v>
      </c>
      <c r="W359" t="s">
        <v>994</v>
      </c>
      <c r="X359">
        <v>349.911711</v>
      </c>
      <c r="Y359" s="2">
        <v>44964</v>
      </c>
      <c r="Z359" t="s">
        <v>1004</v>
      </c>
    </row>
    <row r="360" spans="1:26">
      <c r="A360" s="1" t="s">
        <v>384</v>
      </c>
      <c r="B360">
        <f>HYPERLINK("https://www.suredividend.com/sure-analysis-FULT/","Fulton Financial Corp.")</f>
        <v>0</v>
      </c>
      <c r="C360" t="s">
        <v>896</v>
      </c>
      <c r="D360">
        <v>12</v>
      </c>
      <c r="E360">
        <v>12</v>
      </c>
      <c r="F360">
        <v>17</v>
      </c>
      <c r="G360">
        <v>0.7058823529411765</v>
      </c>
      <c r="H360">
        <v>0.05</v>
      </c>
      <c r="I360">
        <v>0.07214502590085092</v>
      </c>
      <c r="J360">
        <v>0.08</v>
      </c>
      <c r="K360">
        <v>0.1893289644438865</v>
      </c>
      <c r="L360" t="s">
        <v>589</v>
      </c>
      <c r="M360" t="s">
        <v>900</v>
      </c>
      <c r="N360">
        <v>7.058823529411764</v>
      </c>
      <c r="O360">
        <v>1.7</v>
      </c>
      <c r="P360">
        <v>0.6</v>
      </c>
      <c r="Q360">
        <v>0.3529411764705883</v>
      </c>
      <c r="R360">
        <v>14</v>
      </c>
      <c r="S360">
        <v>0.05922384104881218</v>
      </c>
      <c r="T360" t="s">
        <v>924</v>
      </c>
      <c r="U360">
        <v>-0.153809268609144</v>
      </c>
      <c r="V360" t="s">
        <v>988</v>
      </c>
      <c r="W360" t="s">
        <v>994</v>
      </c>
      <c r="X360">
        <v>1984.752</v>
      </c>
      <c r="Y360" s="2">
        <v>45037</v>
      </c>
      <c r="Z360" t="s">
        <v>1006</v>
      </c>
    </row>
    <row r="361" spans="1:26">
      <c r="A361" s="1" t="s">
        <v>385</v>
      </c>
      <c r="B361">
        <f>HYPERLINK("https://www.suredividend.com/sure-analysis-EQH/","Equitable Holdings Inc")</f>
        <v>0</v>
      </c>
      <c r="C361" t="s">
        <v>896</v>
      </c>
      <c r="D361">
        <v>25</v>
      </c>
      <c r="E361">
        <v>25.43</v>
      </c>
      <c r="F361">
        <v>41</v>
      </c>
      <c r="G361">
        <v>0.6202439024390244</v>
      </c>
      <c r="H361">
        <v>0.03460479748328746</v>
      </c>
      <c r="I361">
        <v>0.1002401756310398</v>
      </c>
      <c r="J361">
        <v>0.06</v>
      </c>
      <c r="K361">
        <v>0.1878237408952121</v>
      </c>
      <c r="L361" t="s">
        <v>589</v>
      </c>
      <c r="M361" t="s">
        <v>589</v>
      </c>
      <c r="N361">
        <v>4.623636363636364</v>
      </c>
      <c r="O361">
        <v>5.5</v>
      </c>
      <c r="P361">
        <v>0.88</v>
      </c>
      <c r="Q361">
        <v>0.16</v>
      </c>
      <c r="R361">
        <v>5</v>
      </c>
      <c r="S361">
        <v>0.06042477819475911</v>
      </c>
      <c r="T361" t="s">
        <v>918</v>
      </c>
      <c r="U361">
        <v>-0.045764289145052</v>
      </c>
      <c r="V361" t="s">
        <v>988</v>
      </c>
      <c r="W361" t="s">
        <v>994</v>
      </c>
      <c r="X361">
        <v>9055.197072999999</v>
      </c>
      <c r="Y361" s="2">
        <v>45069</v>
      </c>
      <c r="Z361" t="s">
        <v>1009</v>
      </c>
    </row>
    <row r="362" spans="1:26">
      <c r="A362" s="1" t="s">
        <v>386</v>
      </c>
      <c r="B362">
        <f>HYPERLINK("https://www.suredividend.com/sure-analysis-MGA/","Magna International Inc.")</f>
        <v>0</v>
      </c>
      <c r="C362" t="s">
        <v>896</v>
      </c>
      <c r="D362">
        <v>54</v>
      </c>
      <c r="E362">
        <v>52.03</v>
      </c>
      <c r="F362">
        <v>56</v>
      </c>
      <c r="G362">
        <v>0.9291071428571429</v>
      </c>
      <c r="H362">
        <v>0.03536421295406496</v>
      </c>
      <c r="I362">
        <v>0.01481491192944318</v>
      </c>
      <c r="J362">
        <v>0.12</v>
      </c>
      <c r="K362">
        <v>0.1637088126563477</v>
      </c>
      <c r="L362" t="s">
        <v>589</v>
      </c>
      <c r="M362" t="s">
        <v>589</v>
      </c>
      <c r="N362">
        <v>10.162109375</v>
      </c>
      <c r="O362">
        <v>5.12</v>
      </c>
      <c r="P362">
        <v>1.84</v>
      </c>
      <c r="Q362">
        <v>0.359375</v>
      </c>
      <c r="R362">
        <v>13</v>
      </c>
      <c r="S362">
        <v>0.09975204344332944</v>
      </c>
      <c r="T362" t="s">
        <v>908</v>
      </c>
      <c r="U362">
        <v>-0.07220502432274301</v>
      </c>
      <c r="V362" t="s">
        <v>988</v>
      </c>
      <c r="W362" t="s">
        <v>995</v>
      </c>
      <c r="X362">
        <v>14886.929741</v>
      </c>
      <c r="Y362" s="2">
        <v>45057</v>
      </c>
      <c r="Z362" t="s">
        <v>1018</v>
      </c>
    </row>
    <row r="363" spans="1:26">
      <c r="A363" s="1" t="s">
        <v>387</v>
      </c>
      <c r="B363">
        <f>HYPERLINK("https://www.suredividend.com/sure-analysis-FMBH/","First Mid Bancshares Inc.")</f>
        <v>0</v>
      </c>
      <c r="C363" t="s">
        <v>896</v>
      </c>
      <c r="D363">
        <v>25</v>
      </c>
      <c r="E363">
        <v>25.33</v>
      </c>
      <c r="F363">
        <v>37</v>
      </c>
      <c r="G363">
        <v>0.6845945945945946</v>
      </c>
      <c r="H363">
        <v>0.03632056849585472</v>
      </c>
      <c r="I363">
        <v>0.07873136616852738</v>
      </c>
      <c r="J363">
        <v>0.05</v>
      </c>
      <c r="K363">
        <v>0.1565124455673632</v>
      </c>
      <c r="L363" t="s">
        <v>589</v>
      </c>
      <c r="M363" t="s">
        <v>589</v>
      </c>
      <c r="N363">
        <v>7.449999999999999</v>
      </c>
      <c r="O363">
        <v>3.4</v>
      </c>
      <c r="P363">
        <v>0.92</v>
      </c>
      <c r="Q363">
        <v>0.2705882352941177</v>
      </c>
      <c r="R363">
        <v>12</v>
      </c>
      <c r="S363">
        <v>0.04012620718096094</v>
      </c>
      <c r="T363" t="s">
        <v>922</v>
      </c>
      <c r="U363">
        <v>-0.258767206667291</v>
      </c>
      <c r="V363" t="s">
        <v>988</v>
      </c>
      <c r="W363" t="s">
        <v>994</v>
      </c>
      <c r="X363">
        <v>519.998152</v>
      </c>
      <c r="Y363" s="2">
        <v>45049</v>
      </c>
      <c r="Z363" t="s">
        <v>1005</v>
      </c>
    </row>
    <row r="364" spans="1:26">
      <c r="A364" s="1" t="s">
        <v>388</v>
      </c>
      <c r="B364">
        <f>HYPERLINK("https://www.suredividend.com/sure-analysis-GEL/","Genesis Energy L.P.")</f>
        <v>0</v>
      </c>
      <c r="C364" t="s">
        <v>897</v>
      </c>
      <c r="D364">
        <v>10.3</v>
      </c>
      <c r="E364">
        <v>9.18</v>
      </c>
      <c r="F364">
        <v>12.5</v>
      </c>
      <c r="G364">
        <v>0.7343999999999999</v>
      </c>
      <c r="H364">
        <v>0.06535947712418301</v>
      </c>
      <c r="I364">
        <v>0.06368605674979788</v>
      </c>
      <c r="J364">
        <v>0.05</v>
      </c>
      <c r="K364">
        <v>0.1560308854131711</v>
      </c>
      <c r="L364" t="s">
        <v>589</v>
      </c>
      <c r="M364" t="s">
        <v>900</v>
      </c>
      <c r="N364">
        <v>3.672</v>
      </c>
      <c r="O364">
        <v>2.5</v>
      </c>
      <c r="P364">
        <v>0.6</v>
      </c>
      <c r="Q364">
        <v>0.24</v>
      </c>
      <c r="R364">
        <v>0</v>
      </c>
      <c r="S364">
        <v>0</v>
      </c>
      <c r="T364" t="s">
        <v>928</v>
      </c>
      <c r="U364">
        <v>0.186843874437606</v>
      </c>
      <c r="V364" t="s">
        <v>990</v>
      </c>
      <c r="W364" t="s">
        <v>1002</v>
      </c>
      <c r="X364">
        <v>1124.910049</v>
      </c>
      <c r="Y364" s="2">
        <v>45064</v>
      </c>
      <c r="Z364" t="s">
        <v>1007</v>
      </c>
    </row>
    <row r="365" spans="1:26">
      <c r="A365" s="1" t="s">
        <v>389</v>
      </c>
      <c r="B365">
        <f>HYPERLINK("https://www.suredividend.com/sure-analysis-BAC/","Bank Of America Corp.")</f>
        <v>0</v>
      </c>
      <c r="C365" t="s">
        <v>896</v>
      </c>
      <c r="D365">
        <v>31</v>
      </c>
      <c r="E365">
        <v>27.75</v>
      </c>
      <c r="F365">
        <v>35</v>
      </c>
      <c r="G365">
        <v>0.7928571428571428</v>
      </c>
      <c r="H365">
        <v>0.03171171171171171</v>
      </c>
      <c r="I365">
        <v>0.04751683497416792</v>
      </c>
      <c r="J365">
        <v>0.08</v>
      </c>
      <c r="K365">
        <v>0.1548168202124125</v>
      </c>
      <c r="L365" t="s">
        <v>589</v>
      </c>
      <c r="M365" t="s">
        <v>589</v>
      </c>
      <c r="N365">
        <v>8.283582089552239</v>
      </c>
      <c r="O365">
        <v>3.35</v>
      </c>
      <c r="P365">
        <v>0.88</v>
      </c>
      <c r="Q365">
        <v>0.2626865671641791</v>
      </c>
      <c r="R365">
        <v>10</v>
      </c>
      <c r="S365">
        <v>0.07949692019517696</v>
      </c>
      <c r="T365" t="s">
        <v>930</v>
      </c>
      <c r="U365">
        <v>-0.117795729177594</v>
      </c>
      <c r="V365" t="s">
        <v>988</v>
      </c>
      <c r="W365" t="s">
        <v>994</v>
      </c>
      <c r="X365">
        <v>221143.990727</v>
      </c>
      <c r="Y365" s="2">
        <v>45035</v>
      </c>
      <c r="Z365" t="s">
        <v>1004</v>
      </c>
    </row>
    <row r="366" spans="1:26">
      <c r="A366" s="1" t="s">
        <v>390</v>
      </c>
      <c r="B366">
        <f>HYPERLINK("https://www.suredividend.com/sure-analysis-HIG/","Hartford Financial Services Group Inc.")</f>
        <v>0</v>
      </c>
      <c r="C366" t="s">
        <v>896</v>
      </c>
      <c r="D366">
        <v>71</v>
      </c>
      <c r="E366">
        <v>70.47</v>
      </c>
      <c r="F366">
        <v>90</v>
      </c>
      <c r="G366">
        <v>0.783</v>
      </c>
      <c r="H366">
        <v>0.02412374059883638</v>
      </c>
      <c r="I366">
        <v>0.050141079527253</v>
      </c>
      <c r="J366">
        <v>0.08</v>
      </c>
      <c r="K366">
        <v>0.1510420721025512</v>
      </c>
      <c r="L366" t="s">
        <v>589</v>
      </c>
      <c r="M366" t="s">
        <v>791</v>
      </c>
      <c r="N366">
        <v>8.646625766871166</v>
      </c>
      <c r="O366">
        <v>8.15</v>
      </c>
      <c r="P366">
        <v>1.7</v>
      </c>
      <c r="Q366">
        <v>0.2085889570552147</v>
      </c>
      <c r="R366">
        <v>13</v>
      </c>
      <c r="S366">
        <v>0.05953519437746113</v>
      </c>
      <c r="T366" t="s">
        <v>912</v>
      </c>
      <c r="U366">
        <v>0.09801416340108501</v>
      </c>
      <c r="V366" t="s">
        <v>988</v>
      </c>
      <c r="W366" t="s">
        <v>994</v>
      </c>
      <c r="X366">
        <v>21862.241</v>
      </c>
      <c r="Y366" s="2">
        <v>45047</v>
      </c>
      <c r="Z366" t="s">
        <v>1006</v>
      </c>
    </row>
    <row r="367" spans="1:26">
      <c r="A367" s="1" t="s">
        <v>391</v>
      </c>
      <c r="B367">
        <f>HYPERLINK("https://www.suredividend.com/sure-analysis-VST/","Vistra Corp")</f>
        <v>0</v>
      </c>
      <c r="C367" t="s">
        <v>896</v>
      </c>
      <c r="D367">
        <v>25</v>
      </c>
      <c r="E367">
        <v>25.1</v>
      </c>
      <c r="F367">
        <v>39</v>
      </c>
      <c r="G367">
        <v>0.6435897435897436</v>
      </c>
      <c r="H367">
        <v>0.03266932270916334</v>
      </c>
      <c r="I367">
        <v>0.09213965681148295</v>
      </c>
      <c r="J367">
        <v>0.03</v>
      </c>
      <c r="K367">
        <v>0.1495846255218949</v>
      </c>
      <c r="L367" t="s">
        <v>589</v>
      </c>
      <c r="M367" t="s">
        <v>589</v>
      </c>
      <c r="N367">
        <v>7.171428571428572</v>
      </c>
      <c r="O367">
        <v>3.5</v>
      </c>
      <c r="P367">
        <v>0.82</v>
      </c>
      <c r="Q367">
        <v>0.2342857142857143</v>
      </c>
      <c r="R367">
        <v>5</v>
      </c>
      <c r="S367">
        <v>0.07912928578583145</v>
      </c>
      <c r="T367" t="s">
        <v>933</v>
      </c>
      <c r="U367">
        <v>0.09824717999877401</v>
      </c>
      <c r="V367" t="s">
        <v>988</v>
      </c>
      <c r="W367" t="s">
        <v>999</v>
      </c>
      <c r="X367">
        <v>9362.986811000001</v>
      </c>
      <c r="Y367" s="2">
        <v>45098</v>
      </c>
      <c r="Z367" t="s">
        <v>1010</v>
      </c>
    </row>
    <row r="368" spans="1:26">
      <c r="A368" s="1" t="s">
        <v>392</v>
      </c>
      <c r="B368">
        <f>HYPERLINK("https://www.suredividend.com/sure-analysis-SYBT/","Stock Yards Bancorp Inc")</f>
        <v>0</v>
      </c>
      <c r="C368" t="s">
        <v>896</v>
      </c>
      <c r="D368">
        <v>49</v>
      </c>
      <c r="E368">
        <v>44.5</v>
      </c>
      <c r="F368">
        <v>56</v>
      </c>
      <c r="G368">
        <v>0.7946428571428571</v>
      </c>
      <c r="H368">
        <v>0.02606741573033708</v>
      </c>
      <c r="I368">
        <v>0.04704561713385425</v>
      </c>
      <c r="J368">
        <v>0.08</v>
      </c>
      <c r="K368">
        <v>0.1487273180544051</v>
      </c>
      <c r="L368" t="s">
        <v>589</v>
      </c>
      <c r="M368" t="s">
        <v>791</v>
      </c>
      <c r="N368">
        <v>12.02702702702703</v>
      </c>
      <c r="O368">
        <v>3.7</v>
      </c>
      <c r="P368">
        <v>1.16</v>
      </c>
      <c r="Q368">
        <v>0.3135135135135135</v>
      </c>
      <c r="R368">
        <v>14</v>
      </c>
      <c r="S368">
        <v>0.0499309672496191</v>
      </c>
      <c r="T368" t="s">
        <v>953</v>
      </c>
      <c r="U368">
        <v>-0.213311129260936</v>
      </c>
      <c r="V368" t="s">
        <v>988</v>
      </c>
      <c r="W368" t="s">
        <v>994</v>
      </c>
      <c r="X368">
        <v>1304.87399</v>
      </c>
      <c r="Y368" s="2">
        <v>45046</v>
      </c>
      <c r="Z368" t="s">
        <v>1006</v>
      </c>
    </row>
    <row r="369" spans="1:26">
      <c r="A369" s="1" t="s">
        <v>393</v>
      </c>
      <c r="B369">
        <f>HYPERLINK("https://www.suredividend.com/sure-analysis-STT/","State Street Corp.")</f>
        <v>0</v>
      </c>
      <c r="C369" t="s">
        <v>896</v>
      </c>
      <c r="D369">
        <v>75</v>
      </c>
      <c r="E369">
        <v>71.06999999999999</v>
      </c>
      <c r="F369">
        <v>98</v>
      </c>
      <c r="G369">
        <v>0.725204081632653</v>
      </c>
      <c r="H369">
        <v>0.03545799915576193</v>
      </c>
      <c r="I369">
        <v>0.06637008201741312</v>
      </c>
      <c r="J369">
        <v>0.05</v>
      </c>
      <c r="K369">
        <v>0.1461041052305039</v>
      </c>
      <c r="L369" t="s">
        <v>589</v>
      </c>
      <c r="M369" t="s">
        <v>589</v>
      </c>
      <c r="N369">
        <v>9.053503184713374</v>
      </c>
      <c r="O369">
        <v>7.85</v>
      </c>
      <c r="P369">
        <v>2.52</v>
      </c>
      <c r="Q369">
        <v>0.3210191082802548</v>
      </c>
      <c r="R369">
        <v>13</v>
      </c>
      <c r="S369">
        <v>0.06912485106932209</v>
      </c>
      <c r="T369" t="s">
        <v>924</v>
      </c>
      <c r="U369">
        <v>0.111413451433718</v>
      </c>
      <c r="V369" t="s">
        <v>988</v>
      </c>
      <c r="W369" t="s">
        <v>994</v>
      </c>
      <c r="X369">
        <v>23755.775972</v>
      </c>
      <c r="Y369" s="2">
        <v>45035</v>
      </c>
      <c r="Z369" t="s">
        <v>1007</v>
      </c>
    </row>
    <row r="370" spans="1:26">
      <c r="A370" s="1" t="s">
        <v>394</v>
      </c>
      <c r="B370">
        <f>HYPERLINK("https://www.suredividend.com/sure-analysis-CCI/","Crown Castle Inc")</f>
        <v>0</v>
      </c>
      <c r="C370" t="s">
        <v>896</v>
      </c>
      <c r="D370">
        <v>126</v>
      </c>
      <c r="E370">
        <v>109.44</v>
      </c>
      <c r="F370">
        <v>162</v>
      </c>
      <c r="G370">
        <v>0.6755555555555556</v>
      </c>
      <c r="H370">
        <v>0.05720029239766082</v>
      </c>
      <c r="I370">
        <v>0.08160275804573214</v>
      </c>
      <c r="J370">
        <v>0.02</v>
      </c>
      <c r="K370">
        <v>0.1436733351389998</v>
      </c>
      <c r="L370" t="s">
        <v>589</v>
      </c>
      <c r="M370" t="s">
        <v>900</v>
      </c>
      <c r="N370">
        <v>14.21298701298701</v>
      </c>
      <c r="O370">
        <v>7.7</v>
      </c>
      <c r="P370">
        <v>6.26</v>
      </c>
      <c r="Q370">
        <v>0.8129870129870129</v>
      </c>
      <c r="R370">
        <v>8</v>
      </c>
      <c r="S370">
        <v>0.04010246976235976</v>
      </c>
      <c r="T370" t="s">
        <v>916</v>
      </c>
      <c r="U370">
        <v>-0.345629096544821</v>
      </c>
      <c r="V370" t="s">
        <v>989</v>
      </c>
      <c r="W370" t="s">
        <v>1001</v>
      </c>
      <c r="X370">
        <v>47460.986306</v>
      </c>
      <c r="Y370" s="2">
        <v>45041</v>
      </c>
      <c r="Z370" t="s">
        <v>1004</v>
      </c>
    </row>
    <row r="371" spans="1:26">
      <c r="A371" s="1" t="s">
        <v>395</v>
      </c>
      <c r="B371">
        <f>HYPERLINK("https://www.suredividend.com/sure-analysis-TS/","Tenaris S.A.")</f>
        <v>0</v>
      </c>
      <c r="C371" t="s">
        <v>896</v>
      </c>
      <c r="D371">
        <v>27</v>
      </c>
      <c r="E371">
        <v>28.05</v>
      </c>
      <c r="F371">
        <v>78</v>
      </c>
      <c r="G371">
        <v>0.3596153846153846</v>
      </c>
      <c r="H371">
        <v>0.02424242424242424</v>
      </c>
      <c r="I371">
        <v>0.2269654889206445</v>
      </c>
      <c r="J371">
        <v>-0.08</v>
      </c>
      <c r="K371">
        <v>0.1433594521273205</v>
      </c>
      <c r="L371" t="s">
        <v>589</v>
      </c>
      <c r="M371" t="s">
        <v>791</v>
      </c>
      <c r="N371">
        <v>4.675</v>
      </c>
      <c r="O371">
        <v>6</v>
      </c>
      <c r="P371">
        <v>0.68</v>
      </c>
      <c r="Q371">
        <v>0.1133333333333333</v>
      </c>
      <c r="R371">
        <v>2</v>
      </c>
      <c r="S371">
        <v>0</v>
      </c>
      <c r="T371" t="s">
        <v>936</v>
      </c>
      <c r="U371">
        <v>0.115090896803406</v>
      </c>
      <c r="V371" t="s">
        <v>988</v>
      </c>
      <c r="W371" t="s">
        <v>1002</v>
      </c>
      <c r="X371">
        <v>16557.029041</v>
      </c>
      <c r="Y371" s="2">
        <v>45055</v>
      </c>
      <c r="Z371" t="s">
        <v>1004</v>
      </c>
    </row>
    <row r="372" spans="1:26">
      <c r="A372" s="1" t="s">
        <v>396</v>
      </c>
      <c r="B372">
        <f>HYPERLINK("https://www.suredividend.com/sure-analysis-EQNR/","Equinor ASA")</f>
        <v>0</v>
      </c>
      <c r="C372" t="s">
        <v>896</v>
      </c>
      <c r="D372">
        <v>30</v>
      </c>
      <c r="E372">
        <v>28.38</v>
      </c>
      <c r="F372">
        <v>65</v>
      </c>
      <c r="G372">
        <v>0.4366153846153846</v>
      </c>
      <c r="H372">
        <v>0.04228329809725159</v>
      </c>
      <c r="I372">
        <v>0.1802668059218653</v>
      </c>
      <c r="J372">
        <v>-0.07000000000000001</v>
      </c>
      <c r="K372">
        <v>0.1394645566664314</v>
      </c>
      <c r="L372" t="s">
        <v>589</v>
      </c>
      <c r="M372" t="s">
        <v>900</v>
      </c>
      <c r="N372">
        <v>4.366153846153846</v>
      </c>
      <c r="O372">
        <v>6.5</v>
      </c>
      <c r="P372">
        <v>1.2</v>
      </c>
      <c r="Q372">
        <v>0.1846153846153846</v>
      </c>
      <c r="R372">
        <v>3</v>
      </c>
      <c r="S372">
        <v>0.1496540121887568</v>
      </c>
      <c r="T372" t="s">
        <v>943</v>
      </c>
      <c r="U372">
        <v>-0.066038760378718</v>
      </c>
      <c r="V372" t="s">
        <v>988</v>
      </c>
      <c r="W372" t="s">
        <v>1002</v>
      </c>
      <c r="X372">
        <v>90119.843112</v>
      </c>
      <c r="Y372" s="2">
        <v>45058</v>
      </c>
      <c r="Z372" t="s">
        <v>1012</v>
      </c>
    </row>
    <row r="373" spans="1:26">
      <c r="A373" s="1" t="s">
        <v>397</v>
      </c>
      <c r="B373">
        <f>HYPERLINK("https://www.suredividend.com/sure-analysis-IBOC/","International Bancshares Corp.")</f>
        <v>0</v>
      </c>
      <c r="C373" t="s">
        <v>896</v>
      </c>
      <c r="D373">
        <v>48.7</v>
      </c>
      <c r="E373">
        <v>43.2</v>
      </c>
      <c r="F373">
        <v>49.5</v>
      </c>
      <c r="G373">
        <v>0.8727272727272728</v>
      </c>
      <c r="H373">
        <v>0.02916666666666666</v>
      </c>
      <c r="I373">
        <v>0.02760046099310043</v>
      </c>
      <c r="J373">
        <v>0.08</v>
      </c>
      <c r="K373">
        <v>0.1345132191818639</v>
      </c>
      <c r="L373" t="s">
        <v>589</v>
      </c>
      <c r="M373" t="s">
        <v>791</v>
      </c>
      <c r="N373">
        <v>9.600000000000001</v>
      </c>
      <c r="O373">
        <v>4.5</v>
      </c>
      <c r="P373">
        <v>1.26</v>
      </c>
      <c r="Q373">
        <v>0.28</v>
      </c>
      <c r="R373">
        <v>13</v>
      </c>
      <c r="S373">
        <v>0.100082101138866</v>
      </c>
      <c r="T373" t="s">
        <v>971</v>
      </c>
      <c r="U373">
        <v>0.081530365467136</v>
      </c>
      <c r="V373" t="s">
        <v>988</v>
      </c>
      <c r="W373" t="s">
        <v>994</v>
      </c>
      <c r="X373">
        <v>2683.349683</v>
      </c>
      <c r="Y373" s="2">
        <v>45084</v>
      </c>
      <c r="Z373" t="s">
        <v>1005</v>
      </c>
    </row>
    <row r="374" spans="1:26">
      <c r="A374" s="1" t="s">
        <v>398</v>
      </c>
      <c r="B374">
        <f>HYPERLINK("https://www.suredividend.com/sure-analysis-TRSWF/","TransAlta Renewables Inc")</f>
        <v>0</v>
      </c>
      <c r="C374" t="s">
        <v>896</v>
      </c>
      <c r="D374">
        <v>9.4</v>
      </c>
      <c r="E374">
        <v>8.33</v>
      </c>
      <c r="F374">
        <v>10.9</v>
      </c>
      <c r="G374">
        <v>0.7642201834862385</v>
      </c>
      <c r="H374">
        <v>0.08283313325330131</v>
      </c>
      <c r="I374">
        <v>0.05525228032468865</v>
      </c>
      <c r="J374">
        <v>0.02</v>
      </c>
      <c r="K374">
        <v>0.1337462025559559</v>
      </c>
      <c r="L374" t="s">
        <v>589</v>
      </c>
      <c r="M374" t="s">
        <v>900</v>
      </c>
      <c r="N374">
        <v>8.768421052631579</v>
      </c>
      <c r="O374">
        <v>0.95</v>
      </c>
      <c r="P374">
        <v>0.6899999999999999</v>
      </c>
      <c r="Q374">
        <v>0.7263157894736841</v>
      </c>
      <c r="R374">
        <v>0</v>
      </c>
      <c r="S374">
        <v>0.01133433966308539</v>
      </c>
      <c r="T374" t="s">
        <v>916</v>
      </c>
      <c r="U374">
        <v>-0.360706062931696</v>
      </c>
      <c r="V374" t="s">
        <v>988</v>
      </c>
      <c r="W374" t="s">
        <v>999</v>
      </c>
      <c r="X374">
        <v>2222.974963</v>
      </c>
      <c r="Y374" s="2">
        <v>45072</v>
      </c>
      <c r="Z374" t="s">
        <v>1010</v>
      </c>
    </row>
    <row r="375" spans="1:26">
      <c r="A375" s="1" t="s">
        <v>399</v>
      </c>
      <c r="B375">
        <f>HYPERLINK("https://www.suredividend.com/sure-analysis-NEP/","NextEra Energy Partners LP")</f>
        <v>0</v>
      </c>
      <c r="C375" t="s">
        <v>896</v>
      </c>
      <c r="D375">
        <v>60.9</v>
      </c>
      <c r="E375">
        <v>58.61</v>
      </c>
      <c r="F375">
        <v>51.9</v>
      </c>
      <c r="G375">
        <v>1.129287090558767</v>
      </c>
      <c r="H375">
        <v>0.05749872035488825</v>
      </c>
      <c r="I375">
        <v>-0.02402402442670448</v>
      </c>
      <c r="J375">
        <v>0.103</v>
      </c>
      <c r="K375">
        <v>0.1318420171665304</v>
      </c>
      <c r="L375" t="s">
        <v>589</v>
      </c>
      <c r="M375" t="s">
        <v>900</v>
      </c>
      <c r="N375">
        <v>12.41737288135593</v>
      </c>
      <c r="O375">
        <v>4.72</v>
      </c>
      <c r="P375">
        <v>3.37</v>
      </c>
      <c r="Q375">
        <v>0.7139830508474577</v>
      </c>
      <c r="R375">
        <v>9</v>
      </c>
      <c r="S375">
        <v>0.1222878724161769</v>
      </c>
      <c r="T375" t="s">
        <v>948</v>
      </c>
      <c r="U375">
        <v>-0.188962921449377</v>
      </c>
      <c r="V375" t="s">
        <v>990</v>
      </c>
      <c r="W375" t="s">
        <v>999</v>
      </c>
      <c r="X375">
        <v>5210.560755</v>
      </c>
      <c r="Y375" s="2">
        <v>45062</v>
      </c>
      <c r="Z375" t="s">
        <v>1013</v>
      </c>
    </row>
    <row r="376" spans="1:26">
      <c r="A376" s="1" t="s">
        <v>400</v>
      </c>
      <c r="B376">
        <f>HYPERLINK("https://www.suredividend.com/sure-analysis-HAL/","Halliburton Co.")</f>
        <v>0</v>
      </c>
      <c r="C376" t="s">
        <v>897</v>
      </c>
      <c r="D376">
        <v>34</v>
      </c>
      <c r="E376">
        <v>30.89</v>
      </c>
      <c r="F376">
        <v>40</v>
      </c>
      <c r="G376">
        <v>0.77225</v>
      </c>
      <c r="H376">
        <v>0.02071867918420201</v>
      </c>
      <c r="I376">
        <v>0.05304860368962205</v>
      </c>
      <c r="J376">
        <v>0.06</v>
      </c>
      <c r="K376">
        <v>0.1311173342790597</v>
      </c>
      <c r="L376" t="s">
        <v>589</v>
      </c>
      <c r="M376" t="s">
        <v>791</v>
      </c>
      <c r="N376">
        <v>10.12786885245902</v>
      </c>
      <c r="O376">
        <v>3.05</v>
      </c>
      <c r="P376">
        <v>0.64</v>
      </c>
      <c r="Q376">
        <v>0.2098360655737705</v>
      </c>
      <c r="R376">
        <v>2</v>
      </c>
      <c r="S376">
        <v>0.04563955259127317</v>
      </c>
      <c r="T376" t="s">
        <v>920</v>
      </c>
      <c r="U376">
        <v>0.010900974902558</v>
      </c>
      <c r="V376" t="s">
        <v>988</v>
      </c>
      <c r="W376" t="s">
        <v>1002</v>
      </c>
      <c r="X376">
        <v>27868.800461</v>
      </c>
      <c r="Y376" s="2">
        <v>45042</v>
      </c>
      <c r="Z376" t="s">
        <v>1007</v>
      </c>
    </row>
    <row r="377" spans="1:26">
      <c r="A377" s="1" t="s">
        <v>401</v>
      </c>
      <c r="B377">
        <f>HYPERLINK("https://www.suredividend.com/sure-analysis-EVRG/","Evergy Inc")</f>
        <v>0</v>
      </c>
      <c r="C377" t="s">
        <v>896</v>
      </c>
      <c r="D377">
        <v>62</v>
      </c>
      <c r="E377">
        <v>57.31</v>
      </c>
      <c r="F377">
        <v>68</v>
      </c>
      <c r="G377">
        <v>0.8427941176470588</v>
      </c>
      <c r="H377">
        <v>0.04274995637759554</v>
      </c>
      <c r="I377">
        <v>0.03479828636512194</v>
      </c>
      <c r="J377">
        <v>0.06</v>
      </c>
      <c r="K377">
        <v>0.1301126864436888</v>
      </c>
      <c r="L377" t="s">
        <v>589</v>
      </c>
      <c r="M377" t="s">
        <v>900</v>
      </c>
      <c r="N377">
        <v>15.7013698630137</v>
      </c>
      <c r="O377">
        <v>3.65</v>
      </c>
      <c r="P377">
        <v>2.45</v>
      </c>
      <c r="Q377">
        <v>0.6712328767123288</v>
      </c>
      <c r="R377">
        <v>18</v>
      </c>
      <c r="S377">
        <v>0.06008710530927752</v>
      </c>
      <c r="T377" t="s">
        <v>972</v>
      </c>
      <c r="U377">
        <v>-0.060711997023648</v>
      </c>
      <c r="V377" t="s">
        <v>988</v>
      </c>
      <c r="W377" t="s">
        <v>999</v>
      </c>
      <c r="X377">
        <v>13163.015073</v>
      </c>
      <c r="Y377" s="2">
        <v>45058</v>
      </c>
      <c r="Z377" t="s">
        <v>1007</v>
      </c>
    </row>
    <row r="378" spans="1:26">
      <c r="A378" s="1" t="s">
        <v>402</v>
      </c>
      <c r="B378">
        <f>HYPERLINK("https://www.suredividend.com/sure-analysis-HOG/","Harley-Davidson, Inc.")</f>
        <v>0</v>
      </c>
      <c r="C378" t="s">
        <v>896</v>
      </c>
      <c r="D378">
        <v>33.7</v>
      </c>
      <c r="E378">
        <v>33.41</v>
      </c>
      <c r="F378">
        <v>47.1</v>
      </c>
      <c r="G378">
        <v>0.7093418259023354</v>
      </c>
      <c r="H378">
        <v>0.01975456450164622</v>
      </c>
      <c r="I378">
        <v>0.07109720565615674</v>
      </c>
      <c r="J378">
        <v>0.033</v>
      </c>
      <c r="K378">
        <v>0.1272142999041908</v>
      </c>
      <c r="L378" t="s">
        <v>589</v>
      </c>
      <c r="M378" t="s">
        <v>791</v>
      </c>
      <c r="N378">
        <v>7.093418259023354</v>
      </c>
      <c r="O378">
        <v>4.71</v>
      </c>
      <c r="P378">
        <v>0.66</v>
      </c>
      <c r="Q378">
        <v>0.1401273885350318</v>
      </c>
      <c r="R378">
        <v>3</v>
      </c>
      <c r="S378">
        <v>0.168863268921301</v>
      </c>
      <c r="T378" t="s">
        <v>918</v>
      </c>
      <c r="U378">
        <v>0.035144086727785</v>
      </c>
      <c r="V378" t="s">
        <v>988</v>
      </c>
      <c r="W378" t="s">
        <v>995</v>
      </c>
      <c r="X378">
        <v>4803.03022</v>
      </c>
      <c r="Y378" s="2">
        <v>45063</v>
      </c>
      <c r="Z378" t="s">
        <v>1013</v>
      </c>
    </row>
    <row r="379" spans="1:26">
      <c r="A379" s="1" t="s">
        <v>403</v>
      </c>
      <c r="B379">
        <f>HYPERLINK("https://www.suredividend.com/sure-analysis-HOMB/","Home Bancshares Inc")</f>
        <v>0</v>
      </c>
      <c r="C379" t="s">
        <v>896</v>
      </c>
      <c r="D379">
        <v>21</v>
      </c>
      <c r="E379">
        <v>22.1</v>
      </c>
      <c r="F379">
        <v>22</v>
      </c>
      <c r="G379">
        <v>1.004545454545455</v>
      </c>
      <c r="H379">
        <v>0.03257918552036199</v>
      </c>
      <c r="I379">
        <v>-0.0009066198047724683</v>
      </c>
      <c r="J379">
        <v>0.1</v>
      </c>
      <c r="K379">
        <v>0.125980422653271</v>
      </c>
      <c r="L379" t="s">
        <v>589</v>
      </c>
      <c r="M379" t="s">
        <v>791</v>
      </c>
      <c r="N379">
        <v>11.05</v>
      </c>
      <c r="O379">
        <v>2</v>
      </c>
      <c r="P379">
        <v>0.72</v>
      </c>
      <c r="Q379">
        <v>0.36</v>
      </c>
      <c r="R379">
        <v>12</v>
      </c>
      <c r="S379">
        <v>0.0804251218424088</v>
      </c>
      <c r="T379" t="s">
        <v>922</v>
      </c>
      <c r="U379">
        <v>0.08861096196757801</v>
      </c>
      <c r="V379" t="s">
        <v>988</v>
      </c>
      <c r="W379" t="s">
        <v>994</v>
      </c>
      <c r="X379">
        <v>4481.853303</v>
      </c>
      <c r="Y379" s="2">
        <v>45042</v>
      </c>
      <c r="Z379" t="s">
        <v>1005</v>
      </c>
    </row>
    <row r="380" spans="1:26">
      <c r="A380" s="1" t="s">
        <v>404</v>
      </c>
      <c r="B380">
        <f>HYPERLINK("https://www.suredividend.com/sure-analysis-MA/","Mastercard Incorporated")</f>
        <v>0</v>
      </c>
      <c r="C380" t="s">
        <v>896</v>
      </c>
      <c r="D380">
        <v>381</v>
      </c>
      <c r="E380">
        <v>379.81</v>
      </c>
      <c r="F380">
        <v>332</v>
      </c>
      <c r="G380">
        <v>1.144006024096386</v>
      </c>
      <c r="H380">
        <v>0.006003001500750374</v>
      </c>
      <c r="I380">
        <v>-0.02654845727057842</v>
      </c>
      <c r="J380">
        <v>0.15</v>
      </c>
      <c r="K380">
        <v>0.1253382449104943</v>
      </c>
      <c r="L380" t="s">
        <v>589</v>
      </c>
      <c r="M380" t="s">
        <v>648</v>
      </c>
      <c r="N380">
        <v>30.87886178861789</v>
      </c>
      <c r="O380">
        <v>12.3</v>
      </c>
      <c r="P380">
        <v>2.28</v>
      </c>
      <c r="Q380">
        <v>0.1853658536585366</v>
      </c>
      <c r="R380">
        <v>12</v>
      </c>
      <c r="S380">
        <v>0.150205838342262</v>
      </c>
      <c r="T380" t="s">
        <v>919</v>
      </c>
      <c r="U380">
        <v>0.156499000041411</v>
      </c>
      <c r="V380" t="s">
        <v>988</v>
      </c>
      <c r="W380" t="s">
        <v>994</v>
      </c>
      <c r="X380">
        <v>357130.452946</v>
      </c>
      <c r="Y380" s="2">
        <v>45045</v>
      </c>
      <c r="Z380" t="s">
        <v>1003</v>
      </c>
    </row>
    <row r="381" spans="1:26">
      <c r="A381" s="1" t="s">
        <v>405</v>
      </c>
      <c r="B381">
        <f>HYPERLINK("https://www.suredividend.com/sure-analysis-SNY/","Sanofi")</f>
        <v>0</v>
      </c>
      <c r="C381" t="s">
        <v>896</v>
      </c>
      <c r="D381">
        <v>54</v>
      </c>
      <c r="E381">
        <v>53.3</v>
      </c>
      <c r="F381">
        <v>70</v>
      </c>
      <c r="G381">
        <v>0.7614285714285713</v>
      </c>
      <c r="H381">
        <v>0.03564727954971857</v>
      </c>
      <c r="I381">
        <v>0.05602491861136283</v>
      </c>
      <c r="J381">
        <v>0.04</v>
      </c>
      <c r="K381">
        <v>0.1245671092267422</v>
      </c>
      <c r="L381" t="s">
        <v>589</v>
      </c>
      <c r="M381" t="s">
        <v>589</v>
      </c>
      <c r="N381">
        <v>12.11363636363636</v>
      </c>
      <c r="O381">
        <v>4.4</v>
      </c>
      <c r="P381">
        <v>1.9</v>
      </c>
      <c r="Q381">
        <v>0.4318181818181818</v>
      </c>
      <c r="R381">
        <v>27</v>
      </c>
      <c r="S381">
        <v>0.03985234558237916</v>
      </c>
      <c r="T381" t="s">
        <v>934</v>
      </c>
      <c r="U381">
        <v>-0.002246349681767</v>
      </c>
      <c r="V381" t="s">
        <v>988</v>
      </c>
      <c r="W381" t="s">
        <v>996</v>
      </c>
      <c r="X381">
        <v>134568.898906</v>
      </c>
      <c r="Y381" s="2">
        <v>45047</v>
      </c>
      <c r="Z381" t="s">
        <v>1003</v>
      </c>
    </row>
    <row r="382" spans="1:26">
      <c r="A382" s="1" t="s">
        <v>406</v>
      </c>
      <c r="B382">
        <f>HYPERLINK("https://www.suredividend.com/sure-analysis-TRN/","Trinity Industries, Inc.")</f>
        <v>0</v>
      </c>
      <c r="C382" t="s">
        <v>896</v>
      </c>
      <c r="D382">
        <v>22</v>
      </c>
      <c r="E382">
        <v>23.49</v>
      </c>
      <c r="F382">
        <v>24</v>
      </c>
      <c r="G382">
        <v>0.9787499999999999</v>
      </c>
      <c r="H382">
        <v>0.04427415921668796</v>
      </c>
      <c r="I382">
        <v>0.004305046538096269</v>
      </c>
      <c r="J382">
        <v>0.08</v>
      </c>
      <c r="K382">
        <v>0.1244958850706459</v>
      </c>
      <c r="L382" t="s">
        <v>589</v>
      </c>
      <c r="M382" t="s">
        <v>900</v>
      </c>
      <c r="N382">
        <v>14.68125</v>
      </c>
      <c r="O382">
        <v>1.6</v>
      </c>
      <c r="P382">
        <v>1.04</v>
      </c>
      <c r="Q382">
        <v>0.65</v>
      </c>
      <c r="R382">
        <v>13</v>
      </c>
      <c r="S382">
        <v>0.09935163429189564</v>
      </c>
      <c r="T382" t="s">
        <v>911</v>
      </c>
      <c r="U382">
        <v>-0.001564173623272</v>
      </c>
      <c r="V382" t="s">
        <v>988</v>
      </c>
      <c r="W382" t="s">
        <v>993</v>
      </c>
      <c r="X382">
        <v>1906.18644</v>
      </c>
      <c r="Y382" s="2">
        <v>45080</v>
      </c>
      <c r="Z382" t="s">
        <v>1005</v>
      </c>
    </row>
    <row r="383" spans="1:26">
      <c r="A383" s="1" t="s">
        <v>407</v>
      </c>
      <c r="B383">
        <f>HYPERLINK("https://www.suredividend.com/sure-analysis-KKR/","KKR &amp; Co. Inc")</f>
        <v>0</v>
      </c>
      <c r="C383" t="s">
        <v>896</v>
      </c>
      <c r="D383">
        <v>49</v>
      </c>
      <c r="E383">
        <v>53.59</v>
      </c>
      <c r="F383">
        <v>63</v>
      </c>
      <c r="G383">
        <v>0.8506349206349207</v>
      </c>
      <c r="H383">
        <v>0.01231573054674379</v>
      </c>
      <c r="I383">
        <v>0.03288354453276421</v>
      </c>
      <c r="J383">
        <v>0.08</v>
      </c>
      <c r="K383">
        <v>0.1238418196047135</v>
      </c>
      <c r="L383" t="s">
        <v>589</v>
      </c>
      <c r="M383" t="s">
        <v>648</v>
      </c>
      <c r="N383">
        <v>12.729216152019</v>
      </c>
      <c r="O383">
        <v>4.21</v>
      </c>
      <c r="P383">
        <v>0.66</v>
      </c>
      <c r="Q383">
        <v>0.156769596199525</v>
      </c>
      <c r="R383">
        <v>4</v>
      </c>
      <c r="S383">
        <v>0.02036554426441151</v>
      </c>
      <c r="T383" t="s">
        <v>929</v>
      </c>
      <c r="U383">
        <v>0.119480931849326</v>
      </c>
      <c r="V383" t="s">
        <v>988</v>
      </c>
      <c r="W383" t="s">
        <v>994</v>
      </c>
      <c r="X383">
        <v>46078.474264</v>
      </c>
      <c r="Y383" s="2">
        <v>45057</v>
      </c>
      <c r="Z383" t="s">
        <v>1015</v>
      </c>
    </row>
    <row r="384" spans="1:26">
      <c r="A384" s="1" t="s">
        <v>408</v>
      </c>
      <c r="B384">
        <f>HYPERLINK("https://www.suredividend.com/sure-analysis-MMP/","Magellan Midstream Partners L.P.")</f>
        <v>0</v>
      </c>
      <c r="C384" t="s">
        <v>896</v>
      </c>
      <c r="D384">
        <v>55</v>
      </c>
      <c r="E384">
        <v>59.48</v>
      </c>
      <c r="F384">
        <v>72</v>
      </c>
      <c r="G384">
        <v>0.826111111111111</v>
      </c>
      <c r="H384">
        <v>0.07044384667114997</v>
      </c>
      <c r="I384">
        <v>0.03894440186268588</v>
      </c>
      <c r="J384">
        <v>0.03</v>
      </c>
      <c r="K384">
        <v>0.1204687503380351</v>
      </c>
      <c r="L384" t="s">
        <v>589</v>
      </c>
      <c r="M384" t="s">
        <v>899</v>
      </c>
      <c r="N384">
        <v>9.913333333333332</v>
      </c>
      <c r="O384">
        <v>6</v>
      </c>
      <c r="P384">
        <v>4.19</v>
      </c>
      <c r="Q384">
        <v>0.6983333333333334</v>
      </c>
      <c r="R384">
        <v>22</v>
      </c>
      <c r="S384">
        <v>0.009828749370162759</v>
      </c>
      <c r="T384" t="s">
        <v>907</v>
      </c>
      <c r="U384">
        <v>0.354058533209492</v>
      </c>
      <c r="V384" t="s">
        <v>990</v>
      </c>
      <c r="W384" t="s">
        <v>1002</v>
      </c>
      <c r="X384">
        <v>12020.646288</v>
      </c>
      <c r="Y384" s="2">
        <v>45058</v>
      </c>
      <c r="Z384" t="s">
        <v>1007</v>
      </c>
    </row>
    <row r="385" spans="1:26">
      <c r="A385" s="1" t="s">
        <v>409</v>
      </c>
      <c r="B385">
        <f>HYPERLINK("https://www.suredividend.com/sure-analysis-BTI/","British American Tobacco Plc")</f>
        <v>0</v>
      </c>
      <c r="C385" t="s">
        <v>896</v>
      </c>
      <c r="D385">
        <v>33</v>
      </c>
      <c r="E385">
        <v>33.15</v>
      </c>
      <c r="F385">
        <v>38</v>
      </c>
      <c r="G385">
        <v>0.8723684210526316</v>
      </c>
      <c r="H385">
        <v>0.08084464555052791</v>
      </c>
      <c r="I385">
        <v>0.02768498846491907</v>
      </c>
      <c r="J385">
        <v>0.03</v>
      </c>
      <c r="K385">
        <v>0.1202437797966527</v>
      </c>
      <c r="L385" t="s">
        <v>589</v>
      </c>
      <c r="M385" t="s">
        <v>899</v>
      </c>
      <c r="N385">
        <v>7.8</v>
      </c>
      <c r="O385">
        <v>4.25</v>
      </c>
      <c r="P385">
        <v>2.68</v>
      </c>
      <c r="Q385">
        <v>0.6305882352941177</v>
      </c>
      <c r="R385">
        <v>0</v>
      </c>
      <c r="S385">
        <v>0.02485297676488085</v>
      </c>
      <c r="T385" t="s">
        <v>973</v>
      </c>
      <c r="U385">
        <v>-0.186055647767116</v>
      </c>
      <c r="V385" t="s">
        <v>988</v>
      </c>
      <c r="W385" t="s">
        <v>997</v>
      </c>
      <c r="X385">
        <v>74134.902321</v>
      </c>
      <c r="Y385" s="2">
        <v>45099</v>
      </c>
      <c r="Z385" t="s">
        <v>1008</v>
      </c>
    </row>
    <row r="386" spans="1:26">
      <c r="A386" s="1" t="s">
        <v>410</v>
      </c>
      <c r="B386">
        <f>HYPERLINK("https://www.suredividend.com/sure-analysis-IFF/","International Flavors &amp; Fragrances Inc.")</f>
        <v>0</v>
      </c>
      <c r="C386" t="s">
        <v>897</v>
      </c>
      <c r="D386">
        <v>84</v>
      </c>
      <c r="E386">
        <v>75.28</v>
      </c>
      <c r="F386">
        <v>94</v>
      </c>
      <c r="G386">
        <v>0.8008510638297872</v>
      </c>
      <c r="H386">
        <v>0.04303931987247609</v>
      </c>
      <c r="I386">
        <v>0.04541721798630793</v>
      </c>
      <c r="J386">
        <v>0.04</v>
      </c>
      <c r="K386">
        <v>0.1172902114647676</v>
      </c>
      <c r="L386" t="s">
        <v>589</v>
      </c>
      <c r="M386" t="s">
        <v>900</v>
      </c>
      <c r="N386">
        <v>16.01702127659575</v>
      </c>
      <c r="O386">
        <v>4.7</v>
      </c>
      <c r="P386">
        <v>3.24</v>
      </c>
      <c r="Q386">
        <v>0.6893617021276596</v>
      </c>
      <c r="R386">
        <v>20</v>
      </c>
      <c r="S386">
        <v>0.01028027494046713</v>
      </c>
      <c r="T386" t="s">
        <v>940</v>
      </c>
      <c r="U386">
        <v>-0.357063124478489</v>
      </c>
      <c r="V386" t="s">
        <v>988</v>
      </c>
      <c r="W386" t="s">
        <v>992</v>
      </c>
      <c r="X386">
        <v>19203.27743</v>
      </c>
      <c r="Y386" s="2">
        <v>45068</v>
      </c>
      <c r="Z386" t="s">
        <v>1016</v>
      </c>
    </row>
    <row r="387" spans="1:26">
      <c r="A387" s="1" t="s">
        <v>411</v>
      </c>
      <c r="B387">
        <f>HYPERLINK("https://www.suredividend.com/sure-analysis-O/","Realty Income Corp.")</f>
        <v>0</v>
      </c>
      <c r="C387" t="s">
        <v>896</v>
      </c>
      <c r="D387">
        <v>62</v>
      </c>
      <c r="E387">
        <v>58.76</v>
      </c>
      <c r="F387">
        <v>70</v>
      </c>
      <c r="G387">
        <v>0.8394285714285714</v>
      </c>
      <c r="H387">
        <v>0.05224642614023145</v>
      </c>
      <c r="I387">
        <v>0.03562672840783399</v>
      </c>
      <c r="J387">
        <v>0.04</v>
      </c>
      <c r="K387">
        <v>0.1163941938363418</v>
      </c>
      <c r="L387" t="s">
        <v>589</v>
      </c>
      <c r="M387" t="s">
        <v>900</v>
      </c>
      <c r="N387">
        <v>15.06666666666667</v>
      </c>
      <c r="O387">
        <v>3.9</v>
      </c>
      <c r="P387">
        <v>3.07</v>
      </c>
      <c r="Q387">
        <v>0.7871794871794872</v>
      </c>
      <c r="R387">
        <v>26</v>
      </c>
      <c r="S387">
        <v>0.02889955007209632</v>
      </c>
      <c r="T387" t="s">
        <v>912</v>
      </c>
      <c r="U387">
        <v>-0.110030034214468</v>
      </c>
      <c r="V387" t="s">
        <v>989</v>
      </c>
      <c r="W387" t="s">
        <v>1001</v>
      </c>
      <c r="X387">
        <v>39558.553571</v>
      </c>
      <c r="Y387" s="2">
        <v>45067</v>
      </c>
      <c r="Z387" t="s">
        <v>1013</v>
      </c>
    </row>
    <row r="388" spans="1:26">
      <c r="A388" s="1" t="s">
        <v>412</v>
      </c>
      <c r="B388">
        <f>HYPERLINK("https://www.suredividend.com/sure-analysis-AMT/","American Tower Corp.")</f>
        <v>0</v>
      </c>
      <c r="C388" t="s">
        <v>896</v>
      </c>
      <c r="D388">
        <v>200</v>
      </c>
      <c r="E388">
        <v>186.03</v>
      </c>
      <c r="F388">
        <v>213</v>
      </c>
      <c r="G388">
        <v>0.8733802816901408</v>
      </c>
      <c r="H388">
        <v>0.03375799602214696</v>
      </c>
      <c r="I388">
        <v>0.0274467517550061</v>
      </c>
      <c r="J388">
        <v>0.06</v>
      </c>
      <c r="K388">
        <v>0.1162638274986094</v>
      </c>
      <c r="L388" t="s">
        <v>589</v>
      </c>
      <c r="M388" t="s">
        <v>900</v>
      </c>
      <c r="N388">
        <v>19.17835051546392</v>
      </c>
      <c r="O388">
        <v>9.699999999999999</v>
      </c>
      <c r="P388">
        <v>6.28</v>
      </c>
      <c r="Q388">
        <v>0.6474226804123712</v>
      </c>
      <c r="R388">
        <v>11</v>
      </c>
      <c r="S388">
        <v>0.05863285017482744</v>
      </c>
      <c r="T388" t="s">
        <v>902</v>
      </c>
      <c r="U388">
        <v>-0.243133782589438</v>
      </c>
      <c r="V388" t="s">
        <v>989</v>
      </c>
      <c r="W388" t="s">
        <v>1001</v>
      </c>
      <c r="X388">
        <v>86884.440115</v>
      </c>
      <c r="Y388" s="2">
        <v>45043</v>
      </c>
      <c r="Z388" t="s">
        <v>1007</v>
      </c>
    </row>
    <row r="389" spans="1:26">
      <c r="A389" s="1" t="s">
        <v>413</v>
      </c>
      <c r="B389">
        <f>HYPERLINK("https://www.suredividend.com/sure-analysis-ALE/","Allete, Inc.")</f>
        <v>0</v>
      </c>
      <c r="C389" t="s">
        <v>897</v>
      </c>
      <c r="D389">
        <v>62</v>
      </c>
      <c r="E389">
        <v>58.23</v>
      </c>
      <c r="F389">
        <v>67</v>
      </c>
      <c r="G389">
        <v>0.8691044776119402</v>
      </c>
      <c r="H389">
        <v>0.04653958440666323</v>
      </c>
      <c r="I389">
        <v>0.02845573081329689</v>
      </c>
      <c r="J389">
        <v>0.05</v>
      </c>
      <c r="K389">
        <v>0.1149437203754491</v>
      </c>
      <c r="L389" t="s">
        <v>589</v>
      </c>
      <c r="M389" t="s">
        <v>900</v>
      </c>
      <c r="N389">
        <v>15.73783783783784</v>
      </c>
      <c r="O389">
        <v>3.7</v>
      </c>
      <c r="P389">
        <v>2.71</v>
      </c>
      <c r="Q389">
        <v>0.7324324324324324</v>
      </c>
      <c r="R389">
        <v>12</v>
      </c>
      <c r="S389">
        <v>0.02989291725384313</v>
      </c>
      <c r="T389" t="s">
        <v>931</v>
      </c>
      <c r="U389">
        <v>0.07530201439789601</v>
      </c>
      <c r="V389" t="s">
        <v>988</v>
      </c>
      <c r="W389" t="s">
        <v>999</v>
      </c>
      <c r="X389">
        <v>3393.689538</v>
      </c>
      <c r="Y389" s="2">
        <v>45064</v>
      </c>
      <c r="Z389" t="s">
        <v>1010</v>
      </c>
    </row>
    <row r="390" spans="1:26">
      <c r="A390" s="1" t="s">
        <v>414</v>
      </c>
      <c r="B390">
        <f>HYPERLINK("https://www.suredividend.com/sure-analysis-SKM/","SK Telecom Co Ltd")</f>
        <v>0</v>
      </c>
      <c r="C390" t="s">
        <v>896</v>
      </c>
      <c r="D390">
        <v>20</v>
      </c>
      <c r="E390">
        <v>19.77</v>
      </c>
      <c r="F390">
        <v>21</v>
      </c>
      <c r="G390">
        <v>0.9414285714285714</v>
      </c>
      <c r="H390">
        <v>0.0703085483055134</v>
      </c>
      <c r="I390">
        <v>0.01214451303102826</v>
      </c>
      <c r="J390">
        <v>0.05</v>
      </c>
      <c r="K390">
        <v>0.1142780520852293</v>
      </c>
      <c r="L390" t="s">
        <v>589</v>
      </c>
      <c r="M390" t="s">
        <v>900</v>
      </c>
      <c r="N390">
        <v>9.787128712871286</v>
      </c>
      <c r="O390">
        <v>2.02</v>
      </c>
      <c r="P390">
        <v>1.39</v>
      </c>
      <c r="Q390">
        <v>0.6881188118811881</v>
      </c>
      <c r="R390">
        <v>0</v>
      </c>
      <c r="S390">
        <v>0.009874976669659308</v>
      </c>
      <c r="T390" t="s">
        <v>906</v>
      </c>
      <c r="U390">
        <v>-0.099435609873866</v>
      </c>
      <c r="V390" t="s">
        <v>988</v>
      </c>
      <c r="W390" t="s">
        <v>998</v>
      </c>
      <c r="X390">
        <v>7787.396258</v>
      </c>
      <c r="Y390" s="2">
        <v>45098</v>
      </c>
      <c r="Z390" t="s">
        <v>1010</v>
      </c>
    </row>
    <row r="391" spans="1:26">
      <c r="A391" s="1" t="s">
        <v>415</v>
      </c>
      <c r="B391">
        <f>HYPERLINK("https://www.suredividend.com/sure-analysis-R/","Ryder System, Inc.")</f>
        <v>0</v>
      </c>
      <c r="C391" t="s">
        <v>897</v>
      </c>
      <c r="D391">
        <v>77</v>
      </c>
      <c r="E391">
        <v>82.02</v>
      </c>
      <c r="F391">
        <v>140</v>
      </c>
      <c r="G391">
        <v>0.5858571428571429</v>
      </c>
      <c r="H391">
        <v>0.03023652767617654</v>
      </c>
      <c r="I391">
        <v>0.1128628737542581</v>
      </c>
      <c r="J391">
        <v>-0.02</v>
      </c>
      <c r="K391">
        <v>0.1128778162624182</v>
      </c>
      <c r="L391" t="s">
        <v>589</v>
      </c>
      <c r="M391" t="s">
        <v>589</v>
      </c>
      <c r="N391">
        <v>7.01025641025641</v>
      </c>
      <c r="O391">
        <v>11.7</v>
      </c>
      <c r="P391">
        <v>2.48</v>
      </c>
      <c r="Q391">
        <v>0.211965811965812</v>
      </c>
      <c r="R391">
        <v>18</v>
      </c>
      <c r="S391">
        <v>0.02747989306053134</v>
      </c>
      <c r="T391" t="s">
        <v>929</v>
      </c>
      <c r="U391">
        <v>0.186201191407634</v>
      </c>
      <c r="V391" t="s">
        <v>988</v>
      </c>
      <c r="W391" t="s">
        <v>993</v>
      </c>
      <c r="X391">
        <v>3813.292951</v>
      </c>
      <c r="Y391" s="2">
        <v>45043</v>
      </c>
      <c r="Z391" t="s">
        <v>1007</v>
      </c>
    </row>
    <row r="392" spans="1:26">
      <c r="A392" s="1" t="s">
        <v>416</v>
      </c>
      <c r="B392">
        <f>HYPERLINK("https://www.suredividend.com/sure-analysis-DLR/","Digital Realty Trust Inc")</f>
        <v>0</v>
      </c>
      <c r="C392" t="s">
        <v>896</v>
      </c>
      <c r="D392">
        <v>99</v>
      </c>
      <c r="E392">
        <v>104.15</v>
      </c>
      <c r="F392">
        <v>111</v>
      </c>
      <c r="G392">
        <v>0.9382882882882884</v>
      </c>
      <c r="H392">
        <v>0.04685549687950072</v>
      </c>
      <c r="I392">
        <v>0.01282110121232005</v>
      </c>
      <c r="J392">
        <v>0.06</v>
      </c>
      <c r="K392">
        <v>0.1127719321197789</v>
      </c>
      <c r="L392" t="s">
        <v>589</v>
      </c>
      <c r="M392" t="s">
        <v>900</v>
      </c>
      <c r="N392">
        <v>15.54477611940299</v>
      </c>
      <c r="O392">
        <v>6.7</v>
      </c>
      <c r="P392">
        <v>4.88</v>
      </c>
      <c r="Q392">
        <v>0.7283582089552239</v>
      </c>
      <c r="R392">
        <v>17</v>
      </c>
      <c r="S392">
        <v>0.05998244289972532</v>
      </c>
      <c r="T392" t="s">
        <v>916</v>
      </c>
      <c r="U392">
        <v>-0.2154786107757</v>
      </c>
      <c r="V392" t="s">
        <v>989</v>
      </c>
      <c r="W392" t="s">
        <v>1001</v>
      </c>
      <c r="X392">
        <v>30958.791009</v>
      </c>
      <c r="Y392" s="2">
        <v>45050</v>
      </c>
      <c r="Z392" t="s">
        <v>1010</v>
      </c>
    </row>
    <row r="393" spans="1:26">
      <c r="A393" s="1" t="s">
        <v>417</v>
      </c>
      <c r="B393">
        <f>HYPERLINK("https://www.suredividend.com/sure-analysis-KNOP/","KNOT Offshore Partners LP")</f>
        <v>0</v>
      </c>
      <c r="C393" t="s">
        <v>896</v>
      </c>
      <c r="D393">
        <v>4.7</v>
      </c>
      <c r="E393">
        <v>5.16</v>
      </c>
      <c r="F393">
        <v>6.75</v>
      </c>
      <c r="G393">
        <v>0.7644444444444445</v>
      </c>
      <c r="H393">
        <v>0.01937984496124031</v>
      </c>
      <c r="I393">
        <v>0.05519035831995422</v>
      </c>
      <c r="J393">
        <v>0</v>
      </c>
      <c r="K393">
        <v>0.1123643475028016</v>
      </c>
      <c r="L393" t="s">
        <v>589</v>
      </c>
      <c r="M393" t="s">
        <v>791</v>
      </c>
      <c r="N393">
        <v>3.822222222222222</v>
      </c>
      <c r="O393">
        <v>1.35</v>
      </c>
      <c r="P393">
        <v>0.1</v>
      </c>
      <c r="Q393">
        <v>0.07407407407407407</v>
      </c>
      <c r="R393">
        <v>0</v>
      </c>
      <c r="S393">
        <v>0.51190818528332</v>
      </c>
      <c r="T393" t="s">
        <v>968</v>
      </c>
      <c r="U393">
        <v>-0.66650940042785</v>
      </c>
      <c r="V393" t="s">
        <v>990</v>
      </c>
      <c r="W393" t="s">
        <v>993</v>
      </c>
      <c r="X393">
        <v>175.238481</v>
      </c>
      <c r="Y393" s="2">
        <v>45072</v>
      </c>
      <c r="Z393" t="s">
        <v>1012</v>
      </c>
    </row>
    <row r="394" spans="1:26">
      <c r="A394" s="1" t="s">
        <v>418</v>
      </c>
      <c r="B394">
        <f>HYPERLINK("https://www.suredividend.com/sure-analysis-HMN/","Horace Mann Educators Corp.")</f>
        <v>0</v>
      </c>
      <c r="C394" t="s">
        <v>897</v>
      </c>
      <c r="D394">
        <v>33.2</v>
      </c>
      <c r="E394">
        <v>29.07</v>
      </c>
      <c r="F394">
        <v>25.8</v>
      </c>
      <c r="G394">
        <v>1.126744186046511</v>
      </c>
      <c r="H394">
        <v>0.04540763673890609</v>
      </c>
      <c r="I394">
        <v>-0.02358389323652155</v>
      </c>
      <c r="J394">
        <v>0.1</v>
      </c>
      <c r="K394">
        <v>0.112094011419676</v>
      </c>
      <c r="L394" t="s">
        <v>589</v>
      </c>
      <c r="M394" t="s">
        <v>900</v>
      </c>
      <c r="N394">
        <v>13.52093023255814</v>
      </c>
      <c r="O394">
        <v>2.15</v>
      </c>
      <c r="P394">
        <v>1.32</v>
      </c>
      <c r="Q394">
        <v>0.6139534883720931</v>
      </c>
      <c r="R394">
        <v>13</v>
      </c>
      <c r="S394">
        <v>0.06042477819475911</v>
      </c>
      <c r="T394" t="s">
        <v>916</v>
      </c>
      <c r="U394">
        <v>-0.197265123420142</v>
      </c>
      <c r="V394" t="s">
        <v>988</v>
      </c>
      <c r="W394" t="s">
        <v>994</v>
      </c>
      <c r="X394">
        <v>1187.322842</v>
      </c>
      <c r="Y394" s="2">
        <v>45064</v>
      </c>
      <c r="Z394" t="s">
        <v>1005</v>
      </c>
    </row>
    <row r="395" spans="1:26">
      <c r="A395" s="1" t="s">
        <v>419</v>
      </c>
      <c r="B395">
        <f>HYPERLINK("https://www.suredividend.com/sure-analysis-CUBE/","CubeSmart")</f>
        <v>0</v>
      </c>
      <c r="C395" t="s">
        <v>896</v>
      </c>
      <c r="D395">
        <v>45</v>
      </c>
      <c r="E395">
        <v>43.38</v>
      </c>
      <c r="F395">
        <v>46</v>
      </c>
      <c r="G395">
        <v>0.9430434782608696</v>
      </c>
      <c r="H395">
        <v>0.04518211157215307</v>
      </c>
      <c r="I395">
        <v>0.01179762767819592</v>
      </c>
      <c r="J395">
        <v>0.06</v>
      </c>
      <c r="K395">
        <v>0.1115861047226587</v>
      </c>
      <c r="L395" t="s">
        <v>589</v>
      </c>
      <c r="M395" t="s">
        <v>900</v>
      </c>
      <c r="N395">
        <v>16.18656716417911</v>
      </c>
      <c r="O395">
        <v>2.68</v>
      </c>
      <c r="P395">
        <v>1.96</v>
      </c>
      <c r="Q395">
        <v>0.7313432835820894</v>
      </c>
      <c r="R395">
        <v>13</v>
      </c>
      <c r="S395">
        <v>0.07007772678130575</v>
      </c>
      <c r="T395" t="s">
        <v>924</v>
      </c>
      <c r="U395">
        <v>0.041334098290608</v>
      </c>
      <c r="V395" t="s">
        <v>989</v>
      </c>
      <c r="W395" t="s">
        <v>1001</v>
      </c>
      <c r="X395">
        <v>9746.507217</v>
      </c>
      <c r="Y395" s="2">
        <v>45048</v>
      </c>
      <c r="Z395" t="s">
        <v>1012</v>
      </c>
    </row>
    <row r="396" spans="1:26">
      <c r="A396" s="1" t="s">
        <v>420</v>
      </c>
      <c r="B396">
        <f>HYPERLINK("https://www.suredividend.com/sure-analysis-NSP/","Insperity Inc")</f>
        <v>0</v>
      </c>
      <c r="C396" t="s">
        <v>897</v>
      </c>
      <c r="D396">
        <v>123</v>
      </c>
      <c r="E396">
        <v>116.38</v>
      </c>
      <c r="F396">
        <v>132</v>
      </c>
      <c r="G396">
        <v>0.8816666666666666</v>
      </c>
      <c r="H396">
        <v>0.01787248668156041</v>
      </c>
      <c r="I396">
        <v>0.02550814880024932</v>
      </c>
      <c r="J396">
        <v>0.07000000000000001</v>
      </c>
      <c r="K396">
        <v>0.1112250938466379</v>
      </c>
      <c r="L396" t="s">
        <v>589</v>
      </c>
      <c r="M396" t="s">
        <v>791</v>
      </c>
      <c r="N396">
        <v>19.39666666666666</v>
      </c>
      <c r="O396">
        <v>6</v>
      </c>
      <c r="P396">
        <v>2.08</v>
      </c>
      <c r="Q396">
        <v>0.3466666666666667</v>
      </c>
      <c r="R396">
        <v>15</v>
      </c>
      <c r="S396">
        <v>0.04963065931551602</v>
      </c>
      <c r="T396" t="s">
        <v>951</v>
      </c>
      <c r="U396">
        <v>0.211944495066517</v>
      </c>
      <c r="V396" t="s">
        <v>988</v>
      </c>
      <c r="W396" t="s">
        <v>994</v>
      </c>
      <c r="X396">
        <v>4447.468683</v>
      </c>
      <c r="Y396" s="2">
        <v>45050</v>
      </c>
      <c r="Z396" t="s">
        <v>1010</v>
      </c>
    </row>
    <row r="397" spans="1:26">
      <c r="A397" s="1" t="s">
        <v>421</v>
      </c>
      <c r="B397">
        <f>HYPERLINK("https://www.suredividend.com/sure-analysis-POR/","Portland General Electric Co")</f>
        <v>0</v>
      </c>
      <c r="C397" t="s">
        <v>897</v>
      </c>
      <c r="D397">
        <v>51</v>
      </c>
      <c r="E397">
        <v>46.05</v>
      </c>
      <c r="F397">
        <v>51</v>
      </c>
      <c r="G397">
        <v>0.9029411764705881</v>
      </c>
      <c r="H397">
        <v>0.04125950054288816</v>
      </c>
      <c r="I397">
        <v>0.02062947980036989</v>
      </c>
      <c r="J397">
        <v>0.055</v>
      </c>
      <c r="K397">
        <v>0.1111529100453401</v>
      </c>
      <c r="L397" t="s">
        <v>589</v>
      </c>
      <c r="M397" t="s">
        <v>900</v>
      </c>
      <c r="N397">
        <v>17.18283582089552</v>
      </c>
      <c r="O397">
        <v>2.68</v>
      </c>
      <c r="P397">
        <v>1.9</v>
      </c>
      <c r="Q397">
        <v>0.708955223880597</v>
      </c>
      <c r="R397">
        <v>16</v>
      </c>
      <c r="S397">
        <v>0.059780741378197</v>
      </c>
      <c r="T397" t="s">
        <v>904</v>
      </c>
      <c r="U397">
        <v>0.018235368256263</v>
      </c>
      <c r="V397" t="s">
        <v>988</v>
      </c>
      <c r="W397" t="s">
        <v>999</v>
      </c>
      <c r="X397">
        <v>4449.395761</v>
      </c>
      <c r="Y397" s="2">
        <v>45050</v>
      </c>
      <c r="Z397" t="s">
        <v>1010</v>
      </c>
    </row>
    <row r="398" spans="1:26">
      <c r="A398" s="1" t="s">
        <v>422</v>
      </c>
      <c r="B398">
        <f>HYPERLINK("https://www.suredividend.com/sure-analysis-MPLX/","MPLX LP")</f>
        <v>0</v>
      </c>
      <c r="C398" t="s">
        <v>897</v>
      </c>
      <c r="D398">
        <v>34</v>
      </c>
      <c r="E398">
        <v>33.23</v>
      </c>
      <c r="F398">
        <v>36</v>
      </c>
      <c r="G398">
        <v>0.9230555555555555</v>
      </c>
      <c r="H398">
        <v>0.09328919650917847</v>
      </c>
      <c r="I398">
        <v>0.01614206914658634</v>
      </c>
      <c r="J398">
        <v>0.02</v>
      </c>
      <c r="K398">
        <v>0.1107912276347534</v>
      </c>
      <c r="L398" t="s">
        <v>589</v>
      </c>
      <c r="M398" t="s">
        <v>899</v>
      </c>
      <c r="N398">
        <v>6.515686274509804</v>
      </c>
      <c r="O398">
        <v>5.1</v>
      </c>
      <c r="P398">
        <v>3.1</v>
      </c>
      <c r="Q398">
        <v>0.607843137254902</v>
      </c>
      <c r="R398">
        <v>10</v>
      </c>
      <c r="S398">
        <v>0.01984197407544852</v>
      </c>
      <c r="T398" t="s">
        <v>948</v>
      </c>
      <c r="U398">
        <v>0.25998642566535</v>
      </c>
      <c r="V398" t="s">
        <v>990</v>
      </c>
      <c r="W398" t="s">
        <v>1002</v>
      </c>
      <c r="X398">
        <v>33268.841982</v>
      </c>
      <c r="Y398" s="2">
        <v>45057</v>
      </c>
      <c r="Z398" t="s">
        <v>1007</v>
      </c>
    </row>
    <row r="399" spans="1:26">
      <c r="A399" s="1" t="s">
        <v>423</v>
      </c>
      <c r="B399">
        <f>HYPERLINK("https://www.suredividend.com/sure-analysis-VNO/","Vornado Realty Trust")</f>
        <v>0</v>
      </c>
      <c r="C399" t="s">
        <v>897</v>
      </c>
      <c r="D399">
        <v>13.95</v>
      </c>
      <c r="E399">
        <v>14.53</v>
      </c>
      <c r="F399">
        <v>17.78</v>
      </c>
      <c r="G399">
        <v>0.8172103487064116</v>
      </c>
      <c r="H399">
        <v>0.02615278733654508</v>
      </c>
      <c r="I399">
        <v>0.04119776804696484</v>
      </c>
      <c r="J399">
        <v>0.03</v>
      </c>
      <c r="K399">
        <v>0.1098259613906338</v>
      </c>
      <c r="L399" t="s">
        <v>589</v>
      </c>
      <c r="M399" t="s">
        <v>791</v>
      </c>
      <c r="N399">
        <v>5.720472440944881</v>
      </c>
      <c r="O399">
        <v>2.54</v>
      </c>
      <c r="P399">
        <v>0.38</v>
      </c>
      <c r="Q399">
        <v>0.1496062992125984</v>
      </c>
      <c r="R399">
        <v>0</v>
      </c>
      <c r="S399">
        <v>0.2457309396155174</v>
      </c>
      <c r="T399" t="s">
        <v>974</v>
      </c>
      <c r="U399">
        <v>-0.4839410847537081</v>
      </c>
      <c r="V399" t="s">
        <v>989</v>
      </c>
      <c r="W399" t="s">
        <v>1001</v>
      </c>
      <c r="X399">
        <v>2788.025336</v>
      </c>
      <c r="Y399" s="2">
        <v>45050</v>
      </c>
      <c r="Z399" t="s">
        <v>1012</v>
      </c>
    </row>
    <row r="400" spans="1:26">
      <c r="A400" s="1" t="s">
        <v>424</v>
      </c>
      <c r="B400">
        <f>HYPERLINK("https://www.suredividend.com/sure-analysis-BC/","Brunswick Corp.")</f>
        <v>0</v>
      </c>
      <c r="C400" t="s">
        <v>896</v>
      </c>
      <c r="D400">
        <v>83</v>
      </c>
      <c r="E400">
        <v>80.73999999999999</v>
      </c>
      <c r="F400">
        <v>103</v>
      </c>
      <c r="G400">
        <v>0.783883495145631</v>
      </c>
      <c r="H400">
        <v>0.01981669556601437</v>
      </c>
      <c r="I400">
        <v>0.04990425527664133</v>
      </c>
      <c r="J400">
        <v>0.04</v>
      </c>
      <c r="K400">
        <v>0.1085237408155784</v>
      </c>
      <c r="L400" t="s">
        <v>589</v>
      </c>
      <c r="M400" t="s">
        <v>791</v>
      </c>
      <c r="N400">
        <v>7.877073170731707</v>
      </c>
      <c r="O400">
        <v>10.25</v>
      </c>
      <c r="P400">
        <v>1.6</v>
      </c>
      <c r="Q400">
        <v>0.1560975609756098</v>
      </c>
      <c r="R400">
        <v>11</v>
      </c>
      <c r="S400">
        <v>0.06961037572506878</v>
      </c>
      <c r="T400" t="s">
        <v>931</v>
      </c>
      <c r="U400">
        <v>0.218915687387528</v>
      </c>
      <c r="V400" t="s">
        <v>988</v>
      </c>
      <c r="W400" t="s">
        <v>995</v>
      </c>
      <c r="X400">
        <v>5708.318</v>
      </c>
      <c r="Y400" s="2">
        <v>45043</v>
      </c>
      <c r="Z400" t="s">
        <v>1012</v>
      </c>
    </row>
    <row r="401" spans="1:26">
      <c r="A401" s="1" t="s">
        <v>425</v>
      </c>
      <c r="B401">
        <f>HYPERLINK("https://www.suredividend.com/sure-analysis-BK/","Bank Of New York Mellon Corp")</f>
        <v>0</v>
      </c>
      <c r="C401" t="s">
        <v>897</v>
      </c>
      <c r="D401">
        <v>45</v>
      </c>
      <c r="E401">
        <v>42.84</v>
      </c>
      <c r="F401">
        <v>49</v>
      </c>
      <c r="G401">
        <v>0.8742857142857143</v>
      </c>
      <c r="H401">
        <v>0.03454715219421101</v>
      </c>
      <c r="I401">
        <v>0.02723385352873309</v>
      </c>
      <c r="J401">
        <v>0.05</v>
      </c>
      <c r="K401">
        <v>0.1067203677374171</v>
      </c>
      <c r="L401" t="s">
        <v>589</v>
      </c>
      <c r="M401" t="s">
        <v>589</v>
      </c>
      <c r="N401">
        <v>9.212903225806452</v>
      </c>
      <c r="O401">
        <v>4.65</v>
      </c>
      <c r="P401">
        <v>1.48</v>
      </c>
      <c r="Q401">
        <v>0.3182795698924731</v>
      </c>
      <c r="R401">
        <v>12</v>
      </c>
      <c r="S401">
        <v>0.0501226304546607</v>
      </c>
      <c r="T401" t="s">
        <v>928</v>
      </c>
      <c r="U401">
        <v>0.016514806378132</v>
      </c>
      <c r="V401" t="s">
        <v>988</v>
      </c>
      <c r="W401" t="s">
        <v>994</v>
      </c>
      <c r="X401">
        <v>33806.492506</v>
      </c>
      <c r="Y401" s="2">
        <v>45035</v>
      </c>
      <c r="Z401" t="s">
        <v>1004</v>
      </c>
    </row>
    <row r="402" spans="1:26">
      <c r="A402" s="1" t="s">
        <v>426</v>
      </c>
      <c r="B402">
        <f>HYPERLINK("https://www.suredividend.com/sure-analysis-SAN/","Banco Santander S.A.")</f>
        <v>0</v>
      </c>
      <c r="C402" t="s">
        <v>897</v>
      </c>
      <c r="D402">
        <v>3.47</v>
      </c>
      <c r="E402">
        <v>3.32</v>
      </c>
      <c r="F402">
        <v>4.42</v>
      </c>
      <c r="G402">
        <v>0.751131221719457</v>
      </c>
      <c r="H402">
        <v>0.03614457831325301</v>
      </c>
      <c r="I402">
        <v>0.05890460535456743</v>
      </c>
      <c r="J402">
        <v>0.02</v>
      </c>
      <c r="K402">
        <v>0.1066193043725172</v>
      </c>
      <c r="L402" t="s">
        <v>589</v>
      </c>
      <c r="M402" t="s">
        <v>589</v>
      </c>
      <c r="N402">
        <v>4.88235294117647</v>
      </c>
      <c r="O402">
        <v>0.68</v>
      </c>
      <c r="P402">
        <v>0.12</v>
      </c>
      <c r="Q402">
        <v>0.1764705882352941</v>
      </c>
      <c r="R402">
        <v>2</v>
      </c>
      <c r="S402">
        <v>0.01613736474159566</v>
      </c>
      <c r="T402" t="s">
        <v>928</v>
      </c>
      <c r="U402">
        <v>0.186222666857224</v>
      </c>
      <c r="V402" t="s">
        <v>988</v>
      </c>
      <c r="W402" t="s">
        <v>994</v>
      </c>
      <c r="X402">
        <v>54627.26344</v>
      </c>
      <c r="Y402" s="2">
        <v>45049</v>
      </c>
      <c r="Z402" t="s">
        <v>1004</v>
      </c>
    </row>
    <row r="403" spans="1:26">
      <c r="A403" s="1" t="s">
        <v>427</v>
      </c>
      <c r="B403">
        <f>HYPERLINK("https://www.suredividend.com/sure-analysis-NNN/","NNN REIT Inc")</f>
        <v>0</v>
      </c>
      <c r="C403" t="s">
        <v>897</v>
      </c>
      <c r="D403">
        <v>44.1</v>
      </c>
      <c r="E403">
        <v>41.25</v>
      </c>
      <c r="F403">
        <v>44.7</v>
      </c>
      <c r="G403">
        <v>0.9228187919463087</v>
      </c>
      <c r="H403">
        <v>0.05333333333333334</v>
      </c>
      <c r="I403">
        <v>0.01619420522775661</v>
      </c>
      <c r="J403">
        <v>0.046</v>
      </c>
      <c r="K403">
        <v>0.1065348040418017</v>
      </c>
      <c r="L403" t="s">
        <v>589</v>
      </c>
      <c r="M403" t="s">
        <v>899</v>
      </c>
      <c r="N403">
        <v>12.93103448275862</v>
      </c>
      <c r="O403">
        <v>3.19</v>
      </c>
      <c r="P403">
        <v>2.2</v>
      </c>
      <c r="Q403">
        <v>0.6896551724137931</v>
      </c>
      <c r="R403">
        <v>21</v>
      </c>
      <c r="S403">
        <v>0.04180926810264429</v>
      </c>
      <c r="T403" t="s">
        <v>928</v>
      </c>
      <c r="U403">
        <v>-0.00686646507059</v>
      </c>
      <c r="V403" t="s">
        <v>989</v>
      </c>
      <c r="W403" t="s">
        <v>1001</v>
      </c>
      <c r="X403">
        <v>7511.097</v>
      </c>
      <c r="Y403" s="2">
        <v>45063</v>
      </c>
      <c r="Z403" t="s">
        <v>1013</v>
      </c>
    </row>
    <row r="404" spans="1:26">
      <c r="A404" s="1" t="s">
        <v>428</v>
      </c>
      <c r="B404">
        <f>HYPERLINK("https://www.suredividend.com/sure-analysis-OKE/","Oneok Inc.")</f>
        <v>0</v>
      </c>
      <c r="C404" t="s">
        <v>896</v>
      </c>
      <c r="D404">
        <v>57</v>
      </c>
      <c r="E404">
        <v>57.69</v>
      </c>
      <c r="F404">
        <v>65</v>
      </c>
      <c r="G404">
        <v>0.8875384615384615</v>
      </c>
      <c r="H404">
        <v>0.06621598197261223</v>
      </c>
      <c r="I404">
        <v>0.02414762813365612</v>
      </c>
      <c r="J404">
        <v>0.03</v>
      </c>
      <c r="K404">
        <v>0.1063816796268335</v>
      </c>
      <c r="L404" t="s">
        <v>589</v>
      </c>
      <c r="M404" t="s">
        <v>900</v>
      </c>
      <c r="N404">
        <v>10.58532110091743</v>
      </c>
      <c r="O404">
        <v>5.45</v>
      </c>
      <c r="P404">
        <v>3.82</v>
      </c>
      <c r="Q404">
        <v>0.7009174311926605</v>
      </c>
      <c r="R404">
        <v>1</v>
      </c>
      <c r="S404">
        <v>0.02011660673025339</v>
      </c>
      <c r="T404" t="s">
        <v>917</v>
      </c>
      <c r="U404">
        <v>0.122491467975234</v>
      </c>
      <c r="V404" t="s">
        <v>988</v>
      </c>
      <c r="W404" t="s">
        <v>1002</v>
      </c>
      <c r="X404">
        <v>25817.908377</v>
      </c>
      <c r="Y404" s="2">
        <v>45064</v>
      </c>
      <c r="Z404" t="s">
        <v>1008</v>
      </c>
    </row>
    <row r="405" spans="1:26">
      <c r="A405" s="1" t="s">
        <v>429</v>
      </c>
      <c r="B405">
        <f>HYPERLINK("https://www.suredividend.com/sure-analysis-PSA/","Public Storage")</f>
        <v>0</v>
      </c>
      <c r="C405" t="s">
        <v>896</v>
      </c>
      <c r="D405">
        <v>288</v>
      </c>
      <c r="E405">
        <v>283.58</v>
      </c>
      <c r="F405">
        <v>330</v>
      </c>
      <c r="G405">
        <v>0.8593333333333333</v>
      </c>
      <c r="H405">
        <v>0.04231610127653573</v>
      </c>
      <c r="I405">
        <v>0.03078399905099305</v>
      </c>
      <c r="J405">
        <v>0.04</v>
      </c>
      <c r="K405">
        <v>0.1059014256321829</v>
      </c>
      <c r="L405" t="s">
        <v>589</v>
      </c>
      <c r="M405" t="s">
        <v>589</v>
      </c>
      <c r="N405">
        <v>17.20752427184466</v>
      </c>
      <c r="O405">
        <v>16.48</v>
      </c>
      <c r="P405">
        <v>12</v>
      </c>
      <c r="Q405">
        <v>0.7281553398058253</v>
      </c>
      <c r="R405">
        <v>1</v>
      </c>
      <c r="S405">
        <v>0.04000235313991807</v>
      </c>
      <c r="T405" t="s">
        <v>932</v>
      </c>
      <c r="U405">
        <v>-0.028827634199733</v>
      </c>
      <c r="V405" t="s">
        <v>989</v>
      </c>
      <c r="W405" t="s">
        <v>1001</v>
      </c>
      <c r="X405">
        <v>49856.783124</v>
      </c>
      <c r="Y405" s="2">
        <v>45064</v>
      </c>
      <c r="Z405" t="s">
        <v>1003</v>
      </c>
    </row>
    <row r="406" spans="1:26">
      <c r="A406" s="1" t="s">
        <v>430</v>
      </c>
      <c r="B406">
        <f>HYPERLINK("https://www.suredividend.com/sure-analysis-ILPT/","Industrial Logistics Properties Trust")</f>
        <v>0</v>
      </c>
      <c r="C406" t="s">
        <v>896</v>
      </c>
      <c r="D406">
        <v>2.22</v>
      </c>
      <c r="E406">
        <v>2.86</v>
      </c>
      <c r="F406">
        <v>2.94</v>
      </c>
      <c r="G406">
        <v>0.9727891156462585</v>
      </c>
      <c r="H406">
        <v>0.01398601398601399</v>
      </c>
      <c r="I406">
        <v>0.00553284124541098</v>
      </c>
      <c r="J406">
        <v>0.06</v>
      </c>
      <c r="K406">
        <v>0.1053087170906466</v>
      </c>
      <c r="L406" t="s">
        <v>589</v>
      </c>
      <c r="M406" t="s">
        <v>791</v>
      </c>
      <c r="N406">
        <v>6.809523809523809</v>
      </c>
      <c r="O406">
        <v>0.42</v>
      </c>
      <c r="P406">
        <v>0.04</v>
      </c>
      <c r="Q406">
        <v>0.09523809523809525</v>
      </c>
      <c r="R406">
        <v>0</v>
      </c>
      <c r="S406">
        <v>0.4962778697388448</v>
      </c>
      <c r="T406" t="s">
        <v>944</v>
      </c>
      <c r="U406">
        <v>-0.7982377549364731</v>
      </c>
      <c r="V406" t="s">
        <v>989</v>
      </c>
      <c r="W406" t="s">
        <v>1001</v>
      </c>
      <c r="X406">
        <v>187.518671</v>
      </c>
      <c r="Y406" s="2">
        <v>45042</v>
      </c>
      <c r="Z406" t="s">
        <v>1012</v>
      </c>
    </row>
    <row r="407" spans="1:26">
      <c r="A407" s="1" t="s">
        <v>431</v>
      </c>
      <c r="B407">
        <f>HYPERLINK("https://www.suredividend.com/sure-analysis-WU/","Western Union Company")</f>
        <v>0</v>
      </c>
      <c r="C407" t="s">
        <v>897</v>
      </c>
      <c r="D407">
        <v>12</v>
      </c>
      <c r="E407">
        <v>11.35</v>
      </c>
      <c r="F407">
        <v>14</v>
      </c>
      <c r="G407">
        <v>0.8107142857142857</v>
      </c>
      <c r="H407">
        <v>0.08281938325991189</v>
      </c>
      <c r="I407">
        <v>0.04286102024739691</v>
      </c>
      <c r="J407">
        <v>0</v>
      </c>
      <c r="K407">
        <v>0.1050174823619792</v>
      </c>
      <c r="L407" t="s">
        <v>589</v>
      </c>
      <c r="M407" t="s">
        <v>899</v>
      </c>
      <c r="N407">
        <v>7.093749999999999</v>
      </c>
      <c r="O407">
        <v>1.6</v>
      </c>
      <c r="P407">
        <v>0.9399999999999999</v>
      </c>
      <c r="Q407">
        <v>0.5874999999999999</v>
      </c>
      <c r="R407">
        <v>0</v>
      </c>
      <c r="S407">
        <v>0</v>
      </c>
      <c r="T407" t="s">
        <v>902</v>
      </c>
      <c r="U407">
        <v>-0.266445199901761</v>
      </c>
      <c r="V407" t="s">
        <v>988</v>
      </c>
      <c r="W407" t="s">
        <v>1000</v>
      </c>
      <c r="X407">
        <v>4250.211936</v>
      </c>
      <c r="Y407" s="2">
        <v>45064</v>
      </c>
      <c r="Z407" t="s">
        <v>1016</v>
      </c>
    </row>
    <row r="408" spans="1:26">
      <c r="A408" s="1" t="s">
        <v>432</v>
      </c>
      <c r="B408">
        <f>HYPERLINK("https://www.suredividend.com/sure-analysis-ERF/","Enerplus Corporation")</f>
        <v>0</v>
      </c>
      <c r="C408" t="s">
        <v>897</v>
      </c>
      <c r="D408">
        <v>15</v>
      </c>
      <c r="E408">
        <v>13.89</v>
      </c>
      <c r="F408">
        <v>14</v>
      </c>
      <c r="G408">
        <v>0.9921428571428572</v>
      </c>
      <c r="H408">
        <v>0.01583873290136789</v>
      </c>
      <c r="I408">
        <v>0.001578879689914547</v>
      </c>
      <c r="J408">
        <v>0.09</v>
      </c>
      <c r="K408">
        <v>0.1040674809711088</v>
      </c>
      <c r="L408" t="s">
        <v>589</v>
      </c>
      <c r="M408" t="s">
        <v>791</v>
      </c>
      <c r="N408">
        <v>2.525454545454545</v>
      </c>
      <c r="O408">
        <v>5.5</v>
      </c>
      <c r="P408">
        <v>0.22</v>
      </c>
      <c r="Q408">
        <v>0.04</v>
      </c>
      <c r="R408">
        <v>3</v>
      </c>
      <c r="S408">
        <v>0.04180926810264429</v>
      </c>
      <c r="T408" t="s">
        <v>934</v>
      </c>
      <c r="U408">
        <v>0.08279609289127601</v>
      </c>
      <c r="V408" t="s">
        <v>988</v>
      </c>
      <c r="W408" t="s">
        <v>1002</v>
      </c>
      <c r="X408">
        <v>2969.056825</v>
      </c>
      <c r="Y408" s="2">
        <v>45069</v>
      </c>
      <c r="Z408" t="s">
        <v>1011</v>
      </c>
    </row>
    <row r="409" spans="1:26">
      <c r="A409" s="1" t="s">
        <v>433</v>
      </c>
      <c r="B409">
        <f>HYPERLINK("https://www.suredividend.com/sure-analysis-RGA/","Reinsurance Group Of America, Inc.")</f>
        <v>0</v>
      </c>
      <c r="C409" t="s">
        <v>897</v>
      </c>
      <c r="D409">
        <v>149</v>
      </c>
      <c r="E409">
        <v>139.41</v>
      </c>
      <c r="F409">
        <v>199</v>
      </c>
      <c r="G409">
        <v>0.7005527638190955</v>
      </c>
      <c r="H409">
        <v>0.02295387705329604</v>
      </c>
      <c r="I409">
        <v>0.07377139390402276</v>
      </c>
      <c r="J409">
        <v>0.01</v>
      </c>
      <c r="K409">
        <v>0.10310269471921</v>
      </c>
      <c r="L409" t="s">
        <v>589</v>
      </c>
      <c r="M409" t="s">
        <v>791</v>
      </c>
      <c r="N409">
        <v>8.058381502890173</v>
      </c>
      <c r="O409">
        <v>17.3</v>
      </c>
      <c r="P409">
        <v>3.2</v>
      </c>
      <c r="Q409">
        <v>0.1849710982658959</v>
      </c>
      <c r="R409">
        <v>13</v>
      </c>
      <c r="S409">
        <v>0.04978904632428516</v>
      </c>
      <c r="T409" t="s">
        <v>954</v>
      </c>
      <c r="U409">
        <v>0.210076418569608</v>
      </c>
      <c r="V409" t="s">
        <v>988</v>
      </c>
      <c r="W409" t="s">
        <v>994</v>
      </c>
      <c r="X409">
        <v>9276.64378</v>
      </c>
      <c r="Y409" s="2">
        <v>45063</v>
      </c>
      <c r="Z409" t="s">
        <v>1010</v>
      </c>
    </row>
    <row r="410" spans="1:26">
      <c r="A410" s="1" t="s">
        <v>434</v>
      </c>
      <c r="B410">
        <f>HYPERLINK("https://www.suredividend.com/sure-analysis-WFC/","Wells Fargo &amp; Co.")</f>
        <v>0</v>
      </c>
      <c r="C410" t="s">
        <v>896</v>
      </c>
      <c r="D410">
        <v>40</v>
      </c>
      <c r="E410">
        <v>40.61</v>
      </c>
      <c r="F410">
        <v>49</v>
      </c>
      <c r="G410">
        <v>0.8287755102040816</v>
      </c>
      <c r="H410">
        <v>0.02954937207584339</v>
      </c>
      <c r="I410">
        <v>0.03827552854918292</v>
      </c>
      <c r="J410">
        <v>0.03</v>
      </c>
      <c r="K410">
        <v>0.1023343987384071</v>
      </c>
      <c r="L410" t="s">
        <v>589</v>
      </c>
      <c r="M410" t="s">
        <v>791</v>
      </c>
      <c r="N410">
        <v>8.640425531914893</v>
      </c>
      <c r="O410">
        <v>4.7</v>
      </c>
      <c r="P410">
        <v>1.2</v>
      </c>
      <c r="Q410">
        <v>0.2553191489361702</v>
      </c>
      <c r="R410">
        <v>2</v>
      </c>
      <c r="S410">
        <v>0.1496540121887568</v>
      </c>
      <c r="T410" t="s">
        <v>948</v>
      </c>
      <c r="U410">
        <v>0.024025901979968</v>
      </c>
      <c r="V410" t="s">
        <v>988</v>
      </c>
      <c r="W410" t="s">
        <v>994</v>
      </c>
      <c r="X410">
        <v>152377.797107</v>
      </c>
      <c r="Y410" s="2">
        <v>45034</v>
      </c>
      <c r="Z410" t="s">
        <v>1004</v>
      </c>
    </row>
    <row r="411" spans="1:26">
      <c r="A411" s="1" t="s">
        <v>435</v>
      </c>
      <c r="B411">
        <f>HYPERLINK("https://www.suredividend.com/sure-analysis-PAYX/","Paychex Inc.")</f>
        <v>0</v>
      </c>
      <c r="C411" t="s">
        <v>896</v>
      </c>
      <c r="D411">
        <v>109</v>
      </c>
      <c r="E411">
        <v>108.38</v>
      </c>
      <c r="F411">
        <v>107</v>
      </c>
      <c r="G411">
        <v>1.012897196261682</v>
      </c>
      <c r="H411">
        <v>0.03284738881712494</v>
      </c>
      <c r="I411">
        <v>-0.002559665590277538</v>
      </c>
      <c r="J411">
        <v>0.08</v>
      </c>
      <c r="K411">
        <v>0.1023315788990331</v>
      </c>
      <c r="L411" t="s">
        <v>589</v>
      </c>
      <c r="M411" t="s">
        <v>791</v>
      </c>
      <c r="N411">
        <v>25.32242990654206</v>
      </c>
      <c r="O411">
        <v>4.28</v>
      </c>
      <c r="P411">
        <v>3.56</v>
      </c>
      <c r="Q411">
        <v>0.8317757009345794</v>
      </c>
      <c r="R411">
        <v>12</v>
      </c>
      <c r="S411">
        <v>0.02511127350873532</v>
      </c>
      <c r="T411" t="s">
        <v>910</v>
      </c>
      <c r="U411">
        <v>-0.08202564195950801</v>
      </c>
      <c r="V411" t="s">
        <v>988</v>
      </c>
      <c r="W411" t="s">
        <v>993</v>
      </c>
      <c r="X411">
        <v>39071.952414</v>
      </c>
      <c r="Y411" s="2">
        <v>45028</v>
      </c>
      <c r="Z411" t="s">
        <v>1003</v>
      </c>
    </row>
    <row r="412" spans="1:26">
      <c r="A412" s="1" t="s">
        <v>436</v>
      </c>
      <c r="B412">
        <f>HYPERLINK("https://www.suredividend.com/sure-analysis-MCHP/","Microchip Technology, Inc.")</f>
        <v>0</v>
      </c>
      <c r="C412" t="s">
        <v>896</v>
      </c>
      <c r="D412">
        <v>72</v>
      </c>
      <c r="E412">
        <v>81.97</v>
      </c>
      <c r="F412">
        <v>82</v>
      </c>
      <c r="G412">
        <v>0.9996341463414634</v>
      </c>
      <c r="H412">
        <v>0.01866536537757716</v>
      </c>
      <c r="I412">
        <v>7.318679788581584E-05</v>
      </c>
      <c r="J412">
        <v>0.08</v>
      </c>
      <c r="K412">
        <v>0.1023016884845014</v>
      </c>
      <c r="L412" t="s">
        <v>589</v>
      </c>
      <c r="M412" t="s">
        <v>791</v>
      </c>
      <c r="N412">
        <v>12.9904912836767</v>
      </c>
      <c r="O412">
        <v>6.31</v>
      </c>
      <c r="P412">
        <v>1.53</v>
      </c>
      <c r="Q412">
        <v>0.2424722662440571</v>
      </c>
      <c r="R412">
        <v>22</v>
      </c>
      <c r="S412">
        <v>0.1799818377457207</v>
      </c>
      <c r="T412" t="s">
        <v>929</v>
      </c>
      <c r="U412">
        <v>0.3841350464614801</v>
      </c>
      <c r="V412" t="s">
        <v>988</v>
      </c>
      <c r="W412" t="s">
        <v>1000</v>
      </c>
      <c r="X412">
        <v>44705.129349</v>
      </c>
      <c r="Y412" s="2">
        <v>45058</v>
      </c>
      <c r="Z412" t="s">
        <v>1012</v>
      </c>
    </row>
    <row r="413" spans="1:26">
      <c r="A413" s="1" t="s">
        <v>437</v>
      </c>
      <c r="B413">
        <f>HYPERLINK("https://www.suredividend.com/sure-analysis-RGCO/","RGC Resources, Inc.")</f>
        <v>0</v>
      </c>
      <c r="C413" t="s">
        <v>897</v>
      </c>
      <c r="D413">
        <v>24</v>
      </c>
      <c r="E413">
        <v>20.77</v>
      </c>
      <c r="F413">
        <v>18</v>
      </c>
      <c r="G413">
        <v>1.153888888888889</v>
      </c>
      <c r="H413">
        <v>0.0380356283100626</v>
      </c>
      <c r="I413">
        <v>-0.02822168935053115</v>
      </c>
      <c r="J413">
        <v>0.1</v>
      </c>
      <c r="K413">
        <v>0.1017516590924732</v>
      </c>
      <c r="L413" t="s">
        <v>589</v>
      </c>
      <c r="M413" t="s">
        <v>589</v>
      </c>
      <c r="N413">
        <v>23.07777777777778</v>
      </c>
      <c r="O413">
        <v>0.9</v>
      </c>
      <c r="P413">
        <v>0.79</v>
      </c>
      <c r="Q413">
        <v>0.8777777777777778</v>
      </c>
      <c r="R413">
        <v>18</v>
      </c>
      <c r="S413">
        <v>0.06056124915010019</v>
      </c>
      <c r="T413" t="s">
        <v>945</v>
      </c>
      <c r="U413">
        <v>0.151043254177173</v>
      </c>
      <c r="V413" t="s">
        <v>988</v>
      </c>
      <c r="W413" t="s">
        <v>999</v>
      </c>
      <c r="X413">
        <v>206.139093</v>
      </c>
      <c r="Y413" s="2">
        <v>45065</v>
      </c>
      <c r="Z413" t="s">
        <v>1005</v>
      </c>
    </row>
    <row r="414" spans="1:26">
      <c r="A414" s="1" t="s">
        <v>438</v>
      </c>
      <c r="B414">
        <f>HYPERLINK("https://www.suredividend.com/sure-analysis-WGO/","Winnebago Industries, Inc.")</f>
        <v>0</v>
      </c>
      <c r="C414" t="s">
        <v>896</v>
      </c>
      <c r="D414">
        <v>55</v>
      </c>
      <c r="E414">
        <v>60.84</v>
      </c>
      <c r="F414">
        <v>76</v>
      </c>
      <c r="G414">
        <v>0.8005263157894738</v>
      </c>
      <c r="H414">
        <v>0.01775147928994083</v>
      </c>
      <c r="I414">
        <v>0.04550202272296189</v>
      </c>
      <c r="J414">
        <v>0.04</v>
      </c>
      <c r="K414">
        <v>0.1016850924299564</v>
      </c>
      <c r="L414" t="s">
        <v>589</v>
      </c>
      <c r="M414" t="s">
        <v>791</v>
      </c>
      <c r="N414">
        <v>8.005263157894738</v>
      </c>
      <c r="O414">
        <v>7.6</v>
      </c>
      <c r="P414">
        <v>1.08</v>
      </c>
      <c r="Q414">
        <v>0.1421052631578948</v>
      </c>
      <c r="R414">
        <v>4</v>
      </c>
      <c r="S414">
        <v>0.05024607263868264</v>
      </c>
      <c r="T414" t="s">
        <v>932</v>
      </c>
      <c r="U414">
        <v>0.207943359289688</v>
      </c>
      <c r="V414" t="s">
        <v>988</v>
      </c>
      <c r="W414" t="s">
        <v>995</v>
      </c>
      <c r="X414">
        <v>1838.013026</v>
      </c>
      <c r="Y414" s="2">
        <v>45013</v>
      </c>
      <c r="Z414" t="s">
        <v>1014</v>
      </c>
    </row>
    <row r="415" spans="1:26">
      <c r="A415" s="1" t="s">
        <v>439</v>
      </c>
      <c r="B415">
        <f>HYPERLINK("https://www.suredividend.com/sure-analysis-IEX/","Idex Corporation")</f>
        <v>0</v>
      </c>
      <c r="C415" t="s">
        <v>897</v>
      </c>
      <c r="D415">
        <v>206</v>
      </c>
      <c r="E415">
        <v>203.04</v>
      </c>
      <c r="F415">
        <v>235</v>
      </c>
      <c r="G415">
        <v>0.864</v>
      </c>
      <c r="H415">
        <v>0.01182033096926714</v>
      </c>
      <c r="I415">
        <v>0.02966808427901979</v>
      </c>
      <c r="J415">
        <v>0.06</v>
      </c>
      <c r="K415">
        <v>0.1009409554978546</v>
      </c>
      <c r="L415" t="s">
        <v>589</v>
      </c>
      <c r="M415" t="s">
        <v>648</v>
      </c>
      <c r="N415">
        <v>24.17142857142857</v>
      </c>
      <c r="O415">
        <v>8.4</v>
      </c>
      <c r="P415">
        <v>2.4</v>
      </c>
      <c r="Q415">
        <v>0.2857142857142857</v>
      </c>
      <c r="R415">
        <v>14</v>
      </c>
      <c r="S415">
        <v>0.04978904632428516</v>
      </c>
      <c r="T415" t="s">
        <v>926</v>
      </c>
      <c r="U415">
        <v>0.107346148748918</v>
      </c>
      <c r="V415" t="s">
        <v>988</v>
      </c>
      <c r="W415" t="s">
        <v>993</v>
      </c>
      <c r="X415">
        <v>15345.025353</v>
      </c>
      <c r="Y415" s="2">
        <v>45046</v>
      </c>
      <c r="Z415" t="s">
        <v>1006</v>
      </c>
    </row>
    <row r="416" spans="1:26">
      <c r="A416" s="1" t="s">
        <v>440</v>
      </c>
      <c r="B416">
        <f>HYPERLINK("https://www.suredividend.com/sure-analysis-AON/","Aon plc.")</f>
        <v>0</v>
      </c>
      <c r="C416" t="s">
        <v>896</v>
      </c>
      <c r="D416">
        <v>325</v>
      </c>
      <c r="E416">
        <v>331.43</v>
      </c>
      <c r="F416">
        <v>307</v>
      </c>
      <c r="G416">
        <v>1.07957654723127</v>
      </c>
      <c r="H416">
        <v>0.007422381800078448</v>
      </c>
      <c r="I416">
        <v>-0.01519711606686713</v>
      </c>
      <c r="J416">
        <v>0.11</v>
      </c>
      <c r="K416">
        <v>0.1002305806411921</v>
      </c>
      <c r="L416" t="s">
        <v>589</v>
      </c>
      <c r="M416" t="s">
        <v>648</v>
      </c>
      <c r="N416">
        <v>22.70068493150685</v>
      </c>
      <c r="O416">
        <v>14.6</v>
      </c>
      <c r="P416">
        <v>2.46</v>
      </c>
      <c r="Q416">
        <v>0.1684931506849315</v>
      </c>
      <c r="R416">
        <v>12</v>
      </c>
      <c r="S416">
        <v>0.1102546427083722</v>
      </c>
      <c r="T416" t="s">
        <v>917</v>
      </c>
      <c r="U416">
        <v>0.228800111523722</v>
      </c>
      <c r="V416" t="s">
        <v>988</v>
      </c>
      <c r="W416" t="s">
        <v>994</v>
      </c>
      <c r="X416">
        <v>67693.091036</v>
      </c>
      <c r="Y416" s="2">
        <v>45048</v>
      </c>
      <c r="Z416" t="s">
        <v>1004</v>
      </c>
    </row>
    <row r="417" spans="1:26">
      <c r="A417" s="1" t="s">
        <v>441</v>
      </c>
      <c r="B417">
        <f>HYPERLINK("https://www.suredividend.com/sure-analysis-AVY/","Avery Dennison Corp.")</f>
        <v>0</v>
      </c>
      <c r="C417" t="s">
        <v>897</v>
      </c>
      <c r="D417">
        <v>169</v>
      </c>
      <c r="E417">
        <v>167.85</v>
      </c>
      <c r="F417">
        <v>162</v>
      </c>
      <c r="G417">
        <v>1.036111111111111</v>
      </c>
      <c r="H417">
        <v>0.0193029490616622</v>
      </c>
      <c r="I417">
        <v>-0.007069768411767874</v>
      </c>
      <c r="J417">
        <v>0.09</v>
      </c>
      <c r="K417">
        <v>0.09933756318008857</v>
      </c>
      <c r="L417" t="s">
        <v>589</v>
      </c>
      <c r="M417" t="s">
        <v>791</v>
      </c>
      <c r="N417">
        <v>18.65</v>
      </c>
      <c r="O417">
        <v>9</v>
      </c>
      <c r="P417">
        <v>3.24</v>
      </c>
      <c r="Q417">
        <v>0.36</v>
      </c>
      <c r="R417">
        <v>13</v>
      </c>
      <c r="S417">
        <v>0.0753954169487896</v>
      </c>
      <c r="T417" t="s">
        <v>920</v>
      </c>
      <c r="U417">
        <v>0.028350870743923</v>
      </c>
      <c r="V417" t="s">
        <v>988</v>
      </c>
      <c r="W417" t="s">
        <v>993</v>
      </c>
      <c r="X417">
        <v>13550.242805</v>
      </c>
      <c r="Y417" s="2">
        <v>45044</v>
      </c>
      <c r="Z417" t="s">
        <v>1007</v>
      </c>
    </row>
    <row r="418" spans="1:26">
      <c r="A418" s="1" t="s">
        <v>442</v>
      </c>
      <c r="B418">
        <f>HYPERLINK("https://www.suredividend.com/sure-analysis-CE/","Celanese Corp")</f>
        <v>0</v>
      </c>
      <c r="C418" t="s">
        <v>896</v>
      </c>
      <c r="D418">
        <v>108</v>
      </c>
      <c r="E418">
        <v>109.46</v>
      </c>
      <c r="F418">
        <v>102</v>
      </c>
      <c r="G418">
        <v>1.073137254901961</v>
      </c>
      <c r="H418">
        <v>0.02558012059199708</v>
      </c>
      <c r="I418">
        <v>-0.01401809303929824</v>
      </c>
      <c r="J418">
        <v>0.09</v>
      </c>
      <c r="K418">
        <v>0.09932332842804947</v>
      </c>
      <c r="L418" t="s">
        <v>589</v>
      </c>
      <c r="M418" t="s">
        <v>791</v>
      </c>
      <c r="N418">
        <v>9.678160919540229</v>
      </c>
      <c r="O418">
        <v>11.31</v>
      </c>
      <c r="P418">
        <v>2.8</v>
      </c>
      <c r="Q418">
        <v>0.2475685234305924</v>
      </c>
      <c r="R418">
        <v>12</v>
      </c>
      <c r="S418">
        <v>0.1000279045625294</v>
      </c>
      <c r="T418" t="s">
        <v>917</v>
      </c>
      <c r="U418">
        <v>-0.119505455832492</v>
      </c>
      <c r="V418" t="s">
        <v>988</v>
      </c>
      <c r="W418" t="s">
        <v>993</v>
      </c>
      <c r="X418">
        <v>11907.913354</v>
      </c>
      <c r="Y418" s="2">
        <v>45077</v>
      </c>
      <c r="Z418" t="s">
        <v>1010</v>
      </c>
    </row>
    <row r="419" spans="1:26">
      <c r="A419" s="1" t="s">
        <v>443</v>
      </c>
      <c r="B419">
        <f>HYPERLINK("https://www.suredividend.com/sure-analysis-BWA/","BorgWarner Inc")</f>
        <v>0</v>
      </c>
      <c r="C419" t="s">
        <v>897</v>
      </c>
      <c r="D419">
        <v>46</v>
      </c>
      <c r="E419">
        <v>45.23</v>
      </c>
      <c r="F419">
        <v>54</v>
      </c>
      <c r="G419">
        <v>0.8375925925925926</v>
      </c>
      <c r="H419">
        <v>0.01503426929029406</v>
      </c>
      <c r="I419">
        <v>0.03608034364884283</v>
      </c>
      <c r="J419">
        <v>0.05</v>
      </c>
      <c r="K419">
        <v>0.09841235788752933</v>
      </c>
      <c r="L419" t="s">
        <v>589</v>
      </c>
      <c r="M419" t="s">
        <v>791</v>
      </c>
      <c r="N419">
        <v>9.26844262295082</v>
      </c>
      <c r="O419">
        <v>4.88</v>
      </c>
      <c r="P419">
        <v>0.68</v>
      </c>
      <c r="Q419">
        <v>0.139344262295082</v>
      </c>
      <c r="R419">
        <v>0</v>
      </c>
      <c r="S419">
        <v>0</v>
      </c>
      <c r="T419" t="s">
        <v>912</v>
      </c>
      <c r="U419">
        <v>0.287170132416595</v>
      </c>
      <c r="V419" t="s">
        <v>988</v>
      </c>
      <c r="W419" t="s">
        <v>993</v>
      </c>
      <c r="X419">
        <v>10600.706756</v>
      </c>
      <c r="Y419" s="2">
        <v>45069</v>
      </c>
      <c r="Z419" t="s">
        <v>1003</v>
      </c>
    </row>
    <row r="420" spans="1:26">
      <c r="A420" s="1" t="s">
        <v>444</v>
      </c>
      <c r="B420">
        <f>HYPERLINK("https://www.suredividend.com/sure-analysis-SBUX/","Starbucks Corp.")</f>
        <v>0</v>
      </c>
      <c r="C420" t="s">
        <v>897</v>
      </c>
      <c r="D420">
        <v>107</v>
      </c>
      <c r="E420">
        <v>98.34</v>
      </c>
      <c r="F420">
        <v>78</v>
      </c>
      <c r="G420">
        <v>1.260769230769231</v>
      </c>
      <c r="H420">
        <v>0.02155786048403498</v>
      </c>
      <c r="I420">
        <v>-0.04528690436731986</v>
      </c>
      <c r="J420">
        <v>0.13</v>
      </c>
      <c r="K420">
        <v>0.0982975848950185</v>
      </c>
      <c r="L420" t="s">
        <v>589</v>
      </c>
      <c r="M420" t="s">
        <v>791</v>
      </c>
      <c r="N420">
        <v>28.92352941176471</v>
      </c>
      <c r="O420">
        <v>3.4</v>
      </c>
      <c r="P420">
        <v>2.12</v>
      </c>
      <c r="Q420">
        <v>0.6235294117647059</v>
      </c>
      <c r="R420">
        <v>12</v>
      </c>
      <c r="S420">
        <v>0.08034818492488416</v>
      </c>
      <c r="T420" t="s">
        <v>943</v>
      </c>
      <c r="U420">
        <v>0.300122952445167</v>
      </c>
      <c r="V420" t="s">
        <v>988</v>
      </c>
      <c r="W420" t="s">
        <v>995</v>
      </c>
      <c r="X420">
        <v>112736.976</v>
      </c>
      <c r="Y420" s="2">
        <v>45055</v>
      </c>
      <c r="Z420" t="s">
        <v>1007</v>
      </c>
    </row>
    <row r="421" spans="1:26">
      <c r="A421" s="1" t="s">
        <v>445</v>
      </c>
      <c r="B421">
        <f>HYPERLINK("https://www.suredividend.com/sure-analysis-WPC/","W. P. Carey Inc")</f>
        <v>0</v>
      </c>
      <c r="C421" t="s">
        <v>897</v>
      </c>
      <c r="D421">
        <v>69</v>
      </c>
      <c r="E421">
        <v>66.29000000000001</v>
      </c>
      <c r="F421">
        <v>70</v>
      </c>
      <c r="G421">
        <v>0.9470000000000001</v>
      </c>
      <c r="H421">
        <v>0.06456479106954291</v>
      </c>
      <c r="I421">
        <v>0.01095076258821859</v>
      </c>
      <c r="J421">
        <v>0.035</v>
      </c>
      <c r="K421">
        <v>0.09803715056583995</v>
      </c>
      <c r="L421" t="s">
        <v>589</v>
      </c>
      <c r="M421" t="s">
        <v>899</v>
      </c>
      <c r="N421">
        <v>12.39065420560748</v>
      </c>
      <c r="O421">
        <v>5.35</v>
      </c>
      <c r="P421">
        <v>4.28</v>
      </c>
      <c r="Q421">
        <v>0.8</v>
      </c>
      <c r="R421">
        <v>28</v>
      </c>
      <c r="S421">
        <v>0.01933145862628516</v>
      </c>
      <c r="T421" t="s">
        <v>906</v>
      </c>
      <c r="U421">
        <v>-0.184006578169929</v>
      </c>
      <c r="V421" t="s">
        <v>989</v>
      </c>
      <c r="W421" t="s">
        <v>1001</v>
      </c>
      <c r="X421">
        <v>14179.194676</v>
      </c>
      <c r="Y421" s="2">
        <v>45079</v>
      </c>
      <c r="Z421" t="s">
        <v>1008</v>
      </c>
    </row>
    <row r="422" spans="1:26">
      <c r="A422" s="1" t="s">
        <v>446</v>
      </c>
      <c r="B422">
        <f>HYPERLINK("https://www.suredividend.com/sure-analysis-GWLIF/","Great-West Lifeco Inc.")</f>
        <v>0</v>
      </c>
      <c r="C422" t="s">
        <v>897</v>
      </c>
      <c r="D422">
        <v>29</v>
      </c>
      <c r="E422">
        <v>28.26</v>
      </c>
      <c r="F422">
        <v>30</v>
      </c>
      <c r="G422">
        <v>0.9420000000000001</v>
      </c>
      <c r="H422">
        <v>0.05484784147204529</v>
      </c>
      <c r="I422">
        <v>0.01202168740845155</v>
      </c>
      <c r="J422">
        <v>0.04</v>
      </c>
      <c r="K422">
        <v>0.09743401681677466</v>
      </c>
      <c r="L422" t="s">
        <v>589</v>
      </c>
      <c r="M422" t="s">
        <v>899</v>
      </c>
      <c r="N422">
        <v>10.4280442804428</v>
      </c>
      <c r="O422">
        <v>2.71</v>
      </c>
      <c r="P422">
        <v>1.55</v>
      </c>
      <c r="Q422">
        <v>0.5719557195571956</v>
      </c>
      <c r="R422">
        <v>7</v>
      </c>
      <c r="S422">
        <v>0.03035803310185115</v>
      </c>
      <c r="T422" t="s">
        <v>934</v>
      </c>
      <c r="U422">
        <v>0.170671085335542</v>
      </c>
      <c r="V422" t="s">
        <v>988</v>
      </c>
      <c r="W422" t="s">
        <v>994</v>
      </c>
      <c r="X422">
        <v>26315.446865</v>
      </c>
      <c r="Y422" s="2">
        <v>45064</v>
      </c>
      <c r="Z422" t="s">
        <v>1010</v>
      </c>
    </row>
    <row r="423" spans="1:26">
      <c r="A423" s="1" t="s">
        <v>447</v>
      </c>
      <c r="B423">
        <f>HYPERLINK("https://www.suredividend.com/sure-analysis-WOR/","Worthington Industries, Inc.")</f>
        <v>0</v>
      </c>
      <c r="C423" t="s">
        <v>897</v>
      </c>
      <c r="D423">
        <v>63</v>
      </c>
      <c r="E423">
        <v>60.7</v>
      </c>
      <c r="F423">
        <v>44</v>
      </c>
      <c r="G423">
        <v>1.379545454545455</v>
      </c>
      <c r="H423">
        <v>0.02042833607907743</v>
      </c>
      <c r="I423">
        <v>-0.06232400694396278</v>
      </c>
      <c r="J423">
        <v>0.15</v>
      </c>
      <c r="K423">
        <v>0.09700050629395629</v>
      </c>
      <c r="L423" t="s">
        <v>589</v>
      </c>
      <c r="M423" t="s">
        <v>791</v>
      </c>
      <c r="N423">
        <v>16.53950953678474</v>
      </c>
      <c r="O423">
        <v>3.67</v>
      </c>
      <c r="P423">
        <v>1.24</v>
      </c>
      <c r="Q423">
        <v>0.337874659400545</v>
      </c>
      <c r="R423">
        <v>12</v>
      </c>
      <c r="S423">
        <v>0.08330315665984722</v>
      </c>
      <c r="T423" t="s">
        <v>916</v>
      </c>
      <c r="U423">
        <v>0.338260129548871</v>
      </c>
      <c r="V423" t="s">
        <v>988</v>
      </c>
      <c r="W423" t="s">
        <v>992</v>
      </c>
      <c r="X423">
        <v>3022.86</v>
      </c>
      <c r="Y423" s="2">
        <v>45013</v>
      </c>
      <c r="Z423" t="s">
        <v>1005</v>
      </c>
    </row>
    <row r="424" spans="1:26">
      <c r="A424" s="1" t="s">
        <v>448</v>
      </c>
      <c r="B424">
        <f>HYPERLINK("https://www.suredividend.com/sure-analysis-ACI/","Albertsons Companies Inc")</f>
        <v>0</v>
      </c>
      <c r="C424" t="s">
        <v>897</v>
      </c>
      <c r="D424">
        <v>21</v>
      </c>
      <c r="E424">
        <v>21.46</v>
      </c>
      <c r="F424">
        <v>27</v>
      </c>
      <c r="G424">
        <v>0.7948148148148149</v>
      </c>
      <c r="H424">
        <v>0.02236719478098788</v>
      </c>
      <c r="I424">
        <v>0.04700030768398267</v>
      </c>
      <c r="J424">
        <v>0.03</v>
      </c>
      <c r="K424">
        <v>0.09598554979590634</v>
      </c>
      <c r="L424" t="s">
        <v>589</v>
      </c>
      <c r="M424" t="s">
        <v>791</v>
      </c>
      <c r="N424">
        <v>9.537777777777778</v>
      </c>
      <c r="O424">
        <v>2.25</v>
      </c>
      <c r="P424">
        <v>0.48</v>
      </c>
      <c r="Q424">
        <v>0.2133333333333333</v>
      </c>
      <c r="R424">
        <v>1</v>
      </c>
      <c r="S424">
        <v>0.03131030647754507</v>
      </c>
      <c r="T424" t="s">
        <v>923</v>
      </c>
      <c r="U424">
        <v>-0.005048936199806</v>
      </c>
      <c r="V424" t="s">
        <v>988</v>
      </c>
      <c r="W424" t="s">
        <v>997</v>
      </c>
      <c r="X424">
        <v>12317.024663</v>
      </c>
      <c r="Y424" s="2">
        <v>45034</v>
      </c>
      <c r="Z424" t="s">
        <v>1009</v>
      </c>
    </row>
    <row r="425" spans="1:26">
      <c r="A425" s="1" t="s">
        <v>449</v>
      </c>
      <c r="B425">
        <f>HYPERLINK("https://www.suredividend.com/sure-analysis-CPB/","Campbell Soup Co.")</f>
        <v>0</v>
      </c>
      <c r="C425" t="s">
        <v>897</v>
      </c>
      <c r="D425">
        <v>46</v>
      </c>
      <c r="E425">
        <v>45.59</v>
      </c>
      <c r="F425">
        <v>50</v>
      </c>
      <c r="G425">
        <v>0.9118000000000001</v>
      </c>
      <c r="H425">
        <v>0.03246325948672954</v>
      </c>
      <c r="I425">
        <v>0.01863849033336296</v>
      </c>
      <c r="J425">
        <v>0.05</v>
      </c>
      <c r="K425">
        <v>0.0946602946751347</v>
      </c>
      <c r="L425" t="s">
        <v>589</v>
      </c>
      <c r="M425" t="s">
        <v>589</v>
      </c>
      <c r="N425">
        <v>15.14617940199336</v>
      </c>
      <c r="O425">
        <v>3.01</v>
      </c>
      <c r="P425">
        <v>1.48</v>
      </c>
      <c r="Q425">
        <v>0.4916943521594685</v>
      </c>
      <c r="R425">
        <v>0</v>
      </c>
      <c r="S425">
        <v>0.01949518223787505</v>
      </c>
      <c r="T425" t="s">
        <v>919</v>
      </c>
      <c r="U425">
        <v>-0.031351985314114</v>
      </c>
      <c r="V425" t="s">
        <v>988</v>
      </c>
      <c r="W425" t="s">
        <v>997</v>
      </c>
      <c r="X425">
        <v>13590.009493</v>
      </c>
      <c r="Y425" s="2">
        <v>45092</v>
      </c>
      <c r="Z425" t="s">
        <v>1010</v>
      </c>
    </row>
    <row r="426" spans="1:26">
      <c r="A426" s="1" t="s">
        <v>450</v>
      </c>
      <c r="B426">
        <f>HYPERLINK("https://www.suredividend.com/sure-analysis-HP/","Helmerich &amp; Payne, Inc.")</f>
        <v>0</v>
      </c>
      <c r="C426" t="s">
        <v>897</v>
      </c>
      <c r="D426">
        <v>34</v>
      </c>
      <c r="E426">
        <v>33.6</v>
      </c>
      <c r="F426">
        <v>72</v>
      </c>
      <c r="G426">
        <v>0.4666666666666667</v>
      </c>
      <c r="H426">
        <v>0.02976190476190476</v>
      </c>
      <c r="I426">
        <v>0.1646586157796568</v>
      </c>
      <c r="J426">
        <v>-0.08</v>
      </c>
      <c r="K426">
        <v>0.09316986484118539</v>
      </c>
      <c r="L426" t="s">
        <v>589</v>
      </c>
      <c r="M426" t="s">
        <v>791</v>
      </c>
      <c r="N426">
        <v>7.466666666666667</v>
      </c>
      <c r="O426">
        <v>4.5</v>
      </c>
      <c r="P426">
        <v>1</v>
      </c>
      <c r="Q426">
        <v>0.2222222222222222</v>
      </c>
      <c r="R426">
        <v>0</v>
      </c>
      <c r="S426">
        <v>0</v>
      </c>
      <c r="T426" t="s">
        <v>937</v>
      </c>
      <c r="U426">
        <v>-0.216463592374511</v>
      </c>
      <c r="V426" t="s">
        <v>988</v>
      </c>
      <c r="W426" t="s">
        <v>1002</v>
      </c>
      <c r="X426">
        <v>3446.839771</v>
      </c>
      <c r="Y426" s="2">
        <v>45043</v>
      </c>
      <c r="Z426" t="s">
        <v>1007</v>
      </c>
    </row>
    <row r="427" spans="1:26">
      <c r="A427" s="1" t="s">
        <v>451</v>
      </c>
      <c r="B427">
        <f>HYPERLINK("https://www.suredividend.com/sure-analysis-NWE/","Northwestern Corp.")</f>
        <v>0</v>
      </c>
      <c r="C427" t="s">
        <v>897</v>
      </c>
      <c r="D427">
        <v>58</v>
      </c>
      <c r="E427">
        <v>56.13</v>
      </c>
      <c r="F427">
        <v>59</v>
      </c>
      <c r="G427">
        <v>0.9513559322033899</v>
      </c>
      <c r="H427">
        <v>0.04560840905041867</v>
      </c>
      <c r="I427">
        <v>0.01002330312735111</v>
      </c>
      <c r="J427">
        <v>0.045</v>
      </c>
      <c r="K427">
        <v>0.091914065050269</v>
      </c>
      <c r="L427" t="s">
        <v>589</v>
      </c>
      <c r="M427" t="s">
        <v>900</v>
      </c>
      <c r="N427">
        <v>16.2695652173913</v>
      </c>
      <c r="O427">
        <v>3.45</v>
      </c>
      <c r="P427">
        <v>2.56</v>
      </c>
      <c r="Q427">
        <v>0.7420289855072464</v>
      </c>
      <c r="R427">
        <v>18</v>
      </c>
      <c r="S427">
        <v>0.02025632080394812</v>
      </c>
      <c r="T427" t="s">
        <v>916</v>
      </c>
      <c r="U427">
        <v>0.022115796086715</v>
      </c>
      <c r="V427" t="s">
        <v>988</v>
      </c>
      <c r="W427" t="s">
        <v>999</v>
      </c>
      <c r="X427">
        <v>3356.287569</v>
      </c>
      <c r="Y427" s="2">
        <v>45070</v>
      </c>
      <c r="Z427" t="s">
        <v>1014</v>
      </c>
    </row>
    <row r="428" spans="1:26">
      <c r="A428" s="1" t="s">
        <v>452</v>
      </c>
      <c r="B428">
        <f>HYPERLINK("https://www.suredividend.com/sure-analysis-PFG/","Principal Financial Group Inc")</f>
        <v>0</v>
      </c>
      <c r="C428" t="s">
        <v>896</v>
      </c>
      <c r="D428">
        <v>65</v>
      </c>
      <c r="E428">
        <v>72.40000000000001</v>
      </c>
      <c r="F428">
        <v>76</v>
      </c>
      <c r="G428">
        <v>0.9526315789473685</v>
      </c>
      <c r="H428">
        <v>0.03535911602209944</v>
      </c>
      <c r="I428">
        <v>0.009752658390042246</v>
      </c>
      <c r="J428">
        <v>0.05</v>
      </c>
      <c r="K428">
        <v>0.09177382582682991</v>
      </c>
      <c r="L428" t="s">
        <v>589</v>
      </c>
      <c r="M428" t="s">
        <v>589</v>
      </c>
      <c r="N428">
        <v>10.80597014925373</v>
      </c>
      <c r="O428">
        <v>6.7</v>
      </c>
      <c r="P428">
        <v>2.56</v>
      </c>
      <c r="Q428">
        <v>0.382089552238806</v>
      </c>
      <c r="R428">
        <v>15</v>
      </c>
      <c r="S428">
        <v>0.06025622492066018</v>
      </c>
      <c r="T428" t="s">
        <v>912</v>
      </c>
      <c r="U428">
        <v>0.103118748295422</v>
      </c>
      <c r="V428" t="s">
        <v>988</v>
      </c>
      <c r="W428" t="s">
        <v>994</v>
      </c>
      <c r="X428">
        <v>17576.891538</v>
      </c>
      <c r="Y428" s="2">
        <v>45079</v>
      </c>
      <c r="Z428" t="s">
        <v>1008</v>
      </c>
    </row>
    <row r="429" spans="1:26">
      <c r="A429" s="1" t="s">
        <v>453</v>
      </c>
      <c r="B429">
        <f>HYPERLINK("https://www.suredividend.com/sure-analysis-JPM/","JPMorgan Chase &amp; Co.")</f>
        <v>0</v>
      </c>
      <c r="C429" t="s">
        <v>897</v>
      </c>
      <c r="D429">
        <v>139</v>
      </c>
      <c r="E429">
        <v>138.85</v>
      </c>
      <c r="F429">
        <v>165</v>
      </c>
      <c r="G429">
        <v>0.8415151515151514</v>
      </c>
      <c r="H429">
        <v>0.0288080662585524</v>
      </c>
      <c r="I429">
        <v>0.03511264032709804</v>
      </c>
      <c r="J429">
        <v>0.03</v>
      </c>
      <c r="K429">
        <v>0.09087987376276629</v>
      </c>
      <c r="L429" t="s">
        <v>589</v>
      </c>
      <c r="M429" t="s">
        <v>791</v>
      </c>
      <c r="N429">
        <v>10.09818181818182</v>
      </c>
      <c r="O429">
        <v>13.75</v>
      </c>
      <c r="P429">
        <v>4</v>
      </c>
      <c r="Q429">
        <v>0.2909090909090909</v>
      </c>
      <c r="R429">
        <v>11</v>
      </c>
      <c r="S429">
        <v>0.05020040579475671</v>
      </c>
      <c r="T429" t="s">
        <v>919</v>
      </c>
      <c r="U429">
        <v>0.212365164212831</v>
      </c>
      <c r="V429" t="s">
        <v>988</v>
      </c>
      <c r="W429" t="s">
        <v>994</v>
      </c>
      <c r="X429">
        <v>405759.759475</v>
      </c>
      <c r="Y429" s="2">
        <v>45034</v>
      </c>
      <c r="Z429" t="s">
        <v>1004</v>
      </c>
    </row>
    <row r="430" spans="1:26">
      <c r="A430" s="1" t="s">
        <v>454</v>
      </c>
      <c r="B430">
        <f>HYPERLINK("https://www.suredividend.com/sure-analysis-MSM/","MSC Industrial Direct Co., Inc.")</f>
        <v>0</v>
      </c>
      <c r="C430" t="s">
        <v>896</v>
      </c>
      <c r="D430">
        <v>91</v>
      </c>
      <c r="E430">
        <v>96.13</v>
      </c>
      <c r="F430">
        <v>97</v>
      </c>
      <c r="G430">
        <v>0.9910309278350515</v>
      </c>
      <c r="H430">
        <v>0.03287215229376886</v>
      </c>
      <c r="I430">
        <v>0.001803531695596217</v>
      </c>
      <c r="J430">
        <v>0.06</v>
      </c>
      <c r="K430">
        <v>0.09033203492120068</v>
      </c>
      <c r="L430" t="s">
        <v>589</v>
      </c>
      <c r="M430" t="s">
        <v>900</v>
      </c>
      <c r="N430">
        <v>15.3808</v>
      </c>
      <c r="O430">
        <v>6.25</v>
      </c>
      <c r="P430">
        <v>3.16</v>
      </c>
      <c r="Q430">
        <v>0.5056</v>
      </c>
      <c r="R430">
        <v>1</v>
      </c>
      <c r="S430">
        <v>0.04984115279430545</v>
      </c>
      <c r="T430" t="s">
        <v>913</v>
      </c>
      <c r="U430">
        <v>0.322709097563727</v>
      </c>
      <c r="V430" t="s">
        <v>988</v>
      </c>
      <c r="W430" t="s">
        <v>993</v>
      </c>
      <c r="X430">
        <v>4546.949</v>
      </c>
      <c r="Y430" s="2">
        <v>45050</v>
      </c>
      <c r="Z430" t="s">
        <v>1010</v>
      </c>
    </row>
    <row r="431" spans="1:26">
      <c r="A431" s="1" t="s">
        <v>455</v>
      </c>
      <c r="B431">
        <f>HYPERLINK("https://www.suredividend.com/sure-analysis-WEC/","WEC Energy Group Inc")</f>
        <v>0</v>
      </c>
      <c r="C431" t="s">
        <v>897</v>
      </c>
      <c r="D431">
        <v>97</v>
      </c>
      <c r="E431">
        <v>87.90000000000001</v>
      </c>
      <c r="F431">
        <v>87</v>
      </c>
      <c r="G431">
        <v>1.010344827586207</v>
      </c>
      <c r="H431">
        <v>0.03549488054607509</v>
      </c>
      <c r="I431">
        <v>-0.002056220283976451</v>
      </c>
      <c r="J431">
        <v>0.06</v>
      </c>
      <c r="K431">
        <v>0.08973673575895802</v>
      </c>
      <c r="L431" t="s">
        <v>589</v>
      </c>
      <c r="M431" t="s">
        <v>900</v>
      </c>
      <c r="N431">
        <v>19.10869565217392</v>
      </c>
      <c r="O431">
        <v>4.6</v>
      </c>
      <c r="P431">
        <v>3.12</v>
      </c>
      <c r="Q431">
        <v>0.6782608695652175</v>
      </c>
      <c r="R431">
        <v>20</v>
      </c>
      <c r="S431">
        <v>0.0602403725183247</v>
      </c>
      <c r="T431" t="s">
        <v>943</v>
      </c>
      <c r="U431">
        <v>-0.058963082233137</v>
      </c>
      <c r="V431" t="s">
        <v>988</v>
      </c>
      <c r="W431" t="s">
        <v>999</v>
      </c>
      <c r="X431">
        <v>27727.176</v>
      </c>
      <c r="Y431" s="2">
        <v>45049</v>
      </c>
      <c r="Z431" t="s">
        <v>1003</v>
      </c>
    </row>
    <row r="432" spans="1:26">
      <c r="A432" s="1" t="s">
        <v>456</v>
      </c>
      <c r="B432">
        <f>HYPERLINK("https://www.suredividend.com/sure-analysis-OGE/","Oge Energy Corp.")</f>
        <v>0</v>
      </c>
      <c r="C432" t="s">
        <v>897</v>
      </c>
      <c r="D432">
        <v>38</v>
      </c>
      <c r="E432">
        <v>35.68</v>
      </c>
      <c r="F432">
        <v>35</v>
      </c>
      <c r="G432">
        <v>1.019428571428571</v>
      </c>
      <c r="H432">
        <v>0.04652466367713004</v>
      </c>
      <c r="I432">
        <v>-0.003841053454168408</v>
      </c>
      <c r="J432">
        <v>0.05</v>
      </c>
      <c r="K432">
        <v>0.08853075295137547</v>
      </c>
      <c r="L432" t="s">
        <v>589</v>
      </c>
      <c r="M432" t="s">
        <v>900</v>
      </c>
      <c r="N432">
        <v>17.66336633663366</v>
      </c>
      <c r="O432">
        <v>2.02</v>
      </c>
      <c r="P432">
        <v>1.66</v>
      </c>
      <c r="Q432">
        <v>0.8217821782178217</v>
      </c>
      <c r="R432">
        <v>16</v>
      </c>
      <c r="S432">
        <v>0.0579445814679882</v>
      </c>
      <c r="T432" t="s">
        <v>909</v>
      </c>
      <c r="U432">
        <v>-0.008894395031138001</v>
      </c>
      <c r="V432" t="s">
        <v>988</v>
      </c>
      <c r="W432" t="s">
        <v>999</v>
      </c>
      <c r="X432">
        <v>1440.713622</v>
      </c>
      <c r="Y432" s="2">
        <v>45058</v>
      </c>
      <c r="Z432" t="s">
        <v>1007</v>
      </c>
    </row>
    <row r="433" spans="1:26">
      <c r="A433" s="1" t="s">
        <v>457</v>
      </c>
      <c r="B433">
        <f>HYPERLINK("https://www.suredividend.com/sure-analysis-TRGP/","Targa Resources Corp")</f>
        <v>0</v>
      </c>
      <c r="C433" t="s">
        <v>897</v>
      </c>
      <c r="D433">
        <v>69</v>
      </c>
      <c r="E433">
        <v>69.92</v>
      </c>
      <c r="F433">
        <v>82</v>
      </c>
      <c r="G433">
        <v>0.8526829268292683</v>
      </c>
      <c r="H433">
        <v>0.02860411899313501</v>
      </c>
      <c r="I433">
        <v>0.03238690338814543</v>
      </c>
      <c r="J433">
        <v>0.03</v>
      </c>
      <c r="K433">
        <v>0.0884086880342041</v>
      </c>
      <c r="L433" t="s">
        <v>589</v>
      </c>
      <c r="M433" t="s">
        <v>791</v>
      </c>
      <c r="N433">
        <v>5.976068376068376</v>
      </c>
      <c r="O433">
        <v>11.7</v>
      </c>
      <c r="P433">
        <v>2</v>
      </c>
      <c r="Q433">
        <v>0.1709401709401709</v>
      </c>
      <c r="R433">
        <v>2</v>
      </c>
      <c r="S433">
        <v>0.05387395206178347</v>
      </c>
      <c r="T433" t="s">
        <v>928</v>
      </c>
      <c r="U433">
        <v>0.229163809985901</v>
      </c>
      <c r="V433" t="s">
        <v>988</v>
      </c>
      <c r="W433" t="s">
        <v>1002</v>
      </c>
      <c r="X433">
        <v>15803.25715</v>
      </c>
      <c r="Y433" s="2">
        <v>45064</v>
      </c>
      <c r="Z433" t="s">
        <v>1007</v>
      </c>
    </row>
    <row r="434" spans="1:26">
      <c r="A434" s="1" t="s">
        <v>458</v>
      </c>
      <c r="B434">
        <f>HYPERLINK("https://www.suredividend.com/sure-analysis-DKS/","Dicks Sporting Goods, Inc.")</f>
        <v>0</v>
      </c>
      <c r="C434" t="s">
        <v>896</v>
      </c>
      <c r="D434">
        <v>127</v>
      </c>
      <c r="E434">
        <v>134.57</v>
      </c>
      <c r="F434">
        <v>134</v>
      </c>
      <c r="G434">
        <v>1.004253731343284</v>
      </c>
      <c r="H434">
        <v>0.02972430705209185</v>
      </c>
      <c r="I434">
        <v>-0.0008485817112323657</v>
      </c>
      <c r="J434">
        <v>0.06</v>
      </c>
      <c r="K434">
        <v>0.08825809421493824</v>
      </c>
      <c r="L434" t="s">
        <v>589</v>
      </c>
      <c r="M434" t="s">
        <v>791</v>
      </c>
      <c r="N434">
        <v>10.08014981273408</v>
      </c>
      <c r="O434">
        <v>13.35</v>
      </c>
      <c r="P434">
        <v>4</v>
      </c>
      <c r="Q434">
        <v>0.299625468164794</v>
      </c>
      <c r="R434">
        <v>9</v>
      </c>
      <c r="S434">
        <v>0.08984070585040471</v>
      </c>
      <c r="T434" t="s">
        <v>902</v>
      </c>
      <c r="U434">
        <v>0.631369031022317</v>
      </c>
      <c r="V434" t="s">
        <v>988</v>
      </c>
      <c r="W434" t="s">
        <v>995</v>
      </c>
      <c r="X434">
        <v>8432.306246</v>
      </c>
      <c r="Y434" s="2">
        <v>45077</v>
      </c>
      <c r="Z434" t="s">
        <v>1010</v>
      </c>
    </row>
    <row r="435" spans="1:26">
      <c r="A435" s="1" t="s">
        <v>459</v>
      </c>
      <c r="B435">
        <f>HYPERLINK("https://www.suredividend.com/sure-analysis-OGS/","ONE Gas Inc")</f>
        <v>0</v>
      </c>
      <c r="C435" t="s">
        <v>896</v>
      </c>
      <c r="D435">
        <v>78</v>
      </c>
      <c r="E435">
        <v>76.39</v>
      </c>
      <c r="F435">
        <v>79</v>
      </c>
      <c r="G435">
        <v>0.9669620253164557</v>
      </c>
      <c r="H435">
        <v>0.03403586856918445</v>
      </c>
      <c r="I435">
        <v>0.006741835525505113</v>
      </c>
      <c r="J435">
        <v>0.05</v>
      </c>
      <c r="K435">
        <v>0.08697939242864416</v>
      </c>
      <c r="L435" t="s">
        <v>589</v>
      </c>
      <c r="M435" t="s">
        <v>900</v>
      </c>
      <c r="N435">
        <v>18.45169082125604</v>
      </c>
      <c r="O435">
        <v>4.14</v>
      </c>
      <c r="P435">
        <v>2.6</v>
      </c>
      <c r="Q435">
        <v>0.6280193236714977</v>
      </c>
      <c r="R435">
        <v>9</v>
      </c>
      <c r="S435">
        <v>0.05010553388446692</v>
      </c>
      <c r="T435" t="s">
        <v>922</v>
      </c>
      <c r="U435">
        <v>0.004783870844694</v>
      </c>
      <c r="V435" t="s">
        <v>988</v>
      </c>
      <c r="W435" t="s">
        <v>999</v>
      </c>
      <c r="X435">
        <v>4231.238128</v>
      </c>
      <c r="Y435" s="2">
        <v>45049</v>
      </c>
      <c r="Z435" t="s">
        <v>1012</v>
      </c>
    </row>
    <row r="436" spans="1:26">
      <c r="A436" s="1" t="s">
        <v>460</v>
      </c>
      <c r="B436">
        <f>HYPERLINK("https://www.suredividend.com/sure-analysis-SYF/","Synchrony Financial")</f>
        <v>0</v>
      </c>
      <c r="C436" t="s">
        <v>896</v>
      </c>
      <c r="D436">
        <v>28</v>
      </c>
      <c r="E436">
        <v>32.7</v>
      </c>
      <c r="F436">
        <v>38</v>
      </c>
      <c r="G436">
        <v>0.8605263157894738</v>
      </c>
      <c r="H436">
        <v>0.02813455657492355</v>
      </c>
      <c r="I436">
        <v>0.03049803691612474</v>
      </c>
      <c r="J436">
        <v>0.03</v>
      </c>
      <c r="K436">
        <v>0.08592005224530785</v>
      </c>
      <c r="L436" t="s">
        <v>589</v>
      </c>
      <c r="M436" t="s">
        <v>791</v>
      </c>
      <c r="N436">
        <v>6.540000000000001</v>
      </c>
      <c r="O436">
        <v>5</v>
      </c>
      <c r="P436">
        <v>0.92</v>
      </c>
      <c r="Q436">
        <v>0.184</v>
      </c>
      <c r="R436">
        <v>1</v>
      </c>
      <c r="S436">
        <v>0.04925151964895069</v>
      </c>
      <c r="T436" t="s">
        <v>952</v>
      </c>
      <c r="U436">
        <v>0.137703925600426</v>
      </c>
      <c r="V436" t="s">
        <v>988</v>
      </c>
      <c r="W436" t="s">
        <v>994</v>
      </c>
      <c r="X436">
        <v>14014.257835</v>
      </c>
      <c r="Y436" s="2">
        <v>45050</v>
      </c>
      <c r="Z436" t="s">
        <v>1008</v>
      </c>
    </row>
    <row r="437" spans="1:26">
      <c r="A437" s="1" t="s">
        <v>461</v>
      </c>
      <c r="B437">
        <f>HYPERLINK("https://www.suredividend.com/sure-analysis-NXST/","Nexstar Media Group Inc")</f>
        <v>0</v>
      </c>
      <c r="C437" t="s">
        <v>897</v>
      </c>
      <c r="D437">
        <v>158</v>
      </c>
      <c r="E437">
        <v>158.17</v>
      </c>
      <c r="F437">
        <v>140</v>
      </c>
      <c r="G437">
        <v>1.129785714285714</v>
      </c>
      <c r="H437">
        <v>0.03414048176013151</v>
      </c>
      <c r="I437">
        <v>-0.02411018779485175</v>
      </c>
      <c r="J437">
        <v>0.08</v>
      </c>
      <c r="K437">
        <v>0.08513613280342902</v>
      </c>
      <c r="L437" t="s">
        <v>589</v>
      </c>
      <c r="M437" t="s">
        <v>589</v>
      </c>
      <c r="N437">
        <v>9.038285714285713</v>
      </c>
      <c r="O437">
        <v>17.5</v>
      </c>
      <c r="P437">
        <v>5.4</v>
      </c>
      <c r="Q437">
        <v>0.3085714285714286</v>
      </c>
      <c r="R437">
        <v>10</v>
      </c>
      <c r="S437">
        <v>0.06010506010596317</v>
      </c>
      <c r="T437" t="s">
        <v>943</v>
      </c>
      <c r="U437">
        <v>-0.157182280845812</v>
      </c>
      <c r="V437" t="s">
        <v>988</v>
      </c>
      <c r="W437" t="s">
        <v>998</v>
      </c>
      <c r="X437">
        <v>5671.9762</v>
      </c>
      <c r="Y437" s="2">
        <v>45081</v>
      </c>
      <c r="Z437" t="s">
        <v>1014</v>
      </c>
    </row>
    <row r="438" spans="1:26">
      <c r="A438" s="1" t="s">
        <v>462</v>
      </c>
      <c r="B438">
        <f>HYPERLINK("https://www.suredividend.com/sure-analysis-PM/","Philip Morris International Inc")</f>
        <v>0</v>
      </c>
      <c r="C438" t="s">
        <v>897</v>
      </c>
      <c r="D438">
        <v>97</v>
      </c>
      <c r="E438">
        <v>96.3</v>
      </c>
      <c r="F438">
        <v>101</v>
      </c>
      <c r="G438">
        <v>0.9534653465346534</v>
      </c>
      <c r="H438">
        <v>0.05275181723779855</v>
      </c>
      <c r="I438">
        <v>0.009575998865222424</v>
      </c>
      <c r="J438">
        <v>0.03</v>
      </c>
      <c r="K438">
        <v>0.08509982761073975</v>
      </c>
      <c r="L438" t="s">
        <v>589</v>
      </c>
      <c r="M438" t="s">
        <v>900</v>
      </c>
      <c r="N438">
        <v>16.21212121212121</v>
      </c>
      <c r="O438">
        <v>5.94</v>
      </c>
      <c r="P438">
        <v>5.08</v>
      </c>
      <c r="Q438">
        <v>0.8552188552188552</v>
      </c>
      <c r="R438">
        <v>15</v>
      </c>
      <c r="S438">
        <v>0.03003104979026405</v>
      </c>
      <c r="T438" t="s">
        <v>940</v>
      </c>
      <c r="U438">
        <v>-0.005427289298790001</v>
      </c>
      <c r="V438" t="s">
        <v>988</v>
      </c>
      <c r="W438" t="s">
        <v>997</v>
      </c>
      <c r="X438">
        <v>149476.540477</v>
      </c>
      <c r="Y438" s="2">
        <v>45036</v>
      </c>
      <c r="Z438" t="s">
        <v>1012</v>
      </c>
    </row>
    <row r="439" spans="1:26">
      <c r="A439" s="1" t="s">
        <v>463</v>
      </c>
      <c r="B439">
        <f>HYPERLINK("https://www.suredividend.com/sure-analysis-HNI/","HNI Corp.")</f>
        <v>0</v>
      </c>
      <c r="C439" t="s">
        <v>897</v>
      </c>
      <c r="D439">
        <v>27</v>
      </c>
      <c r="E439">
        <v>27.5</v>
      </c>
      <c r="F439">
        <v>26</v>
      </c>
      <c r="G439">
        <v>1.057692307692308</v>
      </c>
      <c r="H439">
        <v>0.04654545454545455</v>
      </c>
      <c r="I439">
        <v>-0.01115520738519971</v>
      </c>
      <c r="J439">
        <v>0.055</v>
      </c>
      <c r="K439">
        <v>0.08435232559604344</v>
      </c>
      <c r="L439" t="s">
        <v>589</v>
      </c>
      <c r="M439" t="s">
        <v>900</v>
      </c>
      <c r="N439">
        <v>14.55026455026455</v>
      </c>
      <c r="O439">
        <v>1.89</v>
      </c>
      <c r="P439">
        <v>1.28</v>
      </c>
      <c r="Q439">
        <v>0.6772486772486773</v>
      </c>
      <c r="R439">
        <v>11</v>
      </c>
      <c r="S439">
        <v>0.04168866040456276</v>
      </c>
      <c r="T439" t="s">
        <v>926</v>
      </c>
      <c r="U439">
        <v>-0.204077438923796</v>
      </c>
      <c r="V439" t="s">
        <v>988</v>
      </c>
      <c r="W439" t="s">
        <v>993</v>
      </c>
      <c r="X439">
        <v>1146.729788</v>
      </c>
      <c r="Y439" s="2">
        <v>45070</v>
      </c>
      <c r="Z439" t="s">
        <v>1003</v>
      </c>
    </row>
    <row r="440" spans="1:26">
      <c r="A440" s="1" t="s">
        <v>464</v>
      </c>
      <c r="B440">
        <f>HYPERLINK("https://www.suredividend.com/sure-analysis-PGRE/","Paramount Group Inc")</f>
        <v>0</v>
      </c>
      <c r="C440" t="s">
        <v>897</v>
      </c>
      <c r="D440">
        <v>4.5</v>
      </c>
      <c r="E440">
        <v>4.17</v>
      </c>
      <c r="F440">
        <v>6.8</v>
      </c>
      <c r="G440">
        <v>0.6132352941176471</v>
      </c>
      <c r="H440">
        <v>0.03357314148681056</v>
      </c>
      <c r="I440">
        <v>0.1027436650186866</v>
      </c>
      <c r="J440">
        <v>-0.04</v>
      </c>
      <c r="K440">
        <v>0.08410862771371486</v>
      </c>
      <c r="L440" t="s">
        <v>589</v>
      </c>
      <c r="M440" t="s">
        <v>589</v>
      </c>
      <c r="N440">
        <v>4.633333333333333</v>
      </c>
      <c r="O440">
        <v>0.9</v>
      </c>
      <c r="P440">
        <v>0.14</v>
      </c>
      <c r="Q440">
        <v>0.1555555555555556</v>
      </c>
      <c r="R440">
        <v>0</v>
      </c>
      <c r="S440">
        <v>0</v>
      </c>
      <c r="T440" t="s">
        <v>906</v>
      </c>
      <c r="U440">
        <v>-0.427158458685349</v>
      </c>
      <c r="V440" t="s">
        <v>989</v>
      </c>
      <c r="W440" t="s">
        <v>1001</v>
      </c>
      <c r="X440">
        <v>905.772856</v>
      </c>
      <c r="Y440" s="2">
        <v>45064</v>
      </c>
      <c r="Z440" t="s">
        <v>1010</v>
      </c>
    </row>
    <row r="441" spans="1:26">
      <c r="A441" s="1" t="s">
        <v>465</v>
      </c>
      <c r="B441">
        <f>HYPERLINK("https://www.suredividend.com/sure-analysis-UL/","Unilever plc")</f>
        <v>0</v>
      </c>
      <c r="C441" t="s">
        <v>897</v>
      </c>
      <c r="D441">
        <v>54</v>
      </c>
      <c r="E441">
        <v>51.76</v>
      </c>
      <c r="F441">
        <v>50</v>
      </c>
      <c r="G441">
        <v>1.0352</v>
      </c>
      <c r="H441">
        <v>0.03612828438948996</v>
      </c>
      <c r="I441">
        <v>-0.006895048271958193</v>
      </c>
      <c r="J441">
        <v>0.06</v>
      </c>
      <c r="K441">
        <v>0.08396507179670398</v>
      </c>
      <c r="L441" t="s">
        <v>589</v>
      </c>
      <c r="M441" t="s">
        <v>589</v>
      </c>
      <c r="N441">
        <v>18.82181818181818</v>
      </c>
      <c r="O441">
        <v>2.75</v>
      </c>
      <c r="P441">
        <v>1.87</v>
      </c>
      <c r="Q441">
        <v>0.68</v>
      </c>
      <c r="R441">
        <v>0</v>
      </c>
      <c r="S441">
        <v>0.04044385152396357</v>
      </c>
      <c r="T441" t="s">
        <v>908</v>
      </c>
      <c r="U441">
        <v>0.159438469792102</v>
      </c>
      <c r="V441" t="s">
        <v>988</v>
      </c>
      <c r="W441" t="s">
        <v>997</v>
      </c>
      <c r="X441">
        <v>130256.490215</v>
      </c>
      <c r="Y441" s="2">
        <v>45064</v>
      </c>
      <c r="Z441" t="s">
        <v>1007</v>
      </c>
    </row>
    <row r="442" spans="1:26">
      <c r="A442" s="1" t="s">
        <v>466</v>
      </c>
      <c r="B442">
        <f>HYPERLINK("https://www.suredividend.com/sure-analysis-OLN/","Olin Corp.")</f>
        <v>0</v>
      </c>
      <c r="C442" t="s">
        <v>897</v>
      </c>
      <c r="D442">
        <v>53</v>
      </c>
      <c r="E442">
        <v>48.24</v>
      </c>
      <c r="F442">
        <v>56</v>
      </c>
      <c r="G442">
        <v>0.8614285714285714</v>
      </c>
      <c r="H442">
        <v>0.01658374792703151</v>
      </c>
      <c r="I442">
        <v>0.03028207880276157</v>
      </c>
      <c r="J442">
        <v>0.04</v>
      </c>
      <c r="K442">
        <v>0.08378918358398679</v>
      </c>
      <c r="L442" t="s">
        <v>589</v>
      </c>
      <c r="M442" t="s">
        <v>791</v>
      </c>
      <c r="N442">
        <v>8.568383658969806</v>
      </c>
      <c r="O442">
        <v>5.63</v>
      </c>
      <c r="P442">
        <v>0.8</v>
      </c>
      <c r="Q442">
        <v>0.1420959147424512</v>
      </c>
      <c r="R442">
        <v>0</v>
      </c>
      <c r="S442">
        <v>0</v>
      </c>
      <c r="T442" t="s">
        <v>910</v>
      </c>
      <c r="U442">
        <v>0.04870477134583701</v>
      </c>
      <c r="V442" t="s">
        <v>988</v>
      </c>
      <c r="W442" t="s">
        <v>992</v>
      </c>
      <c r="X442">
        <v>6236.227785</v>
      </c>
      <c r="Y442" s="2">
        <v>45063</v>
      </c>
      <c r="Z442" t="s">
        <v>1010</v>
      </c>
    </row>
    <row r="443" spans="1:26">
      <c r="A443" s="1" t="s">
        <v>467</v>
      </c>
      <c r="B443">
        <f>HYPERLINK("https://www.suredividend.com/sure-analysis-OSK/","Oshkosh Corp")</f>
        <v>0</v>
      </c>
      <c r="C443" t="s">
        <v>897</v>
      </c>
      <c r="D443">
        <v>77</v>
      </c>
      <c r="E443">
        <v>80.83</v>
      </c>
      <c r="F443">
        <v>84</v>
      </c>
      <c r="G443">
        <v>0.9622619047619048</v>
      </c>
      <c r="H443">
        <v>0.0202894964740814</v>
      </c>
      <c r="I443">
        <v>0.007723395755585338</v>
      </c>
      <c r="J443">
        <v>0.055</v>
      </c>
      <c r="K443">
        <v>0.08313720853776996</v>
      </c>
      <c r="L443" t="s">
        <v>589</v>
      </c>
      <c r="M443" t="s">
        <v>791</v>
      </c>
      <c r="N443">
        <v>13.47166666666667</v>
      </c>
      <c r="O443">
        <v>6</v>
      </c>
      <c r="P443">
        <v>1.64</v>
      </c>
      <c r="Q443">
        <v>0.2733333333333333</v>
      </c>
      <c r="R443">
        <v>10</v>
      </c>
      <c r="S443">
        <v>0.09057448971477933</v>
      </c>
      <c r="T443" t="s">
        <v>931</v>
      </c>
      <c r="U443">
        <v>-0.024636878451872</v>
      </c>
      <c r="V443" t="s">
        <v>988</v>
      </c>
      <c r="W443" t="s">
        <v>993</v>
      </c>
      <c r="X443">
        <v>5279.298692</v>
      </c>
      <c r="Y443" s="2">
        <v>45050</v>
      </c>
      <c r="Z443" t="s">
        <v>1010</v>
      </c>
    </row>
    <row r="444" spans="1:26">
      <c r="A444" s="1" t="s">
        <v>468</v>
      </c>
      <c r="B444">
        <f>HYPERLINK("https://www.suredividend.com/sure-analysis-HE/","Hawaiian Electric Industries, Inc.")</f>
        <v>0</v>
      </c>
      <c r="C444" t="s">
        <v>897</v>
      </c>
      <c r="D444">
        <v>37</v>
      </c>
      <c r="E444">
        <v>36.11</v>
      </c>
      <c r="F444">
        <v>36</v>
      </c>
      <c r="G444">
        <v>1.003055555555556</v>
      </c>
      <c r="H444">
        <v>0.03987815009692606</v>
      </c>
      <c r="I444">
        <v>-0.0006099932450792656</v>
      </c>
      <c r="J444">
        <v>0.047</v>
      </c>
      <c r="K444">
        <v>0.082077399187793</v>
      </c>
      <c r="L444" t="s">
        <v>589</v>
      </c>
      <c r="M444" t="s">
        <v>900</v>
      </c>
      <c r="N444">
        <v>16.19282511210762</v>
      </c>
      <c r="O444">
        <v>2.23</v>
      </c>
      <c r="P444">
        <v>1.44</v>
      </c>
      <c r="Q444">
        <v>0.6457399103139013</v>
      </c>
      <c r="R444">
        <v>5</v>
      </c>
      <c r="S444">
        <v>0.04679880106307821</v>
      </c>
      <c r="T444" t="s">
        <v>908</v>
      </c>
      <c r="U444">
        <v>-0.077183351989</v>
      </c>
      <c r="V444" t="s">
        <v>988</v>
      </c>
      <c r="W444" t="s">
        <v>999</v>
      </c>
      <c r="X444">
        <v>3956.647628</v>
      </c>
      <c r="Y444" s="2">
        <v>45061</v>
      </c>
      <c r="Z444" t="s">
        <v>1012</v>
      </c>
    </row>
    <row r="445" spans="1:26">
      <c r="A445" s="1" t="s">
        <v>469</v>
      </c>
      <c r="B445">
        <f>HYPERLINK("https://www.suredividend.com/sure-analysis-DGICA/","Donegal Group Inc.")</f>
        <v>0</v>
      </c>
      <c r="C445" t="s">
        <v>897</v>
      </c>
      <c r="D445">
        <v>14</v>
      </c>
      <c r="E445">
        <v>14.63</v>
      </c>
      <c r="F445">
        <v>14</v>
      </c>
      <c r="G445">
        <v>1.045</v>
      </c>
      <c r="H445">
        <v>0.04647983595352016</v>
      </c>
      <c r="I445">
        <v>-0.008764740818979599</v>
      </c>
      <c r="J445">
        <v>0.05</v>
      </c>
      <c r="K445">
        <v>0.08095367535895992</v>
      </c>
      <c r="L445" t="s">
        <v>589</v>
      </c>
      <c r="M445" t="s">
        <v>900</v>
      </c>
      <c r="N445">
        <v>19.50666666666667</v>
      </c>
      <c r="O445">
        <v>0.75</v>
      </c>
      <c r="P445">
        <v>0.68</v>
      </c>
      <c r="Q445">
        <v>0.9066666666666667</v>
      </c>
      <c r="R445">
        <v>21</v>
      </c>
      <c r="S445">
        <v>0.03044219892825617</v>
      </c>
      <c r="T445" t="s">
        <v>917</v>
      </c>
      <c r="U445">
        <v>-0.083172486401122</v>
      </c>
      <c r="V445" t="s">
        <v>988</v>
      </c>
      <c r="W445" t="s">
        <v>994</v>
      </c>
      <c r="X445">
        <v>476.661976</v>
      </c>
      <c r="Y445" s="2">
        <v>45047</v>
      </c>
      <c r="Z445" t="s">
        <v>1006</v>
      </c>
    </row>
    <row r="446" spans="1:26">
      <c r="A446" s="1" t="s">
        <v>470</v>
      </c>
      <c r="B446">
        <f>HYPERLINK("https://www.suredividend.com/sure-analysis-FLO/","Flowers Foods, Inc.")</f>
        <v>0</v>
      </c>
      <c r="C446" t="s">
        <v>897</v>
      </c>
      <c r="D446">
        <v>26</v>
      </c>
      <c r="E446">
        <v>24.45</v>
      </c>
      <c r="F446">
        <v>24</v>
      </c>
      <c r="G446">
        <v>1.01875</v>
      </c>
      <c r="H446">
        <v>0.0376278118609407</v>
      </c>
      <c r="I446">
        <v>-0.003708384011805954</v>
      </c>
      <c r="J446">
        <v>0.05</v>
      </c>
      <c r="K446">
        <v>0.07933756928359181</v>
      </c>
      <c r="L446" t="s">
        <v>589</v>
      </c>
      <c r="M446" t="s">
        <v>900</v>
      </c>
      <c r="N446">
        <v>20.375</v>
      </c>
      <c r="O446">
        <v>1.2</v>
      </c>
      <c r="P446">
        <v>0.92</v>
      </c>
      <c r="Q446">
        <v>0.7666666666666667</v>
      </c>
      <c r="R446">
        <v>21</v>
      </c>
      <c r="S446">
        <v>0.04012620718096094</v>
      </c>
      <c r="T446" t="s">
        <v>951</v>
      </c>
      <c r="U446">
        <v>-0.036874510066532</v>
      </c>
      <c r="V446" t="s">
        <v>988</v>
      </c>
      <c r="W446" t="s">
        <v>997</v>
      </c>
      <c r="X446">
        <v>5179.646681</v>
      </c>
      <c r="Y446" s="2">
        <v>45070</v>
      </c>
      <c r="Z446" t="s">
        <v>1003</v>
      </c>
    </row>
    <row r="447" spans="1:26">
      <c r="A447" s="1" t="s">
        <v>471</v>
      </c>
      <c r="B447">
        <f>HYPERLINK("https://www.suredividend.com/sure-analysis-OTEX/","Open Text Corp")</f>
        <v>0</v>
      </c>
      <c r="C447" t="s">
        <v>897</v>
      </c>
      <c r="D447">
        <v>41</v>
      </c>
      <c r="E447">
        <v>40.09</v>
      </c>
      <c r="F447">
        <v>37</v>
      </c>
      <c r="G447">
        <v>1.083513513513514</v>
      </c>
      <c r="H447">
        <v>0.02419555999002245</v>
      </c>
      <c r="I447">
        <v>-0.01591381836439898</v>
      </c>
      <c r="J447">
        <v>0.07000000000000001</v>
      </c>
      <c r="K447">
        <v>0.07755759872844936</v>
      </c>
      <c r="L447" t="s">
        <v>589</v>
      </c>
      <c r="M447" t="s">
        <v>791</v>
      </c>
      <c r="N447">
        <v>12.84935897435897</v>
      </c>
      <c r="O447">
        <v>3.12</v>
      </c>
      <c r="P447">
        <v>0.97</v>
      </c>
      <c r="Q447">
        <v>0.3108974358974359</v>
      </c>
      <c r="R447">
        <v>9</v>
      </c>
      <c r="S447">
        <v>0.09109836492203671</v>
      </c>
      <c r="T447" t="s">
        <v>930</v>
      </c>
      <c r="U447">
        <v>0.041406899418121</v>
      </c>
      <c r="V447" t="s">
        <v>988</v>
      </c>
      <c r="W447" t="s">
        <v>1000</v>
      </c>
      <c r="X447">
        <v>10858.281126</v>
      </c>
      <c r="Y447" s="2">
        <v>45057</v>
      </c>
      <c r="Z447" t="s">
        <v>1018</v>
      </c>
    </row>
    <row r="448" spans="1:26">
      <c r="A448" s="1" t="s">
        <v>472</v>
      </c>
      <c r="B448">
        <f>HYPERLINK("https://www.suredividend.com/sure-analysis-POOL/","Pool Corporation")</f>
        <v>0</v>
      </c>
      <c r="C448" t="s">
        <v>897</v>
      </c>
      <c r="D448">
        <v>339</v>
      </c>
      <c r="E448">
        <v>352.34</v>
      </c>
      <c r="F448">
        <v>369</v>
      </c>
      <c r="G448">
        <v>0.954850948509485</v>
      </c>
      <c r="H448">
        <v>0.01248793778736448</v>
      </c>
      <c r="I448">
        <v>0.009282825741514511</v>
      </c>
      <c r="J448">
        <v>0.055</v>
      </c>
      <c r="K448">
        <v>0.0775371060868193</v>
      </c>
      <c r="L448" t="s">
        <v>589</v>
      </c>
      <c r="M448" t="s">
        <v>648</v>
      </c>
      <c r="N448">
        <v>22.92387768379961</v>
      </c>
      <c r="O448">
        <v>15.37</v>
      </c>
      <c r="P448">
        <v>4.4</v>
      </c>
      <c r="Q448">
        <v>0.2862719583604424</v>
      </c>
      <c r="R448">
        <v>13</v>
      </c>
      <c r="S448">
        <v>0.1001165843093035</v>
      </c>
      <c r="T448" t="s">
        <v>922</v>
      </c>
      <c r="U448">
        <v>0.002330730452004</v>
      </c>
      <c r="V448" t="s">
        <v>988</v>
      </c>
      <c r="W448" t="s">
        <v>995</v>
      </c>
      <c r="X448">
        <v>13741.26</v>
      </c>
      <c r="Y448" s="2">
        <v>45062</v>
      </c>
      <c r="Z448" t="s">
        <v>1010</v>
      </c>
    </row>
    <row r="449" spans="1:26">
      <c r="A449" s="1" t="s">
        <v>473</v>
      </c>
      <c r="B449">
        <f>HYPERLINK("https://www.suredividend.com/sure-analysis-IDA/","Idacorp, Inc.")</f>
        <v>0</v>
      </c>
      <c r="C449" t="s">
        <v>897</v>
      </c>
      <c r="D449">
        <v>109</v>
      </c>
      <c r="E449">
        <v>102.32</v>
      </c>
      <c r="F449">
        <v>107</v>
      </c>
      <c r="G449">
        <v>0.9562616822429906</v>
      </c>
      <c r="H449">
        <v>0.0308835027365129</v>
      </c>
      <c r="I449">
        <v>0.00898485912699476</v>
      </c>
      <c r="J449">
        <v>0.04</v>
      </c>
      <c r="K449">
        <v>0.07735160567521349</v>
      </c>
      <c r="L449" t="s">
        <v>589</v>
      </c>
      <c r="M449" t="s">
        <v>589</v>
      </c>
      <c r="N449">
        <v>20.06274509803922</v>
      </c>
      <c r="O449">
        <v>5.1</v>
      </c>
      <c r="P449">
        <v>3.16</v>
      </c>
      <c r="Q449">
        <v>0.6196078431372549</v>
      </c>
      <c r="R449">
        <v>12</v>
      </c>
      <c r="S449">
        <v>0.04984115279430545</v>
      </c>
      <c r="T449" t="s">
        <v>975</v>
      </c>
      <c r="U449">
        <v>0.01081848438477</v>
      </c>
      <c r="V449" t="s">
        <v>988</v>
      </c>
      <c r="W449" t="s">
        <v>999</v>
      </c>
      <c r="X449">
        <v>5178.170758</v>
      </c>
      <c r="Y449" s="2">
        <v>45058</v>
      </c>
      <c r="Z449" t="s">
        <v>1006</v>
      </c>
    </row>
    <row r="450" spans="1:26">
      <c r="A450" s="1" t="s">
        <v>474</v>
      </c>
      <c r="B450">
        <f>HYPERLINK("https://www.suredividend.com/sure-analysis-STN/","Stantec Inc")</f>
        <v>0</v>
      </c>
      <c r="C450" t="s">
        <v>897</v>
      </c>
      <c r="D450">
        <v>59</v>
      </c>
      <c r="E450">
        <v>62.86</v>
      </c>
      <c r="F450">
        <v>52</v>
      </c>
      <c r="G450">
        <v>1.208846153846154</v>
      </c>
      <c r="H450">
        <v>0.00922685332484887</v>
      </c>
      <c r="I450">
        <v>-0.03722280796540423</v>
      </c>
      <c r="J450">
        <v>0.11</v>
      </c>
      <c r="K450">
        <v>0.07703096277426313</v>
      </c>
      <c r="L450" t="s">
        <v>589</v>
      </c>
      <c r="M450" t="s">
        <v>648</v>
      </c>
      <c r="N450">
        <v>24.36434108527132</v>
      </c>
      <c r="O450">
        <v>2.58</v>
      </c>
      <c r="P450">
        <v>0.58</v>
      </c>
      <c r="Q450">
        <v>0.2248062015503876</v>
      </c>
      <c r="R450">
        <v>11</v>
      </c>
      <c r="S450">
        <v>0.06104382402123121</v>
      </c>
      <c r="T450" t="s">
        <v>906</v>
      </c>
      <c r="U450">
        <v>0.462591760996777</v>
      </c>
      <c r="V450" t="s">
        <v>988</v>
      </c>
      <c r="W450" t="s">
        <v>993</v>
      </c>
      <c r="X450">
        <v>6980.652848</v>
      </c>
      <c r="Y450" s="2">
        <v>45069</v>
      </c>
      <c r="Z450" t="s">
        <v>1012</v>
      </c>
    </row>
    <row r="451" spans="1:26">
      <c r="A451" s="1" t="s">
        <v>475</v>
      </c>
      <c r="B451">
        <f>HYPERLINK("https://www.suredividend.com/sure-analysis-AGM/","Federal Agricultural Mortgage Corp.")</f>
        <v>0</v>
      </c>
      <c r="C451" t="s">
        <v>897</v>
      </c>
      <c r="D451">
        <v>135</v>
      </c>
      <c r="E451">
        <v>140.97</v>
      </c>
      <c r="F451">
        <v>133</v>
      </c>
      <c r="G451">
        <v>1.059924812030075</v>
      </c>
      <c r="H451">
        <v>0.03121231467688161</v>
      </c>
      <c r="I451">
        <v>-0.01157211668904301</v>
      </c>
      <c r="J451">
        <v>0.06</v>
      </c>
      <c r="K451">
        <v>0.07701069042328545</v>
      </c>
      <c r="L451" t="s">
        <v>589</v>
      </c>
      <c r="M451" t="s">
        <v>791</v>
      </c>
      <c r="N451">
        <v>10.63924528301887</v>
      </c>
      <c r="O451">
        <v>13.25</v>
      </c>
      <c r="P451">
        <v>4.4</v>
      </c>
      <c r="Q451">
        <v>0.3320754716981132</v>
      </c>
      <c r="R451">
        <v>12</v>
      </c>
      <c r="S451">
        <v>0.06006506821434088</v>
      </c>
      <c r="T451" t="s">
        <v>902</v>
      </c>
      <c r="U451">
        <v>0.482320356589685</v>
      </c>
      <c r="V451" t="s">
        <v>988</v>
      </c>
      <c r="W451" t="s">
        <v>994</v>
      </c>
      <c r="X451">
        <v>1438.478756</v>
      </c>
      <c r="Y451" s="2">
        <v>45077</v>
      </c>
      <c r="Z451" t="s">
        <v>1010</v>
      </c>
    </row>
    <row r="452" spans="1:26">
      <c r="A452" s="1" t="s">
        <v>476</v>
      </c>
      <c r="B452">
        <f>HYPERLINK("https://www.suredividend.com/sure-analysis-STZ/","Constellation Brands Inc")</f>
        <v>0</v>
      </c>
      <c r="C452" t="s">
        <v>897</v>
      </c>
      <c r="D452">
        <v>229</v>
      </c>
      <c r="E452">
        <v>242.38</v>
      </c>
      <c r="F452">
        <v>235</v>
      </c>
      <c r="G452">
        <v>1.031404255319149</v>
      </c>
      <c r="H452">
        <v>0.01468768050169156</v>
      </c>
      <c r="I452">
        <v>-0.006165162590360596</v>
      </c>
      <c r="J452">
        <v>0.07000000000000001</v>
      </c>
      <c r="K452">
        <v>0.07678134068070364</v>
      </c>
      <c r="L452" t="s">
        <v>589</v>
      </c>
      <c r="M452" t="s">
        <v>648</v>
      </c>
      <c r="N452">
        <v>20.62808510638298</v>
      </c>
      <c r="O452">
        <v>11.75</v>
      </c>
      <c r="P452">
        <v>3.56</v>
      </c>
      <c r="Q452">
        <v>0.3029787234042553</v>
      </c>
      <c r="R452">
        <v>8</v>
      </c>
      <c r="S452">
        <v>0.05981824312960904</v>
      </c>
      <c r="T452" t="s">
        <v>950</v>
      </c>
      <c r="U452">
        <v>0.00132777765384</v>
      </c>
      <c r="V452" t="s">
        <v>988</v>
      </c>
      <c r="W452" t="s">
        <v>997</v>
      </c>
      <c r="X452">
        <v>44413.301093</v>
      </c>
      <c r="Y452" s="2">
        <v>45050</v>
      </c>
      <c r="Z452" t="s">
        <v>1010</v>
      </c>
    </row>
    <row r="453" spans="1:26">
      <c r="A453" s="1" t="s">
        <v>477</v>
      </c>
      <c r="B453">
        <f>HYPERLINK("https://www.suredividend.com/sure-analysis-MAR/","Marriott International, Inc.")</f>
        <v>0</v>
      </c>
      <c r="C453" t="s">
        <v>897</v>
      </c>
      <c r="D453">
        <v>178</v>
      </c>
      <c r="E453">
        <v>171.45</v>
      </c>
      <c r="F453">
        <v>149</v>
      </c>
      <c r="G453">
        <v>1.150671140939597</v>
      </c>
      <c r="H453">
        <v>0.009332166812481774</v>
      </c>
      <c r="I453">
        <v>-0.02767879820940577</v>
      </c>
      <c r="J453">
        <v>0.1</v>
      </c>
      <c r="K453">
        <v>0.07659144860695055</v>
      </c>
      <c r="L453" t="s">
        <v>589</v>
      </c>
      <c r="M453" t="s">
        <v>648</v>
      </c>
      <c r="N453">
        <v>20.65662650602409</v>
      </c>
      <c r="O453">
        <v>8.300000000000001</v>
      </c>
      <c r="P453">
        <v>1.6</v>
      </c>
      <c r="Q453">
        <v>0.1927710843373494</v>
      </c>
      <c r="R453">
        <v>1</v>
      </c>
      <c r="S453">
        <v>0</v>
      </c>
      <c r="T453" t="s">
        <v>946</v>
      </c>
      <c r="U453">
        <v>0.245896969516399</v>
      </c>
      <c r="V453" t="s">
        <v>988</v>
      </c>
      <c r="W453" t="s">
        <v>995</v>
      </c>
      <c r="X453">
        <v>52010.070218</v>
      </c>
      <c r="Y453" s="2">
        <v>45069</v>
      </c>
      <c r="Z453" t="s">
        <v>1011</v>
      </c>
    </row>
    <row r="454" spans="1:26">
      <c r="A454" s="1" t="s">
        <v>478</v>
      </c>
      <c r="B454">
        <f>HYPERLINK("https://www.suredividend.com/sure-analysis-LEN/","Lennar Corp.")</f>
        <v>0</v>
      </c>
      <c r="C454" t="s">
        <v>897</v>
      </c>
      <c r="D454">
        <v>115</v>
      </c>
      <c r="E454">
        <v>122.3</v>
      </c>
      <c r="F454">
        <v>114</v>
      </c>
      <c r="G454">
        <v>1.07280701754386</v>
      </c>
      <c r="H454">
        <v>0.01226492232215863</v>
      </c>
      <c r="I454">
        <v>-0.01395739843719679</v>
      </c>
      <c r="J454">
        <v>0.08</v>
      </c>
      <c r="K454">
        <v>0.07575367653103871</v>
      </c>
      <c r="L454" t="s">
        <v>589</v>
      </c>
      <c r="M454" t="s">
        <v>648</v>
      </c>
      <c r="N454">
        <v>12.29145728643216</v>
      </c>
      <c r="O454">
        <v>9.949999999999999</v>
      </c>
      <c r="P454">
        <v>1.5</v>
      </c>
      <c r="Q454">
        <v>0.1507537688442211</v>
      </c>
      <c r="R454">
        <v>3</v>
      </c>
      <c r="S454">
        <v>0.04951444805329408</v>
      </c>
      <c r="T454" t="s">
        <v>923</v>
      </c>
      <c r="U454">
        <v>0.7290887009779311</v>
      </c>
      <c r="V454" t="s">
        <v>988</v>
      </c>
      <c r="W454" t="s">
        <v>1001</v>
      </c>
      <c r="X454">
        <v>34943.221975</v>
      </c>
      <c r="Y454" s="2">
        <v>45092</v>
      </c>
      <c r="Z454" t="s">
        <v>1005</v>
      </c>
    </row>
    <row r="455" spans="1:26">
      <c r="A455" s="1" t="s">
        <v>479</v>
      </c>
      <c r="B455">
        <f>HYPERLINK("https://www.suredividend.com/sure-analysis-KLAC/","KLA Corp.")</f>
        <v>0</v>
      </c>
      <c r="C455" t="s">
        <v>897</v>
      </c>
      <c r="D455">
        <v>459</v>
      </c>
      <c r="E455">
        <v>456.95</v>
      </c>
      <c r="F455">
        <v>422</v>
      </c>
      <c r="G455">
        <v>1.08281990521327</v>
      </c>
      <c r="H455">
        <v>0.01137980085348506</v>
      </c>
      <c r="I455">
        <v>-0.01578777791807084</v>
      </c>
      <c r="J455">
        <v>0.08</v>
      </c>
      <c r="K455">
        <v>0.07465710562802741</v>
      </c>
      <c r="L455" t="s">
        <v>589</v>
      </c>
      <c r="M455" t="s">
        <v>648</v>
      </c>
      <c r="N455">
        <v>18.42540322580645</v>
      </c>
      <c r="O455">
        <v>24.8</v>
      </c>
      <c r="P455">
        <v>5.2</v>
      </c>
      <c r="Q455">
        <v>0.2096774193548387</v>
      </c>
      <c r="R455">
        <v>13</v>
      </c>
      <c r="S455">
        <v>0.09987776596826192</v>
      </c>
      <c r="T455" t="s">
        <v>931</v>
      </c>
      <c r="U455">
        <v>0.36886459878592</v>
      </c>
      <c r="V455" t="s">
        <v>988</v>
      </c>
      <c r="W455" t="s">
        <v>1000</v>
      </c>
      <c r="X455">
        <v>62693.038269</v>
      </c>
      <c r="Y455" s="2">
        <v>45077</v>
      </c>
      <c r="Z455" t="s">
        <v>1008</v>
      </c>
    </row>
    <row r="456" spans="1:26">
      <c r="A456" s="1" t="s">
        <v>480</v>
      </c>
      <c r="B456">
        <f>HYPERLINK("https://www.suredividend.com/sure-analysis-DUK/","Duke Energy Corp.")</f>
        <v>0</v>
      </c>
      <c r="C456" t="s">
        <v>897</v>
      </c>
      <c r="D456">
        <v>97.5</v>
      </c>
      <c r="E456">
        <v>89.72</v>
      </c>
      <c r="F456">
        <v>84.90000000000001</v>
      </c>
      <c r="G456">
        <v>1.056772673733804</v>
      </c>
      <c r="H456">
        <v>0.04480606330806954</v>
      </c>
      <c r="I456">
        <v>-0.01098316302921687</v>
      </c>
      <c r="J456">
        <v>0.046</v>
      </c>
      <c r="K456">
        <v>0.0743811455936616</v>
      </c>
      <c r="L456" t="s">
        <v>589</v>
      </c>
      <c r="M456" t="s">
        <v>900</v>
      </c>
      <c r="N456">
        <v>15.85159010600707</v>
      </c>
      <c r="O456">
        <v>5.66</v>
      </c>
      <c r="P456">
        <v>4.02</v>
      </c>
      <c r="Q456">
        <v>0.7102473498233215</v>
      </c>
      <c r="R456">
        <v>11</v>
      </c>
      <c r="S456">
        <v>0.03218839230223081</v>
      </c>
      <c r="T456" t="s">
        <v>943</v>
      </c>
      <c r="U456">
        <v>-0.05555301578857601</v>
      </c>
      <c r="V456" t="s">
        <v>988</v>
      </c>
      <c r="W456" t="s">
        <v>999</v>
      </c>
      <c r="X456">
        <v>70052.241257</v>
      </c>
      <c r="Y456" s="2">
        <v>45067</v>
      </c>
      <c r="Z456" t="s">
        <v>1013</v>
      </c>
    </row>
    <row r="457" spans="1:26">
      <c r="A457" s="1" t="s">
        <v>481</v>
      </c>
      <c r="B457">
        <f>HYPERLINK("https://www.suredividend.com/sure-analysis-TEL/","TE Connectivity Ltd")</f>
        <v>0</v>
      </c>
      <c r="C457" t="s">
        <v>897</v>
      </c>
      <c r="D457">
        <v>123</v>
      </c>
      <c r="E457">
        <v>133.11</v>
      </c>
      <c r="F457">
        <v>118</v>
      </c>
      <c r="G457">
        <v>1.128050847457627</v>
      </c>
      <c r="H457">
        <v>0.01682818721358275</v>
      </c>
      <c r="I457">
        <v>-0.02381020161698555</v>
      </c>
      <c r="J457">
        <v>0.08500000000000001</v>
      </c>
      <c r="K457">
        <v>0.07425002404277303</v>
      </c>
      <c r="L457" t="s">
        <v>589</v>
      </c>
      <c r="M457" t="s">
        <v>648</v>
      </c>
      <c r="N457">
        <v>20.26027397260274</v>
      </c>
      <c r="O457">
        <v>6.57</v>
      </c>
      <c r="P457">
        <v>2.24</v>
      </c>
      <c r="Q457">
        <v>0.3409436834094369</v>
      </c>
      <c r="R457">
        <v>15</v>
      </c>
      <c r="S457">
        <v>0.05008294028029181</v>
      </c>
      <c r="T457" t="s">
        <v>908</v>
      </c>
      <c r="U457">
        <v>0.144358932034828</v>
      </c>
      <c r="V457" t="s">
        <v>988</v>
      </c>
      <c r="W457" t="s">
        <v>998</v>
      </c>
      <c r="X457">
        <v>41942.961</v>
      </c>
      <c r="Y457" s="2">
        <v>45050</v>
      </c>
      <c r="Z457" t="s">
        <v>1010</v>
      </c>
    </row>
    <row r="458" spans="1:26">
      <c r="A458" s="1" t="s">
        <v>482</v>
      </c>
      <c r="B458">
        <f>HYPERLINK("https://www.suredividend.com/sure-analysis-HMC/","Honda Motor")</f>
        <v>0</v>
      </c>
      <c r="C458" t="s">
        <v>897</v>
      </c>
      <c r="D458">
        <v>29</v>
      </c>
      <c r="E458">
        <v>30.15</v>
      </c>
      <c r="F458">
        <v>33</v>
      </c>
      <c r="G458">
        <v>0.9136363636363636</v>
      </c>
      <c r="H458">
        <v>0.02918739635157546</v>
      </c>
      <c r="I458">
        <v>0.01822867818256024</v>
      </c>
      <c r="J458">
        <v>0.03</v>
      </c>
      <c r="K458">
        <v>0.07392272829837454</v>
      </c>
      <c r="L458" t="s">
        <v>589</v>
      </c>
      <c r="M458" t="s">
        <v>791</v>
      </c>
      <c r="N458">
        <v>7.691326530612245</v>
      </c>
      <c r="O458">
        <v>3.92</v>
      </c>
      <c r="P458">
        <v>0.88</v>
      </c>
      <c r="Q458">
        <v>0.2244897959183673</v>
      </c>
      <c r="R458">
        <v>0</v>
      </c>
      <c r="S458">
        <v>0.02996744995959233</v>
      </c>
      <c r="T458" t="s">
        <v>976</v>
      </c>
      <c r="U458">
        <v>0.247445116552334</v>
      </c>
      <c r="V458" t="s">
        <v>988</v>
      </c>
      <c r="W458" t="s">
        <v>995</v>
      </c>
      <c r="X458">
        <v>54614.567165</v>
      </c>
      <c r="Y458" s="2">
        <v>45075</v>
      </c>
      <c r="Z458" t="s">
        <v>1003</v>
      </c>
    </row>
    <row r="459" spans="1:26">
      <c r="A459" s="1" t="s">
        <v>483</v>
      </c>
      <c r="B459">
        <f>HYPERLINK("https://www.suredividend.com/sure-analysis-LEG/","Leggett &amp; Platt, Inc.")</f>
        <v>0</v>
      </c>
      <c r="C459" t="s">
        <v>897</v>
      </c>
      <c r="D459">
        <v>32</v>
      </c>
      <c r="E459">
        <v>28.87</v>
      </c>
      <c r="F459">
        <v>26</v>
      </c>
      <c r="G459">
        <v>1.110384615384616</v>
      </c>
      <c r="H459">
        <v>0.06373397990994112</v>
      </c>
      <c r="I459">
        <v>-0.02072354490472095</v>
      </c>
      <c r="J459">
        <v>0.04</v>
      </c>
      <c r="K459">
        <v>0.07320246796504382</v>
      </c>
      <c r="L459" t="s">
        <v>589</v>
      </c>
      <c r="M459" t="s">
        <v>899</v>
      </c>
      <c r="N459">
        <v>16.98235294117647</v>
      </c>
      <c r="O459">
        <v>1.7</v>
      </c>
      <c r="P459">
        <v>1.84</v>
      </c>
      <c r="Q459">
        <v>1.082352941176471</v>
      </c>
      <c r="R459">
        <v>52</v>
      </c>
      <c r="S459">
        <v>0.009596641525116301</v>
      </c>
      <c r="T459" t="s">
        <v>916</v>
      </c>
      <c r="U459">
        <v>-0.166587280280132</v>
      </c>
      <c r="V459" t="s">
        <v>988</v>
      </c>
      <c r="W459" t="s">
        <v>995</v>
      </c>
      <c r="X459">
        <v>3842.937348</v>
      </c>
      <c r="Y459" s="2">
        <v>45065</v>
      </c>
      <c r="Z459" t="s">
        <v>1008</v>
      </c>
    </row>
    <row r="460" spans="1:26">
      <c r="A460" s="1" t="s">
        <v>484</v>
      </c>
      <c r="B460">
        <f>HYPERLINK("https://www.suredividend.com/sure-analysis-DFS/","Discover Financial Services")</f>
        <v>0</v>
      </c>
      <c r="C460" t="s">
        <v>896</v>
      </c>
      <c r="D460">
        <v>96</v>
      </c>
      <c r="E460">
        <v>115.42</v>
      </c>
      <c r="F460">
        <v>121</v>
      </c>
      <c r="G460">
        <v>0.9538842975206612</v>
      </c>
      <c r="H460">
        <v>0.02425922717033443</v>
      </c>
      <c r="I460">
        <v>0.009487301066576581</v>
      </c>
      <c r="J460">
        <v>0.04</v>
      </c>
      <c r="K460">
        <v>0.07272467515302972</v>
      </c>
      <c r="L460" t="s">
        <v>589</v>
      </c>
      <c r="M460" t="s">
        <v>791</v>
      </c>
      <c r="N460">
        <v>8.613432835820895</v>
      </c>
      <c r="O460">
        <v>13.4</v>
      </c>
      <c r="P460">
        <v>2.8</v>
      </c>
      <c r="Q460">
        <v>0.208955223880597</v>
      </c>
      <c r="R460">
        <v>11</v>
      </c>
      <c r="S460">
        <v>0.06016789231717445</v>
      </c>
      <c r="T460" t="s">
        <v>947</v>
      </c>
      <c r="U460">
        <v>0.191796409535197</v>
      </c>
      <c r="V460" t="s">
        <v>988</v>
      </c>
      <c r="W460" t="s">
        <v>994</v>
      </c>
      <c r="X460">
        <v>29310.451129</v>
      </c>
      <c r="Y460" s="2">
        <v>45050</v>
      </c>
      <c r="Z460" t="s">
        <v>1008</v>
      </c>
    </row>
    <row r="461" spans="1:26">
      <c r="A461" s="1" t="s">
        <v>485</v>
      </c>
      <c r="B461">
        <f>HYPERLINK("https://www.suredividend.com/sure-analysis-GS/","Goldman Sachs Group, Inc.")</f>
        <v>0</v>
      </c>
      <c r="C461" t="s">
        <v>897</v>
      </c>
      <c r="D461">
        <v>334</v>
      </c>
      <c r="E461">
        <v>314.71</v>
      </c>
      <c r="F461">
        <v>336</v>
      </c>
      <c r="G461">
        <v>0.9366369047619048</v>
      </c>
      <c r="H461">
        <v>0.03177528518318452</v>
      </c>
      <c r="I461">
        <v>0.01317799036899214</v>
      </c>
      <c r="J461">
        <v>0.03</v>
      </c>
      <c r="K461">
        <v>0.07215299554141485</v>
      </c>
      <c r="L461" t="s">
        <v>589</v>
      </c>
      <c r="M461" t="s">
        <v>791</v>
      </c>
      <c r="N461">
        <v>9.834687499999999</v>
      </c>
      <c r="O461">
        <v>32</v>
      </c>
      <c r="P461">
        <v>10</v>
      </c>
      <c r="Q461">
        <v>0.3125</v>
      </c>
      <c r="R461">
        <v>11</v>
      </c>
      <c r="S461">
        <v>0.04005933332616518</v>
      </c>
      <c r="T461" t="s">
        <v>912</v>
      </c>
      <c r="U461">
        <v>0.069854484696331</v>
      </c>
      <c r="V461" t="s">
        <v>988</v>
      </c>
      <c r="W461" t="s">
        <v>994</v>
      </c>
      <c r="X461">
        <v>104624.736201</v>
      </c>
      <c r="Y461" s="2">
        <v>45035</v>
      </c>
      <c r="Z461" t="s">
        <v>1004</v>
      </c>
    </row>
    <row r="462" spans="1:26">
      <c r="A462" s="1" t="s">
        <v>486</v>
      </c>
      <c r="B462">
        <f>HYPERLINK("https://www.suredividend.com/sure-analysis-ORI/","Old Republic International Corp.")</f>
        <v>0</v>
      </c>
      <c r="C462" t="s">
        <v>897</v>
      </c>
      <c r="D462">
        <v>25</v>
      </c>
      <c r="E462">
        <v>24.22</v>
      </c>
      <c r="F462">
        <v>26</v>
      </c>
      <c r="G462">
        <v>0.9315384615384615</v>
      </c>
      <c r="H462">
        <v>0.04046242774566474</v>
      </c>
      <c r="I462">
        <v>0.01428462391632745</v>
      </c>
      <c r="J462">
        <v>0.02</v>
      </c>
      <c r="K462">
        <v>0.07157030920597451</v>
      </c>
      <c r="L462" t="s">
        <v>589</v>
      </c>
      <c r="M462" t="s">
        <v>900</v>
      </c>
      <c r="N462">
        <v>10.3063829787234</v>
      </c>
      <c r="O462">
        <v>2.35</v>
      </c>
      <c r="P462">
        <v>0.98</v>
      </c>
      <c r="Q462">
        <v>0.4170212765957447</v>
      </c>
      <c r="R462">
        <v>42</v>
      </c>
      <c r="S462">
        <v>0.03959498820755258</v>
      </c>
      <c r="T462" t="s">
        <v>918</v>
      </c>
      <c r="U462">
        <v>0.126223524214735</v>
      </c>
      <c r="V462" t="s">
        <v>988</v>
      </c>
      <c r="W462" t="s">
        <v>994</v>
      </c>
      <c r="X462">
        <v>7090.877774</v>
      </c>
      <c r="Y462" s="2">
        <v>45047</v>
      </c>
      <c r="Z462" t="s">
        <v>1004</v>
      </c>
    </row>
    <row r="463" spans="1:26">
      <c r="A463" s="1" t="s">
        <v>487</v>
      </c>
      <c r="B463">
        <f>HYPERLINK("https://www.suredividend.com/sure-analysis-UBS/","UBS Group AG")</f>
        <v>0</v>
      </c>
      <c r="C463" t="s">
        <v>897</v>
      </c>
      <c r="D463">
        <v>20</v>
      </c>
      <c r="E463">
        <v>19.76</v>
      </c>
      <c r="F463">
        <v>20</v>
      </c>
      <c r="G463">
        <v>0.9880000000000001</v>
      </c>
      <c r="H463">
        <v>0.02783400809716599</v>
      </c>
      <c r="I463">
        <v>0.002417433538683955</v>
      </c>
      <c r="J463">
        <v>0.04</v>
      </c>
      <c r="K463">
        <v>0.0678226889501734</v>
      </c>
      <c r="L463" t="s">
        <v>589</v>
      </c>
      <c r="M463" t="s">
        <v>791</v>
      </c>
      <c r="N463">
        <v>8.233333333333334</v>
      </c>
      <c r="O463">
        <v>2.4</v>
      </c>
      <c r="P463">
        <v>0.55</v>
      </c>
      <c r="Q463">
        <v>0.2291666666666667</v>
      </c>
      <c r="R463">
        <v>2</v>
      </c>
      <c r="S463">
        <v>0.04026125343417397</v>
      </c>
      <c r="T463" t="s">
        <v>949</v>
      </c>
      <c r="U463">
        <v>0.190139190873993</v>
      </c>
      <c r="V463" t="s">
        <v>988</v>
      </c>
      <c r="W463" t="s">
        <v>994</v>
      </c>
      <c r="X463">
        <v>68410.853387</v>
      </c>
      <c r="Y463" s="2">
        <v>45042</v>
      </c>
      <c r="Z463" t="s">
        <v>1007</v>
      </c>
    </row>
    <row r="464" spans="1:26">
      <c r="A464" s="1" t="s">
        <v>488</v>
      </c>
      <c r="B464">
        <f>HYPERLINK("https://www.suredividend.com/sure-analysis-HPQ/","HP Inc")</f>
        <v>0</v>
      </c>
      <c r="C464" t="s">
        <v>897</v>
      </c>
      <c r="D464">
        <v>31</v>
      </c>
      <c r="E464">
        <v>29.61</v>
      </c>
      <c r="F464">
        <v>30</v>
      </c>
      <c r="G464">
        <v>0.987</v>
      </c>
      <c r="H464">
        <v>0.03546099290780142</v>
      </c>
      <c r="I464">
        <v>0.00262047536890142</v>
      </c>
      <c r="J464">
        <v>0.03</v>
      </c>
      <c r="K464">
        <v>0.06759971678137555</v>
      </c>
      <c r="L464" t="s">
        <v>589</v>
      </c>
      <c r="M464" t="s">
        <v>589</v>
      </c>
      <c r="N464">
        <v>8.972727272727273</v>
      </c>
      <c r="O464">
        <v>3.3</v>
      </c>
      <c r="P464">
        <v>1.05</v>
      </c>
      <c r="Q464">
        <v>0.3181818181818182</v>
      </c>
      <c r="R464">
        <v>12</v>
      </c>
      <c r="S464">
        <v>0.06073271303853334</v>
      </c>
      <c r="T464" t="s">
        <v>932</v>
      </c>
      <c r="U464">
        <v>-0.128902434719165</v>
      </c>
      <c r="V464" t="s">
        <v>988</v>
      </c>
      <c r="W464" t="s">
        <v>1000</v>
      </c>
      <c r="X464">
        <v>29194.160536</v>
      </c>
      <c r="Y464" s="2">
        <v>45077</v>
      </c>
      <c r="Z464" t="s">
        <v>1008</v>
      </c>
    </row>
    <row r="465" spans="1:26">
      <c r="A465" s="1" t="s">
        <v>489</v>
      </c>
      <c r="B465">
        <f>HYPERLINK("https://www.suredividend.com/sure-analysis-BG/","Bunge Ltd.")</f>
        <v>0</v>
      </c>
      <c r="C465" t="s">
        <v>897</v>
      </c>
      <c r="D465">
        <v>92</v>
      </c>
      <c r="E465">
        <v>94.04000000000001</v>
      </c>
      <c r="F465">
        <v>120</v>
      </c>
      <c r="G465">
        <v>0.7836666666666667</v>
      </c>
      <c r="H465">
        <v>0.02817949808592088</v>
      </c>
      <c r="I465">
        <v>0.04996234731035698</v>
      </c>
      <c r="J465">
        <v>-0.01</v>
      </c>
      <c r="K465">
        <v>0.06743688904313894</v>
      </c>
      <c r="L465" t="s">
        <v>589</v>
      </c>
      <c r="M465" t="s">
        <v>791</v>
      </c>
      <c r="N465">
        <v>7.856307435254804</v>
      </c>
      <c r="O465">
        <v>11.97</v>
      </c>
      <c r="P465">
        <v>2.65</v>
      </c>
      <c r="Q465">
        <v>0.2213868003341687</v>
      </c>
      <c r="R465">
        <v>4</v>
      </c>
      <c r="S465">
        <v>0.0678749251920443</v>
      </c>
      <c r="T465" t="s">
        <v>908</v>
      </c>
      <c r="U465">
        <v>0.09176566742941601</v>
      </c>
      <c r="V465" t="s">
        <v>988</v>
      </c>
      <c r="W465" t="s">
        <v>997</v>
      </c>
      <c r="X465">
        <v>14162.070974</v>
      </c>
      <c r="Y465" s="2">
        <v>45062</v>
      </c>
      <c r="Z465" t="s">
        <v>1005</v>
      </c>
    </row>
    <row r="466" spans="1:26">
      <c r="A466" s="1" t="s">
        <v>490</v>
      </c>
      <c r="B466">
        <f>HYPERLINK("https://www.suredividend.com/sure-analysis-JBL/","Jabil Inc")</f>
        <v>0</v>
      </c>
      <c r="C466" t="s">
        <v>897</v>
      </c>
      <c r="D466">
        <v>105</v>
      </c>
      <c r="E466">
        <v>103.04</v>
      </c>
      <c r="F466">
        <v>94</v>
      </c>
      <c r="G466">
        <v>1.096170212765958</v>
      </c>
      <c r="H466">
        <v>0.003105590062111801</v>
      </c>
      <c r="I466">
        <v>-0.01819689619052267</v>
      </c>
      <c r="J466">
        <v>0.08</v>
      </c>
      <c r="K466">
        <v>0.06279274334516916</v>
      </c>
      <c r="L466" t="s">
        <v>589</v>
      </c>
      <c r="M466" t="s">
        <v>648</v>
      </c>
      <c r="N466">
        <v>12.12235294117647</v>
      </c>
      <c r="O466">
        <v>8.5</v>
      </c>
      <c r="P466">
        <v>0.32</v>
      </c>
      <c r="Q466">
        <v>0.03764705882352942</v>
      </c>
      <c r="R466">
        <v>0</v>
      </c>
      <c r="S466">
        <v>0</v>
      </c>
      <c r="T466" t="s">
        <v>931</v>
      </c>
      <c r="U466">
        <v>0.8928650157983681</v>
      </c>
      <c r="V466" t="s">
        <v>988</v>
      </c>
      <c r="W466" t="s">
        <v>1000</v>
      </c>
      <c r="X466">
        <v>13671.791612</v>
      </c>
      <c r="Y466" s="2">
        <v>45098</v>
      </c>
      <c r="Z466" t="s">
        <v>1010</v>
      </c>
    </row>
    <row r="467" spans="1:26">
      <c r="A467" s="1" t="s">
        <v>491</v>
      </c>
      <c r="B467">
        <f>HYPERLINK("https://www.suredividend.com/sure-analysis-TRTN/","Triton International Ltd")</f>
        <v>0</v>
      </c>
      <c r="C467" t="s">
        <v>897</v>
      </c>
      <c r="D467">
        <v>82</v>
      </c>
      <c r="E467">
        <v>83</v>
      </c>
      <c r="F467">
        <v>82</v>
      </c>
      <c r="G467">
        <v>1.01219512195122</v>
      </c>
      <c r="H467">
        <v>0.03373493975903614</v>
      </c>
      <c r="I467">
        <v>-0.00242133593202043</v>
      </c>
      <c r="J467">
        <v>0.03</v>
      </c>
      <c r="K467">
        <v>0.06232751761778688</v>
      </c>
      <c r="L467" t="s">
        <v>589</v>
      </c>
      <c r="M467" t="s">
        <v>589</v>
      </c>
      <c r="N467">
        <v>8.097560975609756</v>
      </c>
      <c r="O467">
        <v>10.25</v>
      </c>
      <c r="P467">
        <v>2.8</v>
      </c>
      <c r="Q467">
        <v>0.273170731707317</v>
      </c>
      <c r="R467">
        <v>7</v>
      </c>
      <c r="S467">
        <v>0.07015553929861928</v>
      </c>
      <c r="T467" t="s">
        <v>951</v>
      </c>
      <c r="U467">
        <v>0.7002656473648631</v>
      </c>
      <c r="V467" t="s">
        <v>988</v>
      </c>
      <c r="W467" t="s">
        <v>993</v>
      </c>
      <c r="X467">
        <v>4585.013823</v>
      </c>
      <c r="Y467" s="2">
        <v>45056</v>
      </c>
      <c r="Z467" t="s">
        <v>1012</v>
      </c>
    </row>
    <row r="468" spans="1:26">
      <c r="A468" s="1" t="s">
        <v>492</v>
      </c>
      <c r="B468">
        <f>HYPERLINK("https://www.suredividend.com/sure-analysis-MMC/","Marsh &amp; McLennan Cos., Inc.")</f>
        <v>0</v>
      </c>
      <c r="C468" t="s">
        <v>897</v>
      </c>
      <c r="D468">
        <v>180</v>
      </c>
      <c r="E468">
        <v>183.73</v>
      </c>
      <c r="F468">
        <v>171</v>
      </c>
      <c r="G468">
        <v>1.074444444444444</v>
      </c>
      <c r="H468">
        <v>0.01284493550318402</v>
      </c>
      <c r="I468">
        <v>-0.01425812274505978</v>
      </c>
      <c r="J468">
        <v>0.065</v>
      </c>
      <c r="K468">
        <v>0.06216343571265792</v>
      </c>
      <c r="L468" t="s">
        <v>589</v>
      </c>
      <c r="M468" t="s">
        <v>648</v>
      </c>
      <c r="N468">
        <v>24.14323258869908</v>
      </c>
      <c r="O468">
        <v>7.61</v>
      </c>
      <c r="P468">
        <v>2.36</v>
      </c>
      <c r="Q468">
        <v>0.3101182654402102</v>
      </c>
      <c r="R468">
        <v>12</v>
      </c>
      <c r="S468">
        <v>0.0601199707922162</v>
      </c>
      <c r="T468" t="s">
        <v>959</v>
      </c>
      <c r="U468">
        <v>0.173569925234659</v>
      </c>
      <c r="V468" t="s">
        <v>988</v>
      </c>
      <c r="W468" t="s">
        <v>994</v>
      </c>
      <c r="X468">
        <v>90895.150696</v>
      </c>
      <c r="Y468" s="2">
        <v>45050</v>
      </c>
      <c r="Z468" t="s">
        <v>1010</v>
      </c>
    </row>
    <row r="469" spans="1:26">
      <c r="A469" s="1" t="s">
        <v>493</v>
      </c>
      <c r="B469">
        <f>HYPERLINK("https://www.suredividend.com/sure-analysis-LII/","Lennox International Inc")</f>
        <v>0</v>
      </c>
      <c r="C469" t="s">
        <v>897</v>
      </c>
      <c r="D469">
        <v>281</v>
      </c>
      <c r="E469">
        <v>311.71</v>
      </c>
      <c r="F469">
        <v>266</v>
      </c>
      <c r="G469">
        <v>1.171842105263158</v>
      </c>
      <c r="H469">
        <v>0.01411568445029034</v>
      </c>
      <c r="I469">
        <v>-0.03121773389431937</v>
      </c>
      <c r="J469">
        <v>0.08</v>
      </c>
      <c r="K469">
        <v>0.06171959801241078</v>
      </c>
      <c r="L469" t="s">
        <v>589</v>
      </c>
      <c r="M469" t="s">
        <v>648</v>
      </c>
      <c r="N469">
        <v>21.1328813559322</v>
      </c>
      <c r="O469">
        <v>14.75</v>
      </c>
      <c r="P469">
        <v>4.4</v>
      </c>
      <c r="Q469">
        <v>0.2983050847457627</v>
      </c>
      <c r="R469">
        <v>15</v>
      </c>
      <c r="S469">
        <v>0.1016638711358706</v>
      </c>
      <c r="T469" t="s">
        <v>906</v>
      </c>
      <c r="U469">
        <v>0.5590910045785881</v>
      </c>
      <c r="V469" t="s">
        <v>988</v>
      </c>
      <c r="W469" t="s">
        <v>993</v>
      </c>
      <c r="X469">
        <v>11066.187527</v>
      </c>
      <c r="Y469" s="2">
        <v>45044</v>
      </c>
      <c r="Z469" t="s">
        <v>1012</v>
      </c>
    </row>
    <row r="470" spans="1:26">
      <c r="A470" s="1" t="s">
        <v>494</v>
      </c>
      <c r="B470">
        <f>HYPERLINK("https://www.suredividend.com/sure-analysis-APOG/","Apogee Enterprises Inc.")</f>
        <v>0</v>
      </c>
      <c r="C470" t="s">
        <v>897</v>
      </c>
      <c r="D470">
        <v>40</v>
      </c>
      <c r="E470">
        <v>46.89</v>
      </c>
      <c r="F470">
        <v>45</v>
      </c>
      <c r="G470">
        <v>1.042</v>
      </c>
      <c r="H470">
        <v>0.02047344849648113</v>
      </c>
      <c r="I470">
        <v>-0.008194628137922932</v>
      </c>
      <c r="J470">
        <v>0.05</v>
      </c>
      <c r="K470">
        <v>0.06136983083356817</v>
      </c>
      <c r="L470" t="s">
        <v>589</v>
      </c>
      <c r="M470" t="s">
        <v>791</v>
      </c>
      <c r="N470">
        <v>11.87088607594937</v>
      </c>
      <c r="O470">
        <v>3.95</v>
      </c>
      <c r="P470">
        <v>0.96</v>
      </c>
      <c r="Q470">
        <v>0.2430379746835443</v>
      </c>
      <c r="R470">
        <v>10</v>
      </c>
      <c r="S470">
        <v>0.05922384104881218</v>
      </c>
      <c r="T470" t="s">
        <v>955</v>
      </c>
      <c r="U470">
        <v>0.149129514174803</v>
      </c>
      <c r="V470" t="s">
        <v>988</v>
      </c>
      <c r="W470" t="s">
        <v>993</v>
      </c>
      <c r="X470">
        <v>1044.962969</v>
      </c>
      <c r="Y470" s="2">
        <v>45057</v>
      </c>
      <c r="Z470" t="s">
        <v>1010</v>
      </c>
    </row>
    <row r="471" spans="1:26">
      <c r="A471" s="1" t="s">
        <v>495</v>
      </c>
      <c r="B471">
        <f>HYPERLINK("https://www.suredividend.com/sure-analysis-NAVI/","Navient Corp")</f>
        <v>0</v>
      </c>
      <c r="C471" t="s">
        <v>896</v>
      </c>
      <c r="D471">
        <v>15</v>
      </c>
      <c r="E471">
        <v>17.97</v>
      </c>
      <c r="F471">
        <v>19</v>
      </c>
      <c r="G471">
        <v>0.9457894736842105</v>
      </c>
      <c r="H471">
        <v>0.03561491374513077</v>
      </c>
      <c r="I471">
        <v>0.0112094155937279</v>
      </c>
      <c r="J471">
        <v>0.02</v>
      </c>
      <c r="K471">
        <v>0.06114025396111789</v>
      </c>
      <c r="L471" t="s">
        <v>589</v>
      </c>
      <c r="M471" t="s">
        <v>589</v>
      </c>
      <c r="N471">
        <v>5.563467492260061</v>
      </c>
      <c r="O471">
        <v>3.23</v>
      </c>
      <c r="P471">
        <v>0.64</v>
      </c>
      <c r="Q471">
        <v>0.1981424148606811</v>
      </c>
      <c r="R471">
        <v>0</v>
      </c>
      <c r="S471">
        <v>0</v>
      </c>
      <c r="T471" t="s">
        <v>930</v>
      </c>
      <c r="U471">
        <v>0.312282290396313</v>
      </c>
      <c r="V471" t="s">
        <v>988</v>
      </c>
      <c r="W471" t="s">
        <v>994</v>
      </c>
      <c r="X471">
        <v>2272.573265</v>
      </c>
      <c r="Y471" s="2">
        <v>45071</v>
      </c>
      <c r="Z471" t="s">
        <v>1008</v>
      </c>
    </row>
    <row r="472" spans="1:26">
      <c r="A472" s="1" t="s">
        <v>496</v>
      </c>
      <c r="B472">
        <f>HYPERLINK("https://www.suredividend.com/sure-analysis-CLX/","Clorox Co.")</f>
        <v>0</v>
      </c>
      <c r="C472" t="s">
        <v>897</v>
      </c>
      <c r="D472">
        <v>171</v>
      </c>
      <c r="E472">
        <v>156.14</v>
      </c>
      <c r="F472">
        <v>104</v>
      </c>
      <c r="G472">
        <v>1.501346153846154</v>
      </c>
      <c r="H472">
        <v>0.03022928141411554</v>
      </c>
      <c r="I472">
        <v>-0.07805750600618511</v>
      </c>
      <c r="J472">
        <v>0.12</v>
      </c>
      <c r="K472">
        <v>0.06092493304782876</v>
      </c>
      <c r="L472" t="s">
        <v>589</v>
      </c>
      <c r="M472" t="s">
        <v>589</v>
      </c>
      <c r="N472">
        <v>34.69777777777777</v>
      </c>
      <c r="O472">
        <v>4.5</v>
      </c>
      <c r="P472">
        <v>4.72</v>
      </c>
      <c r="Q472">
        <v>1.048888888888889</v>
      </c>
      <c r="R472">
        <v>45</v>
      </c>
      <c r="S472">
        <v>0.03990574802440205</v>
      </c>
      <c r="T472" t="s">
        <v>923</v>
      </c>
      <c r="U472">
        <v>0.145452851490944</v>
      </c>
      <c r="V472" t="s">
        <v>988</v>
      </c>
      <c r="W472" t="s">
        <v>997</v>
      </c>
      <c r="X472">
        <v>19302.577037</v>
      </c>
      <c r="Y472" s="2">
        <v>45051</v>
      </c>
      <c r="Z472" t="s">
        <v>1004</v>
      </c>
    </row>
    <row r="473" spans="1:26">
      <c r="A473" s="1" t="s">
        <v>497</v>
      </c>
      <c r="B473">
        <f>HYPERLINK("https://www.suredividend.com/sure-analysis-SO/","Southern Company")</f>
        <v>0</v>
      </c>
      <c r="C473" t="s">
        <v>897</v>
      </c>
      <c r="D473">
        <v>74</v>
      </c>
      <c r="E473">
        <v>70.45</v>
      </c>
      <c r="F473">
        <v>62</v>
      </c>
      <c r="G473">
        <v>1.136290322580645</v>
      </c>
      <c r="H473">
        <v>0.03974449964513839</v>
      </c>
      <c r="I473">
        <v>-0.02523003646766142</v>
      </c>
      <c r="J473">
        <v>0.05</v>
      </c>
      <c r="K473">
        <v>0.0605864761258712</v>
      </c>
      <c r="L473" t="s">
        <v>589</v>
      </c>
      <c r="M473" t="s">
        <v>900</v>
      </c>
      <c r="N473">
        <v>19.46132596685083</v>
      </c>
      <c r="O473">
        <v>3.62</v>
      </c>
      <c r="P473">
        <v>2.8</v>
      </c>
      <c r="Q473">
        <v>0.7734806629834253</v>
      </c>
      <c r="R473">
        <v>22</v>
      </c>
      <c r="S473">
        <v>0.03215082129087299</v>
      </c>
      <c r="T473" t="s">
        <v>931</v>
      </c>
      <c r="U473">
        <v>0.049104649864115</v>
      </c>
      <c r="V473" t="s">
        <v>988</v>
      </c>
      <c r="W473" t="s">
        <v>999</v>
      </c>
      <c r="X473">
        <v>76818.858943</v>
      </c>
      <c r="Y473" s="2">
        <v>45049</v>
      </c>
      <c r="Z473" t="s">
        <v>1007</v>
      </c>
    </row>
    <row r="474" spans="1:26">
      <c r="A474" s="1" t="s">
        <v>498</v>
      </c>
      <c r="B474">
        <f>HYPERLINK("https://www.suredividend.com/sure-analysis-SAXPY/","Sampo Plc")</f>
        <v>0</v>
      </c>
      <c r="C474" t="s">
        <v>897</v>
      </c>
      <c r="D474">
        <v>23.79</v>
      </c>
      <c r="E474">
        <v>22.33</v>
      </c>
      <c r="F474">
        <v>19.8</v>
      </c>
      <c r="G474">
        <v>1.127777777777778</v>
      </c>
      <c r="H474">
        <v>0.06224809673085535</v>
      </c>
      <c r="I474">
        <v>-0.02376293308110711</v>
      </c>
      <c r="J474">
        <v>0.025</v>
      </c>
      <c r="K474">
        <v>0.06000383199813286</v>
      </c>
      <c r="L474" t="s">
        <v>589</v>
      </c>
      <c r="M474" t="s">
        <v>899</v>
      </c>
      <c r="N474">
        <v>1.240555555555555</v>
      </c>
      <c r="O474">
        <v>18</v>
      </c>
      <c r="P474">
        <v>1.39</v>
      </c>
      <c r="Q474">
        <v>0.07722222222222222</v>
      </c>
      <c r="R474">
        <v>2</v>
      </c>
      <c r="S474">
        <v>0.02465336452545563</v>
      </c>
      <c r="T474" t="s">
        <v>929</v>
      </c>
      <c r="U474">
        <v>0.032362459546925</v>
      </c>
      <c r="V474" t="s">
        <v>988</v>
      </c>
      <c r="W474" t="s">
        <v>994</v>
      </c>
      <c r="X474">
        <v>22820.267164</v>
      </c>
      <c r="Y474" s="2">
        <v>44992</v>
      </c>
      <c r="Z474" t="s">
        <v>1003</v>
      </c>
    </row>
    <row r="475" spans="1:26">
      <c r="A475" s="1" t="s">
        <v>499</v>
      </c>
      <c r="B475">
        <f>HYPERLINK("https://www.suredividend.com/sure-analysis-TKR/","Timken Co.")</f>
        <v>0</v>
      </c>
      <c r="C475" t="s">
        <v>897</v>
      </c>
      <c r="D475">
        <v>75</v>
      </c>
      <c r="E475">
        <v>84.91</v>
      </c>
      <c r="F475">
        <v>91</v>
      </c>
      <c r="G475">
        <v>0.933076923076923</v>
      </c>
      <c r="H475">
        <v>0.01554587209987045</v>
      </c>
      <c r="I475">
        <v>0.01394993167252778</v>
      </c>
      <c r="J475">
        <v>0.03</v>
      </c>
      <c r="K475">
        <v>0.05828322387972573</v>
      </c>
      <c r="L475" t="s">
        <v>589</v>
      </c>
      <c r="M475" t="s">
        <v>791</v>
      </c>
      <c r="N475">
        <v>12.13</v>
      </c>
      <c r="O475">
        <v>7</v>
      </c>
      <c r="P475">
        <v>1.32</v>
      </c>
      <c r="Q475">
        <v>0.1885714285714286</v>
      </c>
      <c r="R475">
        <v>10</v>
      </c>
      <c r="S475">
        <v>0.02996744995959233</v>
      </c>
      <c r="T475" t="s">
        <v>954</v>
      </c>
      <c r="U475">
        <v>0.5736750901188921</v>
      </c>
      <c r="V475" t="s">
        <v>988</v>
      </c>
      <c r="W475" t="s">
        <v>993</v>
      </c>
      <c r="X475">
        <v>6147.077706</v>
      </c>
      <c r="Y475" s="2">
        <v>45072</v>
      </c>
      <c r="Z475" t="s">
        <v>1014</v>
      </c>
    </row>
    <row r="476" spans="1:26">
      <c r="A476" s="1" t="s">
        <v>500</v>
      </c>
      <c r="B476">
        <f>HYPERLINK("https://www.suredividend.com/sure-analysis-DINO/","HF Sinclair Corporation")</f>
        <v>0</v>
      </c>
      <c r="C476" t="s">
        <v>897</v>
      </c>
      <c r="D476">
        <v>40</v>
      </c>
      <c r="E476">
        <v>42.5</v>
      </c>
      <c r="F476">
        <v>79</v>
      </c>
      <c r="G476">
        <v>0.5379746835443038</v>
      </c>
      <c r="H476">
        <v>0.04235294117647059</v>
      </c>
      <c r="I476">
        <v>0.1320031419001759</v>
      </c>
      <c r="J476">
        <v>-0.1</v>
      </c>
      <c r="K476">
        <v>0.05762501234106732</v>
      </c>
      <c r="L476" t="s">
        <v>589</v>
      </c>
      <c r="M476" t="s">
        <v>589</v>
      </c>
      <c r="N476">
        <v>5.51948051948052</v>
      </c>
      <c r="O476">
        <v>7.7</v>
      </c>
      <c r="P476">
        <v>1.8</v>
      </c>
      <c r="Q476">
        <v>0.2337662337662338</v>
      </c>
      <c r="R476">
        <v>2</v>
      </c>
      <c r="S476">
        <v>0.02129568760013512</v>
      </c>
      <c r="T476" t="s">
        <v>937</v>
      </c>
      <c r="U476">
        <v>0.011028537172545</v>
      </c>
      <c r="V476" t="s">
        <v>988</v>
      </c>
      <c r="W476" t="s">
        <v>1002</v>
      </c>
      <c r="X476">
        <v>8173.050008</v>
      </c>
      <c r="Y476" s="2">
        <v>45058</v>
      </c>
      <c r="Z476" t="s">
        <v>1007</v>
      </c>
    </row>
    <row r="477" spans="1:26">
      <c r="A477" s="1" t="s">
        <v>501</v>
      </c>
      <c r="B477">
        <f>HYPERLINK("https://www.suredividend.com/sure-analysis-M/","Macy`s Inc")</f>
        <v>0</v>
      </c>
      <c r="C477" t="s">
        <v>897</v>
      </c>
      <c r="D477">
        <v>14</v>
      </c>
      <c r="E477">
        <v>15</v>
      </c>
      <c r="F477">
        <v>18</v>
      </c>
      <c r="G477">
        <v>0.8333333333333334</v>
      </c>
      <c r="H477">
        <v>0.044</v>
      </c>
      <c r="I477">
        <v>0.03713728933664817</v>
      </c>
      <c r="J477">
        <v>-0.02</v>
      </c>
      <c r="K477">
        <v>0.05559817756217278</v>
      </c>
      <c r="L477" t="s">
        <v>589</v>
      </c>
      <c r="M477" t="s">
        <v>900</v>
      </c>
      <c r="N477">
        <v>5.084745762711864</v>
      </c>
      <c r="O477">
        <v>2.95</v>
      </c>
      <c r="P477">
        <v>0.66</v>
      </c>
      <c r="Q477">
        <v>0.223728813559322</v>
      </c>
      <c r="R477">
        <v>3</v>
      </c>
      <c r="S477">
        <v>0.008929989071996269</v>
      </c>
      <c r="T477" t="s">
        <v>916</v>
      </c>
      <c r="U477">
        <v>-0.258369302422165</v>
      </c>
      <c r="V477" t="s">
        <v>988</v>
      </c>
      <c r="W477" t="s">
        <v>995</v>
      </c>
      <c r="X477">
        <v>4087.946805</v>
      </c>
      <c r="Y477" s="2">
        <v>45079</v>
      </c>
      <c r="Z477" t="s">
        <v>1008</v>
      </c>
    </row>
    <row r="478" spans="1:26">
      <c r="A478" s="1" t="s">
        <v>502</v>
      </c>
      <c r="B478">
        <f>HYPERLINK("https://www.suredividend.com/sure-analysis-BUD/","Anheuser-Busch In Bev SA/NV")</f>
        <v>0</v>
      </c>
      <c r="C478" t="s">
        <v>897</v>
      </c>
      <c r="D478">
        <v>56</v>
      </c>
      <c r="E478">
        <v>57.12</v>
      </c>
      <c r="F478">
        <v>62</v>
      </c>
      <c r="G478">
        <v>0.9212903225806451</v>
      </c>
      <c r="H478">
        <v>0.009278711484593839</v>
      </c>
      <c r="I478">
        <v>0.01653116567296697</v>
      </c>
      <c r="J478">
        <v>0.03</v>
      </c>
      <c r="K478">
        <v>0.05463638047918673</v>
      </c>
      <c r="L478" t="s">
        <v>589</v>
      </c>
      <c r="M478" t="s">
        <v>648</v>
      </c>
      <c r="N478">
        <v>18.36655948553055</v>
      </c>
      <c r="O478">
        <v>3.11</v>
      </c>
      <c r="P478">
        <v>0.53</v>
      </c>
      <c r="Q478">
        <v>0.1704180064308682</v>
      </c>
      <c r="R478">
        <v>0</v>
      </c>
      <c r="S478">
        <v>0</v>
      </c>
      <c r="T478" t="s">
        <v>950</v>
      </c>
      <c r="U478">
        <v>0.124630158116511</v>
      </c>
      <c r="V478" t="s">
        <v>988</v>
      </c>
      <c r="W478" t="s">
        <v>997</v>
      </c>
      <c r="X478">
        <v>100566.328715</v>
      </c>
      <c r="Y478" s="2">
        <v>45091</v>
      </c>
      <c r="Z478" t="s">
        <v>1016</v>
      </c>
    </row>
    <row r="479" spans="1:26">
      <c r="A479" s="1" t="s">
        <v>503</v>
      </c>
      <c r="B479">
        <f>HYPERLINK("https://www.suredividend.com/sure-analysis-AVT/","Avnet Inc.")</f>
        <v>0</v>
      </c>
      <c r="C479" t="s">
        <v>897</v>
      </c>
      <c r="D479">
        <v>43</v>
      </c>
      <c r="E479">
        <v>47.23</v>
      </c>
      <c r="F479">
        <v>50</v>
      </c>
      <c r="G479">
        <v>0.9445999999999999</v>
      </c>
      <c r="H479">
        <v>0.02456066059707813</v>
      </c>
      <c r="I479">
        <v>0.01146395753732232</v>
      </c>
      <c r="J479">
        <v>0.015</v>
      </c>
      <c r="K479">
        <v>0.0538479070306741</v>
      </c>
      <c r="L479" t="s">
        <v>589</v>
      </c>
      <c r="M479" t="s">
        <v>791</v>
      </c>
      <c r="N479">
        <v>7.496825396825397</v>
      </c>
      <c r="O479">
        <v>6.3</v>
      </c>
      <c r="P479">
        <v>1.16</v>
      </c>
      <c r="Q479">
        <v>0.1841269841269841</v>
      </c>
      <c r="R479">
        <v>10</v>
      </c>
      <c r="S479">
        <v>0.08818580259076003</v>
      </c>
      <c r="T479" t="s">
        <v>920</v>
      </c>
      <c r="U479">
        <v>0.143882661809867</v>
      </c>
      <c r="V479" t="s">
        <v>988</v>
      </c>
      <c r="W479" t="s">
        <v>1000</v>
      </c>
      <c r="X479">
        <v>4316.791253</v>
      </c>
      <c r="Y479" s="2">
        <v>45056</v>
      </c>
      <c r="Z479" t="s">
        <v>1005</v>
      </c>
    </row>
    <row r="480" spans="1:26">
      <c r="A480" s="1" t="s">
        <v>504</v>
      </c>
      <c r="B480">
        <f>HYPERLINK("https://www.suredividend.com/sure-analysis-AVA/","Avista Corp.")</f>
        <v>0</v>
      </c>
      <c r="C480" t="s">
        <v>897</v>
      </c>
      <c r="D480">
        <v>41</v>
      </c>
      <c r="E480">
        <v>38.42</v>
      </c>
      <c r="F480">
        <v>34</v>
      </c>
      <c r="G480">
        <v>1.13</v>
      </c>
      <c r="H480">
        <v>0.04789172306090578</v>
      </c>
      <c r="I480">
        <v>-0.02414720285851069</v>
      </c>
      <c r="J480">
        <v>0.03</v>
      </c>
      <c r="K480">
        <v>0.05185047752440308</v>
      </c>
      <c r="L480" t="s">
        <v>589</v>
      </c>
      <c r="M480" t="s">
        <v>900</v>
      </c>
      <c r="N480">
        <v>16.92511013215859</v>
      </c>
      <c r="O480">
        <v>2.27</v>
      </c>
      <c r="P480">
        <v>1.84</v>
      </c>
      <c r="Q480">
        <v>0.8105726872246697</v>
      </c>
      <c r="R480">
        <v>20</v>
      </c>
      <c r="S480">
        <v>0.02970389632989523</v>
      </c>
      <c r="T480" t="s">
        <v>946</v>
      </c>
      <c r="U480">
        <v>-0.031480659863671</v>
      </c>
      <c r="V480" t="s">
        <v>988</v>
      </c>
      <c r="W480" t="s">
        <v>999</v>
      </c>
      <c r="X480">
        <v>2910.834169</v>
      </c>
      <c r="Y480" s="2">
        <v>45075</v>
      </c>
      <c r="Z480" t="s">
        <v>1009</v>
      </c>
    </row>
    <row r="481" spans="1:26">
      <c r="A481" s="1" t="s">
        <v>505</v>
      </c>
      <c r="B481">
        <f>HYPERLINK("https://www.suredividend.com/sure-analysis-HPE/","Hewlett Packard Enterprise Co")</f>
        <v>0</v>
      </c>
      <c r="C481" t="s">
        <v>897</v>
      </c>
      <c r="D481">
        <v>14.48</v>
      </c>
      <c r="E481">
        <v>16.52</v>
      </c>
      <c r="F481">
        <v>15.75</v>
      </c>
      <c r="G481">
        <v>1.048888888888889</v>
      </c>
      <c r="H481">
        <v>0.02905569007263923</v>
      </c>
      <c r="I481">
        <v>-0.009500859476986978</v>
      </c>
      <c r="J481">
        <v>0.03</v>
      </c>
      <c r="K481">
        <v>0.0486702552991376</v>
      </c>
      <c r="L481" t="s">
        <v>589</v>
      </c>
      <c r="M481" t="s">
        <v>791</v>
      </c>
      <c r="N481">
        <v>7.866666666666666</v>
      </c>
      <c r="O481">
        <v>2.1</v>
      </c>
      <c r="P481">
        <v>0.48</v>
      </c>
      <c r="Q481">
        <v>0.2285714285714286</v>
      </c>
      <c r="R481">
        <v>0</v>
      </c>
      <c r="S481">
        <v>0.03857377308425858</v>
      </c>
      <c r="T481" t="s">
        <v>916</v>
      </c>
      <c r="U481">
        <v>0.213519132025298</v>
      </c>
      <c r="V481" t="s">
        <v>988</v>
      </c>
      <c r="W481" t="s">
        <v>1000</v>
      </c>
      <c r="X481">
        <v>21335.879656</v>
      </c>
      <c r="Y481" s="2">
        <v>45077</v>
      </c>
      <c r="Z481" t="s">
        <v>1012</v>
      </c>
    </row>
    <row r="482" spans="1:26">
      <c r="A482" s="1" t="s">
        <v>506</v>
      </c>
      <c r="B482">
        <f>HYPERLINK("https://www.suredividend.com/sure-analysis-DLB/","Dolby Laboratories Inc")</f>
        <v>0</v>
      </c>
      <c r="C482" t="s">
        <v>897</v>
      </c>
      <c r="D482">
        <v>83</v>
      </c>
      <c r="E482">
        <v>80.93000000000001</v>
      </c>
      <c r="F482">
        <v>75</v>
      </c>
      <c r="G482">
        <v>1.079066666666667</v>
      </c>
      <c r="H482">
        <v>0.0133448659335228</v>
      </c>
      <c r="I482">
        <v>-0.0151040658437519</v>
      </c>
      <c r="J482">
        <v>0.05</v>
      </c>
      <c r="K482">
        <v>0.04775011226623893</v>
      </c>
      <c r="L482" t="s">
        <v>589</v>
      </c>
      <c r="M482" t="s">
        <v>648</v>
      </c>
      <c r="N482">
        <v>23.45797101449276</v>
      </c>
      <c r="O482">
        <v>3.45</v>
      </c>
      <c r="P482">
        <v>1.08</v>
      </c>
      <c r="Q482">
        <v>0.3130434782608696</v>
      </c>
      <c r="R482">
        <v>8</v>
      </c>
      <c r="S482">
        <v>0.06069091570555463</v>
      </c>
      <c r="T482" t="s">
        <v>954</v>
      </c>
      <c r="U482">
        <v>0.07925517657084101</v>
      </c>
      <c r="V482" t="s">
        <v>988</v>
      </c>
      <c r="W482" t="s">
        <v>995</v>
      </c>
      <c r="X482">
        <v>7729.310696</v>
      </c>
      <c r="Y482" s="2">
        <v>45064</v>
      </c>
      <c r="Z482" t="s">
        <v>1014</v>
      </c>
    </row>
    <row r="483" spans="1:26">
      <c r="A483" s="1" t="s">
        <v>507</v>
      </c>
      <c r="B483">
        <f>HYPERLINK("https://www.suredividend.com/sure-analysis-PGR/","Progressive Corp.")</f>
        <v>0</v>
      </c>
      <c r="C483" t="s">
        <v>898</v>
      </c>
      <c r="D483">
        <v>140</v>
      </c>
      <c r="E483">
        <v>132.77</v>
      </c>
      <c r="F483">
        <v>112</v>
      </c>
      <c r="G483">
        <v>1.185446428571429</v>
      </c>
      <c r="H483">
        <v>0.003012728779091662</v>
      </c>
      <c r="I483">
        <v>-0.03345158389202307</v>
      </c>
      <c r="J483">
        <v>0.08</v>
      </c>
      <c r="K483">
        <v>0.04707561444764718</v>
      </c>
      <c r="L483" t="s">
        <v>589</v>
      </c>
      <c r="M483" t="s">
        <v>648</v>
      </c>
      <c r="N483">
        <v>16.59625</v>
      </c>
      <c r="O483">
        <v>8</v>
      </c>
      <c r="P483">
        <v>0.4</v>
      </c>
      <c r="Q483">
        <v>0.05</v>
      </c>
      <c r="R483">
        <v>0</v>
      </c>
      <c r="S483">
        <v>0.08083252207959757</v>
      </c>
      <c r="T483" t="s">
        <v>919</v>
      </c>
      <c r="U483">
        <v>0.148253274731509</v>
      </c>
      <c r="V483" t="s">
        <v>988</v>
      </c>
      <c r="W483" t="s">
        <v>994</v>
      </c>
      <c r="X483">
        <v>77715.59658</v>
      </c>
      <c r="Y483" s="2">
        <v>45036</v>
      </c>
      <c r="Z483" t="s">
        <v>1012</v>
      </c>
    </row>
    <row r="484" spans="1:26">
      <c r="A484" s="1" t="s">
        <v>508</v>
      </c>
      <c r="B484">
        <f>HYPERLINK("https://www.suredividend.com/sure-analysis-ESRT/","Empire State Realty Trust Inc")</f>
        <v>0</v>
      </c>
      <c r="C484" t="s">
        <v>897</v>
      </c>
      <c r="D484">
        <v>5.73</v>
      </c>
      <c r="E484">
        <v>6.68</v>
      </c>
      <c r="F484">
        <v>6.56</v>
      </c>
      <c r="G484">
        <v>1.018292682926829</v>
      </c>
      <c r="H484">
        <v>0.02095808383233533</v>
      </c>
      <c r="I484">
        <v>-0.00361891281213611</v>
      </c>
      <c r="J484">
        <v>0.02</v>
      </c>
      <c r="K484">
        <v>0.04499442827066114</v>
      </c>
      <c r="L484" t="s">
        <v>589</v>
      </c>
      <c r="M484" t="s">
        <v>791</v>
      </c>
      <c r="N484">
        <v>8.146341463414634</v>
      </c>
      <c r="O484">
        <v>0.82</v>
      </c>
      <c r="P484">
        <v>0.14</v>
      </c>
      <c r="Q484">
        <v>0.1707317073170732</v>
      </c>
      <c r="R484">
        <v>1</v>
      </c>
      <c r="S484">
        <v>0.1486983549970351</v>
      </c>
      <c r="T484" t="s">
        <v>916</v>
      </c>
      <c r="U484">
        <v>-0.069041447166708</v>
      </c>
      <c r="V484" t="s">
        <v>989</v>
      </c>
      <c r="W484" t="s">
        <v>1001</v>
      </c>
      <c r="X484">
        <v>1064.798586</v>
      </c>
      <c r="Y484" s="2">
        <v>45043</v>
      </c>
      <c r="Z484" t="s">
        <v>1012</v>
      </c>
    </row>
    <row r="485" spans="1:26">
      <c r="A485" s="1" t="s">
        <v>509</v>
      </c>
      <c r="B485">
        <f>HYPERLINK("https://www.suredividend.com/sure-analysis-FAST/","Fastenal Co.")</f>
        <v>0</v>
      </c>
      <c r="C485" t="s">
        <v>897</v>
      </c>
      <c r="D485">
        <v>54</v>
      </c>
      <c r="E485">
        <v>56.89</v>
      </c>
      <c r="F485">
        <v>46</v>
      </c>
      <c r="G485">
        <v>1.236739130434783</v>
      </c>
      <c r="H485">
        <v>0.02460889435753208</v>
      </c>
      <c r="I485">
        <v>-0.04160535248971009</v>
      </c>
      <c r="J485">
        <v>0.06</v>
      </c>
      <c r="K485">
        <v>0.04283268425867015</v>
      </c>
      <c r="L485" t="s">
        <v>589</v>
      </c>
      <c r="M485" t="s">
        <v>589</v>
      </c>
      <c r="N485">
        <v>29.9421052631579</v>
      </c>
      <c r="O485">
        <v>1.9</v>
      </c>
      <c r="P485">
        <v>1.4</v>
      </c>
      <c r="Q485">
        <v>0.7368421052631579</v>
      </c>
      <c r="R485">
        <v>24</v>
      </c>
      <c r="S485">
        <v>0.06961037572506878</v>
      </c>
      <c r="T485" t="s">
        <v>968</v>
      </c>
      <c r="U485">
        <v>0.133036713655791</v>
      </c>
      <c r="V485" t="s">
        <v>988</v>
      </c>
      <c r="W485" t="s">
        <v>993</v>
      </c>
      <c r="X485">
        <v>32485.579368</v>
      </c>
      <c r="Y485" s="2">
        <v>45034</v>
      </c>
      <c r="Z485" t="s">
        <v>1007</v>
      </c>
    </row>
    <row r="486" spans="1:26">
      <c r="A486" s="1" t="s">
        <v>510</v>
      </c>
      <c r="B486">
        <f>HYPERLINK("https://www.suredividend.com/sure-analysis-SWX/","Southwest Gas Holdings Inc")</f>
        <v>0</v>
      </c>
      <c r="C486" t="s">
        <v>897</v>
      </c>
      <c r="D486">
        <v>59</v>
      </c>
      <c r="E486">
        <v>60.92</v>
      </c>
      <c r="F486">
        <v>57</v>
      </c>
      <c r="G486">
        <v>1.068771929824561</v>
      </c>
      <c r="H486">
        <v>0.0407091267235719</v>
      </c>
      <c r="I486">
        <v>-0.01321397073085739</v>
      </c>
      <c r="J486">
        <v>0.015</v>
      </c>
      <c r="K486">
        <v>0.04127745464293864</v>
      </c>
      <c r="L486" t="s">
        <v>589</v>
      </c>
      <c r="M486" t="s">
        <v>900</v>
      </c>
      <c r="N486">
        <v>19.09717868338558</v>
      </c>
      <c r="O486">
        <v>3.19</v>
      </c>
      <c r="P486">
        <v>2.48</v>
      </c>
      <c r="Q486">
        <v>0.7774294670846396</v>
      </c>
      <c r="R486">
        <v>15</v>
      </c>
      <c r="S486">
        <v>0.02013999925026777</v>
      </c>
      <c r="T486" t="s">
        <v>931</v>
      </c>
      <c r="U486">
        <v>-0.281496167468476</v>
      </c>
      <c r="V486" t="s">
        <v>988</v>
      </c>
      <c r="W486" t="s">
        <v>999</v>
      </c>
      <c r="X486">
        <v>4345.791252</v>
      </c>
      <c r="Y486" s="2">
        <v>45077</v>
      </c>
      <c r="Z486" t="s">
        <v>1010</v>
      </c>
    </row>
    <row r="487" spans="1:26">
      <c r="A487" s="1" t="s">
        <v>511</v>
      </c>
      <c r="B487">
        <f>HYPERLINK("https://www.suredividend.com/sure-analysis-GIS/","General Mills, Inc.")</f>
        <v>0</v>
      </c>
      <c r="C487" t="s">
        <v>897</v>
      </c>
      <c r="D487">
        <v>84</v>
      </c>
      <c r="E487">
        <v>81.31999999999999</v>
      </c>
      <c r="F487">
        <v>72</v>
      </c>
      <c r="G487">
        <v>1.129444444444444</v>
      </c>
      <c r="H487">
        <v>0.0265617314313822</v>
      </c>
      <c r="I487">
        <v>-0.02405122048258646</v>
      </c>
      <c r="J487">
        <v>0.04</v>
      </c>
      <c r="K487">
        <v>0.04096720477629878</v>
      </c>
      <c r="L487" t="s">
        <v>589</v>
      </c>
      <c r="M487" t="s">
        <v>589</v>
      </c>
      <c r="N487">
        <v>19.13411764705882</v>
      </c>
      <c r="O487">
        <v>4.25</v>
      </c>
      <c r="P487">
        <v>2.16</v>
      </c>
      <c r="Q487">
        <v>0.5082352941176471</v>
      </c>
      <c r="R487">
        <v>3</v>
      </c>
      <c r="S487">
        <v>0.02966808427901979</v>
      </c>
      <c r="T487" t="s">
        <v>909</v>
      </c>
      <c r="U487">
        <v>0.182399520758875</v>
      </c>
      <c r="V487" t="s">
        <v>988</v>
      </c>
      <c r="W487" t="s">
        <v>997</v>
      </c>
      <c r="X487">
        <v>47763.302</v>
      </c>
      <c r="Y487" s="2">
        <v>45011</v>
      </c>
      <c r="Z487" t="s">
        <v>1007</v>
      </c>
    </row>
    <row r="488" spans="1:26">
      <c r="A488" s="1" t="s">
        <v>512</v>
      </c>
      <c r="B488">
        <f>HYPERLINK("https://www.suredividend.com/sure-analysis-THO/","Thor Industries, Inc.")</f>
        <v>0</v>
      </c>
      <c r="C488" t="s">
        <v>897</v>
      </c>
      <c r="D488">
        <v>95</v>
      </c>
      <c r="E488">
        <v>94.36</v>
      </c>
      <c r="F488">
        <v>65</v>
      </c>
      <c r="G488">
        <v>1.451692307692308</v>
      </c>
      <c r="H488">
        <v>0.01907587961000424</v>
      </c>
      <c r="I488">
        <v>-0.07183521965218498</v>
      </c>
      <c r="J488">
        <v>0.1</v>
      </c>
      <c r="K488">
        <v>0.04003479966197743</v>
      </c>
      <c r="L488" t="s">
        <v>589</v>
      </c>
      <c r="M488" t="s">
        <v>791</v>
      </c>
      <c r="N488">
        <v>15.34308943089431</v>
      </c>
      <c r="O488">
        <v>6.15</v>
      </c>
      <c r="P488">
        <v>1.8</v>
      </c>
      <c r="Q488">
        <v>0.2926829268292683</v>
      </c>
      <c r="R488">
        <v>12</v>
      </c>
      <c r="S488">
        <v>0.04000235313991807</v>
      </c>
      <c r="T488" t="s">
        <v>977</v>
      </c>
      <c r="U488">
        <v>0.216416727148033</v>
      </c>
      <c r="V488" t="s">
        <v>988</v>
      </c>
      <c r="W488" t="s">
        <v>995</v>
      </c>
      <c r="X488">
        <v>5030.159299</v>
      </c>
      <c r="Y488" s="2">
        <v>45098</v>
      </c>
      <c r="Z488" t="s">
        <v>1010</v>
      </c>
    </row>
    <row r="489" spans="1:26">
      <c r="A489" s="1" t="s">
        <v>513</v>
      </c>
      <c r="B489">
        <f>HYPERLINK("https://www.suredividend.com/sure-analysis-ODC/","Oil-Dri Corp. Of America")</f>
        <v>0</v>
      </c>
      <c r="C489" t="s">
        <v>897</v>
      </c>
      <c r="D489">
        <v>50</v>
      </c>
      <c r="E489">
        <v>53.95</v>
      </c>
      <c r="F489">
        <v>42</v>
      </c>
      <c r="G489">
        <v>1.28452380952381</v>
      </c>
      <c r="H489">
        <v>0.02150139017608897</v>
      </c>
      <c r="I489">
        <v>-0.04884440200558016</v>
      </c>
      <c r="J489">
        <v>0.07000000000000001</v>
      </c>
      <c r="K489">
        <v>0.03936305110348659</v>
      </c>
      <c r="L489" t="s">
        <v>589</v>
      </c>
      <c r="M489" t="s">
        <v>791</v>
      </c>
      <c r="N489">
        <v>34.58333333333334</v>
      </c>
      <c r="O489">
        <v>1.56</v>
      </c>
      <c r="P489">
        <v>1.16</v>
      </c>
      <c r="Q489">
        <v>0.7435897435897435</v>
      </c>
      <c r="R489">
        <v>9</v>
      </c>
      <c r="S489">
        <v>0.03980577390781126</v>
      </c>
      <c r="T489" t="s">
        <v>943</v>
      </c>
      <c r="U489">
        <v>0.771239276533295</v>
      </c>
      <c r="V489" t="s">
        <v>988</v>
      </c>
      <c r="W489" t="s">
        <v>997</v>
      </c>
      <c r="X489">
        <v>275.365979</v>
      </c>
      <c r="Y489" s="2">
        <v>45092</v>
      </c>
      <c r="Z489" t="s">
        <v>1005</v>
      </c>
    </row>
    <row r="490" spans="1:26">
      <c r="A490" s="1" t="s">
        <v>514</v>
      </c>
      <c r="B490">
        <f>HYPERLINK("https://www.suredividend.com/sure-analysis-FANG/","Diamondback Energy Inc")</f>
        <v>0</v>
      </c>
      <c r="C490" t="s">
        <v>898</v>
      </c>
      <c r="D490">
        <v>126</v>
      </c>
      <c r="E490">
        <v>125.4</v>
      </c>
      <c r="F490">
        <v>238</v>
      </c>
      <c r="G490">
        <v>0.526890756302521</v>
      </c>
      <c r="H490">
        <v>0.02551834130781499</v>
      </c>
      <c r="I490">
        <v>0.1367262369119873</v>
      </c>
      <c r="J490">
        <v>-0.11</v>
      </c>
      <c r="K490">
        <v>0.03847805133604987</v>
      </c>
      <c r="L490" t="s">
        <v>589</v>
      </c>
      <c r="M490" t="s">
        <v>791</v>
      </c>
      <c r="N490">
        <v>6.600000000000001</v>
      </c>
      <c r="O490">
        <v>19</v>
      </c>
      <c r="P490">
        <v>3.2</v>
      </c>
      <c r="Q490">
        <v>0.1684210526315789</v>
      </c>
      <c r="R490">
        <v>6</v>
      </c>
      <c r="S490">
        <v>0.04978904632428516</v>
      </c>
      <c r="T490" t="s">
        <v>910</v>
      </c>
      <c r="U490">
        <v>0.082233336066245</v>
      </c>
      <c r="V490" t="s">
        <v>988</v>
      </c>
      <c r="W490" t="s">
        <v>1002</v>
      </c>
      <c r="X490">
        <v>22709.124649</v>
      </c>
      <c r="Y490" s="2">
        <v>45051</v>
      </c>
      <c r="Z490" t="s">
        <v>1007</v>
      </c>
    </row>
    <row r="491" spans="1:26">
      <c r="A491" s="1" t="s">
        <v>515</v>
      </c>
      <c r="B491">
        <f>HYPERLINK("https://www.suredividend.com/sure-analysis-DDS/","Dillard`s Inc.")</f>
        <v>0</v>
      </c>
      <c r="C491" t="s">
        <v>897</v>
      </c>
      <c r="D491">
        <v>279</v>
      </c>
      <c r="E491">
        <v>321.68</v>
      </c>
      <c r="F491">
        <v>365</v>
      </c>
      <c r="G491">
        <v>0.8813150684931507</v>
      </c>
      <c r="H491">
        <v>0.002486943546381497</v>
      </c>
      <c r="I491">
        <v>0.02558996046553386</v>
      </c>
      <c r="J491">
        <v>0.01</v>
      </c>
      <c r="K491">
        <v>0.03799706378098655</v>
      </c>
      <c r="L491" t="s">
        <v>589</v>
      </c>
      <c r="M491" t="s">
        <v>648</v>
      </c>
      <c r="N491">
        <v>8.813150684931507</v>
      </c>
      <c r="O491">
        <v>36.5</v>
      </c>
      <c r="P491">
        <v>0.8</v>
      </c>
      <c r="Q491">
        <v>0.02191780821917808</v>
      </c>
      <c r="R491">
        <v>0</v>
      </c>
      <c r="S491">
        <v>0</v>
      </c>
      <c r="T491" t="s">
        <v>906</v>
      </c>
      <c r="U491">
        <v>0.301257124087455</v>
      </c>
      <c r="V491" t="s">
        <v>988</v>
      </c>
      <c r="W491" t="s">
        <v>995</v>
      </c>
      <c r="X491">
        <v>4020.311283</v>
      </c>
      <c r="Y491" s="2">
        <v>45078</v>
      </c>
      <c r="Z491" t="s">
        <v>1008</v>
      </c>
    </row>
    <row r="492" spans="1:26">
      <c r="A492" s="1" t="s">
        <v>516</v>
      </c>
      <c r="B492">
        <f>HYPERLINK("https://www.suredividend.com/sure-analysis-CF/","CF Industries Holdings Inc")</f>
        <v>0</v>
      </c>
      <c r="C492" t="s">
        <v>897</v>
      </c>
      <c r="D492">
        <v>70</v>
      </c>
      <c r="E492">
        <v>70.56</v>
      </c>
      <c r="F492">
        <v>98</v>
      </c>
      <c r="G492">
        <v>0.72</v>
      </c>
      <c r="H492">
        <v>0.02267573696145125</v>
      </c>
      <c r="I492">
        <v>0.06790716584560208</v>
      </c>
      <c r="J492">
        <v>-0.05</v>
      </c>
      <c r="K492">
        <v>0.03630712056274144</v>
      </c>
      <c r="L492" t="s">
        <v>589</v>
      </c>
      <c r="M492" t="s">
        <v>791</v>
      </c>
      <c r="N492">
        <v>7.506382978723404</v>
      </c>
      <c r="O492">
        <v>9.4</v>
      </c>
      <c r="P492">
        <v>1.6</v>
      </c>
      <c r="Q492">
        <v>0.1702127659574468</v>
      </c>
      <c r="R492">
        <v>0</v>
      </c>
      <c r="S492">
        <v>0.0204004858967195</v>
      </c>
      <c r="T492" t="s">
        <v>931</v>
      </c>
      <c r="U492">
        <v>-0.137416748980449</v>
      </c>
      <c r="V492" t="s">
        <v>988</v>
      </c>
      <c r="W492" t="s">
        <v>992</v>
      </c>
      <c r="X492">
        <v>13753.550472</v>
      </c>
      <c r="Y492" s="2">
        <v>45054</v>
      </c>
      <c r="Z492" t="s">
        <v>1004</v>
      </c>
    </row>
    <row r="493" spans="1:26">
      <c r="A493" s="1" t="s">
        <v>517</v>
      </c>
      <c r="B493">
        <f>HYPERLINK("https://www.suredividend.com/sure-analysis-NSRGY/","Nestle SA")</f>
        <v>0</v>
      </c>
      <c r="C493" t="s">
        <v>897</v>
      </c>
      <c r="D493">
        <v>128</v>
      </c>
      <c r="E493">
        <v>121</v>
      </c>
      <c r="F493">
        <v>99</v>
      </c>
      <c r="G493">
        <v>1.222222222222222</v>
      </c>
      <c r="H493">
        <v>0.02636363636363636</v>
      </c>
      <c r="I493">
        <v>-0.03933943162756326</v>
      </c>
      <c r="J493">
        <v>0.05</v>
      </c>
      <c r="K493">
        <v>0.03603745976124939</v>
      </c>
      <c r="L493" t="s">
        <v>589</v>
      </c>
      <c r="M493" t="s">
        <v>589</v>
      </c>
      <c r="N493">
        <v>22</v>
      </c>
      <c r="O493">
        <v>5.5</v>
      </c>
      <c r="P493">
        <v>3.19</v>
      </c>
      <c r="Q493">
        <v>0.58</v>
      </c>
      <c r="R493">
        <v>6</v>
      </c>
      <c r="S493">
        <v>0.04207523935714752</v>
      </c>
      <c r="T493" t="s">
        <v>960</v>
      </c>
      <c r="U493">
        <v>0.035338410199366</v>
      </c>
      <c r="V493" t="s">
        <v>988</v>
      </c>
      <c r="W493" t="s">
        <v>997</v>
      </c>
      <c r="X493">
        <v>323070</v>
      </c>
      <c r="Y493" s="2">
        <v>45049</v>
      </c>
      <c r="Z493" t="s">
        <v>1007</v>
      </c>
    </row>
    <row r="494" spans="1:26">
      <c r="A494" s="1" t="s">
        <v>518</v>
      </c>
      <c r="B494">
        <f>HYPERLINK("https://www.suredividend.com/sure-analysis-CTRA/","Coterra Energy Inc")</f>
        <v>0</v>
      </c>
      <c r="C494" t="s">
        <v>898</v>
      </c>
      <c r="D494">
        <v>25</v>
      </c>
      <c r="E494">
        <v>23.72</v>
      </c>
      <c r="F494">
        <v>24</v>
      </c>
      <c r="G494">
        <v>0.9883333333333333</v>
      </c>
      <c r="H494">
        <v>0.03372681281618888</v>
      </c>
      <c r="I494">
        <v>0.002349807724566499</v>
      </c>
      <c r="J494">
        <v>0</v>
      </c>
      <c r="K494">
        <v>0.0354773932512249</v>
      </c>
      <c r="L494" t="s">
        <v>589</v>
      </c>
      <c r="M494" t="s">
        <v>589</v>
      </c>
      <c r="N494">
        <v>7.906666666666666</v>
      </c>
      <c r="O494">
        <v>3</v>
      </c>
      <c r="P494">
        <v>0.8</v>
      </c>
      <c r="Q494">
        <v>0.2666666666666667</v>
      </c>
      <c r="R494">
        <v>7</v>
      </c>
      <c r="S494">
        <v>0.01924487649145656</v>
      </c>
      <c r="T494" t="s">
        <v>946</v>
      </c>
      <c r="U494">
        <v>-0.045042433611929</v>
      </c>
      <c r="V494" t="s">
        <v>988</v>
      </c>
      <c r="W494" t="s">
        <v>1002</v>
      </c>
      <c r="X494">
        <v>17966.790639</v>
      </c>
      <c r="Y494" s="2">
        <v>45064</v>
      </c>
      <c r="Z494" t="s">
        <v>1007</v>
      </c>
    </row>
    <row r="495" spans="1:26">
      <c r="A495" s="1" t="s">
        <v>519</v>
      </c>
      <c r="B495">
        <f>HYPERLINK("https://www.suredividend.com/sure-analysis-PEG/","Public Service Enterprise Group Inc.")</f>
        <v>0</v>
      </c>
      <c r="C495" t="s">
        <v>897</v>
      </c>
      <c r="D495">
        <v>62</v>
      </c>
      <c r="E495">
        <v>61.5</v>
      </c>
      <c r="F495">
        <v>52</v>
      </c>
      <c r="G495">
        <v>1.182692307692308</v>
      </c>
      <c r="H495">
        <v>0.03707317073170732</v>
      </c>
      <c r="I495">
        <v>-0.03300184476093349</v>
      </c>
      <c r="J495">
        <v>0.03</v>
      </c>
      <c r="K495">
        <v>0.03520230356399745</v>
      </c>
      <c r="L495" t="s">
        <v>589</v>
      </c>
      <c r="M495" t="s">
        <v>900</v>
      </c>
      <c r="N495">
        <v>17.82608695652174</v>
      </c>
      <c r="O495">
        <v>3.45</v>
      </c>
      <c r="P495">
        <v>2.28</v>
      </c>
      <c r="Q495">
        <v>0.6608695652173913</v>
      </c>
      <c r="R495">
        <v>12</v>
      </c>
      <c r="S495">
        <v>0.03970225141538797</v>
      </c>
      <c r="T495" t="s">
        <v>926</v>
      </c>
      <c r="U495">
        <v>0.019849758718471</v>
      </c>
      <c r="V495" t="s">
        <v>988</v>
      </c>
      <c r="W495" t="s">
        <v>999</v>
      </c>
      <c r="X495">
        <v>30686.355987</v>
      </c>
      <c r="Y495" s="2">
        <v>45069</v>
      </c>
      <c r="Z495" t="s">
        <v>1011</v>
      </c>
    </row>
    <row r="496" spans="1:26">
      <c r="A496" s="1" t="s">
        <v>520</v>
      </c>
      <c r="B496">
        <f>HYPERLINK("https://www.suredividend.com/sure-analysis-APA/","APA Corporation")</f>
        <v>0</v>
      </c>
      <c r="C496" t="s">
        <v>898</v>
      </c>
      <c r="D496">
        <v>33</v>
      </c>
      <c r="E496">
        <v>32.58</v>
      </c>
      <c r="F496">
        <v>33</v>
      </c>
      <c r="G496">
        <v>0.9872727272727272</v>
      </c>
      <c r="H496">
        <v>0.03069367710251688</v>
      </c>
      <c r="I496">
        <v>0.002565075850640364</v>
      </c>
      <c r="J496">
        <v>0</v>
      </c>
      <c r="K496">
        <v>0.03502431800395733</v>
      </c>
      <c r="L496" t="s">
        <v>589</v>
      </c>
      <c r="M496" t="s">
        <v>791</v>
      </c>
      <c r="N496">
        <v>7.757142857142856</v>
      </c>
      <c r="O496">
        <v>4.2</v>
      </c>
      <c r="P496">
        <v>1</v>
      </c>
      <c r="Q496">
        <v>0.2380952380952381</v>
      </c>
      <c r="R496">
        <v>1</v>
      </c>
      <c r="S496">
        <v>0.04396114979019283</v>
      </c>
      <c r="T496" t="s">
        <v>915</v>
      </c>
      <c r="U496">
        <v>-0.086676067156501</v>
      </c>
      <c r="V496" t="s">
        <v>988</v>
      </c>
      <c r="W496" t="s">
        <v>1002</v>
      </c>
      <c r="X496">
        <v>10054.159688</v>
      </c>
      <c r="Y496" s="2">
        <v>45058</v>
      </c>
      <c r="Z496" t="s">
        <v>1007</v>
      </c>
    </row>
    <row r="497" spans="1:26">
      <c r="A497" s="1" t="s">
        <v>521</v>
      </c>
      <c r="B497">
        <f>HYPERLINK("https://www.suredividend.com/sure-analysis-SXI/","Standex International Corp.")</f>
        <v>0</v>
      </c>
      <c r="C497" t="s">
        <v>897</v>
      </c>
      <c r="D497">
        <v>120</v>
      </c>
      <c r="E497">
        <v>135.54</v>
      </c>
      <c r="F497">
        <v>120</v>
      </c>
      <c r="G497">
        <v>1.1295</v>
      </c>
      <c r="H497">
        <v>0.008263243323004281</v>
      </c>
      <c r="I497">
        <v>-0.02406082126937781</v>
      </c>
      <c r="J497">
        <v>0.05</v>
      </c>
      <c r="K497">
        <v>0.03407619483513158</v>
      </c>
      <c r="L497" t="s">
        <v>589</v>
      </c>
      <c r="M497" t="s">
        <v>648</v>
      </c>
      <c r="N497">
        <v>20.38195488721804</v>
      </c>
      <c r="O497">
        <v>6.65</v>
      </c>
      <c r="P497">
        <v>1.12</v>
      </c>
      <c r="Q497">
        <v>0.1684210526315789</v>
      </c>
      <c r="R497">
        <v>13</v>
      </c>
      <c r="S497">
        <v>0.08057069246502624</v>
      </c>
      <c r="T497" t="s">
        <v>905</v>
      </c>
      <c r="U497">
        <v>0.6054714428869581</v>
      </c>
      <c r="V497" t="s">
        <v>988</v>
      </c>
      <c r="W497" t="s">
        <v>993</v>
      </c>
      <c r="X497">
        <v>1613.288705</v>
      </c>
      <c r="Y497" s="2">
        <v>45062</v>
      </c>
      <c r="Z497" t="s">
        <v>1010</v>
      </c>
    </row>
    <row r="498" spans="1:26">
      <c r="A498" s="1" t="s">
        <v>522</v>
      </c>
      <c r="B498">
        <f>HYPERLINK("https://www.suredividend.com/sure-analysis-RELX/","RELX Plc")</f>
        <v>0</v>
      </c>
      <c r="C498" t="s">
        <v>897</v>
      </c>
      <c r="D498">
        <v>30</v>
      </c>
      <c r="E498">
        <v>33.01</v>
      </c>
      <c r="F498">
        <v>26</v>
      </c>
      <c r="G498">
        <v>1.269615384615385</v>
      </c>
      <c r="H498">
        <v>0.01999394122993033</v>
      </c>
      <c r="I498">
        <v>-0.04662103687956742</v>
      </c>
      <c r="J498">
        <v>0.06</v>
      </c>
      <c r="K498">
        <v>0.03246947746798146</v>
      </c>
      <c r="L498" t="s">
        <v>589</v>
      </c>
      <c r="M498" t="s">
        <v>791</v>
      </c>
      <c r="N498">
        <v>30.0090909090909</v>
      </c>
      <c r="O498">
        <v>1.1</v>
      </c>
      <c r="P498">
        <v>0.66</v>
      </c>
      <c r="Q498">
        <v>0.6</v>
      </c>
      <c r="R498">
        <v>12</v>
      </c>
      <c r="S498">
        <v>0.05922384104881218</v>
      </c>
      <c r="T498" t="s">
        <v>928</v>
      </c>
      <c r="U498">
        <v>0.238458623626383</v>
      </c>
      <c r="V498" t="s">
        <v>988</v>
      </c>
      <c r="W498" t="s">
        <v>998</v>
      </c>
      <c r="X498">
        <v>62595.71478</v>
      </c>
      <c r="Y498" s="2">
        <v>44975</v>
      </c>
      <c r="Z498" t="s">
        <v>1012</v>
      </c>
    </row>
    <row r="499" spans="1:26">
      <c r="A499" s="1" t="s">
        <v>523</v>
      </c>
      <c r="B499">
        <f>HYPERLINK("https://www.suredividend.com/sure-analysis-DGX/","Quest Diagnostics, Inc.")</f>
        <v>0</v>
      </c>
      <c r="C499" t="s">
        <v>898</v>
      </c>
      <c r="D499">
        <v>138</v>
      </c>
      <c r="E499">
        <v>141.49</v>
      </c>
      <c r="F499">
        <v>122</v>
      </c>
      <c r="G499">
        <v>1.159754098360656</v>
      </c>
      <c r="H499">
        <v>0.01993073715456923</v>
      </c>
      <c r="I499">
        <v>-0.02920659614151644</v>
      </c>
      <c r="J499">
        <v>0.03</v>
      </c>
      <c r="K499">
        <v>0.02334782587732853</v>
      </c>
      <c r="L499" t="s">
        <v>589</v>
      </c>
      <c r="M499" t="s">
        <v>791</v>
      </c>
      <c r="N499">
        <v>16.22591743119266</v>
      </c>
      <c r="O499">
        <v>8.720000000000001</v>
      </c>
      <c r="P499">
        <v>2.82</v>
      </c>
      <c r="Q499">
        <v>0.323394495412844</v>
      </c>
      <c r="R499">
        <v>12</v>
      </c>
      <c r="S499">
        <v>0.0702598056972048</v>
      </c>
      <c r="T499" t="s">
        <v>909</v>
      </c>
      <c r="U499">
        <v>0.018912056273845</v>
      </c>
      <c r="V499" t="s">
        <v>988</v>
      </c>
      <c r="W499" t="s">
        <v>996</v>
      </c>
      <c r="X499">
        <v>15848.181284</v>
      </c>
      <c r="Y499" s="2">
        <v>45050</v>
      </c>
      <c r="Z499" t="s">
        <v>1011</v>
      </c>
    </row>
    <row r="500" spans="1:26">
      <c r="A500" s="1" t="s">
        <v>524</v>
      </c>
      <c r="B500">
        <f>HYPERLINK("https://www.suredividend.com/sure-analysis-LRCX/","Lam Research Corp.")</f>
        <v>0</v>
      </c>
      <c r="C500" t="s">
        <v>897</v>
      </c>
      <c r="D500">
        <v>524</v>
      </c>
      <c r="E500">
        <v>608.76</v>
      </c>
      <c r="F500">
        <v>432</v>
      </c>
      <c r="G500">
        <v>1.409166666666667</v>
      </c>
      <c r="H500">
        <v>0.01133451606544451</v>
      </c>
      <c r="I500">
        <v>-0.06629963691410268</v>
      </c>
      <c r="J500">
        <v>0.08</v>
      </c>
      <c r="K500">
        <v>0.02192065146010913</v>
      </c>
      <c r="L500" t="s">
        <v>589</v>
      </c>
      <c r="M500" t="s">
        <v>648</v>
      </c>
      <c r="N500">
        <v>18.33614457831325</v>
      </c>
      <c r="O500">
        <v>33.2</v>
      </c>
      <c r="P500">
        <v>6.9</v>
      </c>
      <c r="Q500">
        <v>0.2078313253012048</v>
      </c>
      <c r="R500">
        <v>9</v>
      </c>
      <c r="S500">
        <v>0.08003485883245509</v>
      </c>
      <c r="T500" t="s">
        <v>932</v>
      </c>
      <c r="U500">
        <v>0.375020949667041</v>
      </c>
      <c r="V500" t="s">
        <v>988</v>
      </c>
      <c r="W500" t="s">
        <v>1000</v>
      </c>
      <c r="X500">
        <v>81781.106952</v>
      </c>
      <c r="Y500" s="2">
        <v>45050</v>
      </c>
      <c r="Z500" t="s">
        <v>1011</v>
      </c>
    </row>
    <row r="501" spans="1:26">
      <c r="A501" s="1" t="s">
        <v>525</v>
      </c>
      <c r="B501">
        <f>HYPERLINK("https://www.suredividend.com/sure-analysis-ABB/","ABB Ltd.")</f>
        <v>0</v>
      </c>
      <c r="C501" t="s">
        <v>898</v>
      </c>
      <c r="D501">
        <v>36</v>
      </c>
      <c r="E501">
        <v>37.13</v>
      </c>
      <c r="F501">
        <v>27</v>
      </c>
      <c r="G501">
        <v>1.375185185185185</v>
      </c>
      <c r="H501">
        <v>0.02477780770266631</v>
      </c>
      <c r="I501">
        <v>-0.06173014592259651</v>
      </c>
      <c r="J501">
        <v>0.06</v>
      </c>
      <c r="K501">
        <v>0.02102956599073047</v>
      </c>
      <c r="L501" t="s">
        <v>589</v>
      </c>
      <c r="M501" t="s">
        <v>589</v>
      </c>
      <c r="N501">
        <v>21.84117647058824</v>
      </c>
      <c r="O501">
        <v>1.7</v>
      </c>
      <c r="P501">
        <v>0.92</v>
      </c>
      <c r="Q501">
        <v>0.5411764705882354</v>
      </c>
      <c r="R501">
        <v>4</v>
      </c>
      <c r="S501">
        <v>0.03258826616987576</v>
      </c>
      <c r="T501" t="s">
        <v>958</v>
      </c>
      <c r="U501">
        <v>0.29498711290767</v>
      </c>
      <c r="V501" t="s">
        <v>988</v>
      </c>
      <c r="W501" t="s">
        <v>993</v>
      </c>
      <c r="X501">
        <v>72950.984635</v>
      </c>
      <c r="Y501" s="2">
        <v>45041</v>
      </c>
      <c r="Z501" t="s">
        <v>1007</v>
      </c>
    </row>
    <row r="502" spans="1:26">
      <c r="A502" s="1" t="s">
        <v>526</v>
      </c>
      <c r="B502">
        <f>HYPERLINK("https://www.suredividend.com/sure-analysis-GE/","General Electric Co.")</f>
        <v>0</v>
      </c>
      <c r="C502" t="s">
        <v>898</v>
      </c>
      <c r="D502">
        <v>98</v>
      </c>
      <c r="E502">
        <v>103.78</v>
      </c>
      <c r="F502">
        <v>30</v>
      </c>
      <c r="G502">
        <v>3.459333333333333</v>
      </c>
      <c r="H502">
        <v>0.003083445750626325</v>
      </c>
      <c r="I502">
        <v>-0.2198079553045581</v>
      </c>
      <c r="J502">
        <v>0.3</v>
      </c>
      <c r="K502">
        <v>0.01815546248689204</v>
      </c>
      <c r="L502" t="s">
        <v>589</v>
      </c>
      <c r="M502" t="s">
        <v>648</v>
      </c>
      <c r="N502">
        <v>56.0972972972973</v>
      </c>
      <c r="O502">
        <v>1.85</v>
      </c>
      <c r="P502">
        <v>0.32</v>
      </c>
      <c r="Q502">
        <v>0.172972972972973</v>
      </c>
      <c r="R502">
        <v>0</v>
      </c>
      <c r="S502">
        <v>0.1019722877214801</v>
      </c>
      <c r="T502" t="s">
        <v>978</v>
      </c>
      <c r="U502">
        <v>0.974328779580212</v>
      </c>
      <c r="V502" t="s">
        <v>988</v>
      </c>
      <c r="W502" t="s">
        <v>993</v>
      </c>
      <c r="X502">
        <v>113012.27181</v>
      </c>
      <c r="Y502" s="2">
        <v>45041</v>
      </c>
      <c r="Z502" t="s">
        <v>1012</v>
      </c>
    </row>
    <row r="503" spans="1:26">
      <c r="A503" s="1" t="s">
        <v>527</v>
      </c>
      <c r="B503">
        <f>HYPERLINK("https://www.suredividend.com/sure-analysis-NEU/","NewMarket Corp.")</f>
        <v>0</v>
      </c>
      <c r="C503" t="s">
        <v>897</v>
      </c>
      <c r="D503">
        <v>400</v>
      </c>
      <c r="E503">
        <v>399.92</v>
      </c>
      <c r="F503">
        <v>360</v>
      </c>
      <c r="G503">
        <v>1.110888888888889</v>
      </c>
      <c r="H503">
        <v>0.02250450090018003</v>
      </c>
      <c r="I503">
        <v>-0.02081246700392725</v>
      </c>
      <c r="J503">
        <v>0.01</v>
      </c>
      <c r="K503">
        <v>0.01211269455609565</v>
      </c>
      <c r="L503" t="s">
        <v>589</v>
      </c>
      <c r="M503" t="s">
        <v>791</v>
      </c>
      <c r="N503">
        <v>13.33066666666667</v>
      </c>
      <c r="O503">
        <v>30</v>
      </c>
      <c r="P503">
        <v>9</v>
      </c>
      <c r="Q503">
        <v>0.3</v>
      </c>
      <c r="R503">
        <v>17</v>
      </c>
      <c r="S503">
        <v>0.01001942278202117</v>
      </c>
      <c r="T503" t="s">
        <v>916</v>
      </c>
      <c r="U503">
        <v>0.363551589554333</v>
      </c>
      <c r="V503" t="s">
        <v>988</v>
      </c>
      <c r="W503" t="s">
        <v>993</v>
      </c>
      <c r="X503">
        <v>3849.613523</v>
      </c>
      <c r="Y503" s="2">
        <v>45049</v>
      </c>
      <c r="Z503" t="s">
        <v>1009</v>
      </c>
    </row>
    <row r="504" spans="1:26">
      <c r="A504" s="1" t="s">
        <v>528</v>
      </c>
      <c r="B504">
        <f>HYPERLINK("https://www.suredividend.com/sure-analysis-DHI/","D.R. Horton Inc.")</f>
        <v>0</v>
      </c>
      <c r="C504" t="s">
        <v>897</v>
      </c>
      <c r="D504">
        <v>110</v>
      </c>
      <c r="E504">
        <v>120.4</v>
      </c>
      <c r="F504">
        <v>99</v>
      </c>
      <c r="G504">
        <v>1.216161616161616</v>
      </c>
      <c r="H504">
        <v>0.00830564784053156</v>
      </c>
      <c r="I504">
        <v>-0.03838386551175677</v>
      </c>
      <c r="J504">
        <v>0.04</v>
      </c>
      <c r="K504">
        <v>0.01098981610868188</v>
      </c>
      <c r="L504" t="s">
        <v>589</v>
      </c>
      <c r="M504" t="s">
        <v>648</v>
      </c>
      <c r="N504">
        <v>10.94545454545455</v>
      </c>
      <c r="O504">
        <v>11</v>
      </c>
      <c r="P504">
        <v>1</v>
      </c>
      <c r="Q504">
        <v>0.09090909090909091</v>
      </c>
      <c r="R504">
        <v>8</v>
      </c>
      <c r="S504">
        <v>0.09993032380125255</v>
      </c>
      <c r="T504" t="s">
        <v>975</v>
      </c>
      <c r="U504">
        <v>0.79796489488476</v>
      </c>
      <c r="V504" t="s">
        <v>988</v>
      </c>
      <c r="W504" t="s">
        <v>995</v>
      </c>
      <c r="X504">
        <v>41064.969109</v>
      </c>
      <c r="Y504" s="2">
        <v>45050</v>
      </c>
      <c r="Z504" t="s">
        <v>1010</v>
      </c>
    </row>
    <row r="505" spans="1:26">
      <c r="A505" s="1" t="s">
        <v>529</v>
      </c>
      <c r="B505">
        <f>HYPERLINK("https://www.suredividend.com/sure-analysis-MLM/","Martin Marietta Materials, Inc.")</f>
        <v>0</v>
      </c>
      <c r="C505" t="s">
        <v>898</v>
      </c>
      <c r="D505">
        <v>427</v>
      </c>
      <c r="E505">
        <v>442.38</v>
      </c>
      <c r="F505">
        <v>336</v>
      </c>
      <c r="G505">
        <v>1.316607142857143</v>
      </c>
      <c r="H505">
        <v>0.005967720059677201</v>
      </c>
      <c r="I505">
        <v>-0.05352584659386461</v>
      </c>
      <c r="J505">
        <v>0.06</v>
      </c>
      <c r="K505">
        <v>0.01051301537624894</v>
      </c>
      <c r="L505" t="s">
        <v>589</v>
      </c>
      <c r="M505" t="s">
        <v>648</v>
      </c>
      <c r="N505">
        <v>29.00852459016393</v>
      </c>
      <c r="O505">
        <v>15.25</v>
      </c>
      <c r="P505">
        <v>2.64</v>
      </c>
      <c r="Q505">
        <v>0.1731147540983607</v>
      </c>
      <c r="R505">
        <v>8</v>
      </c>
      <c r="S505">
        <v>0.07499651572381216</v>
      </c>
      <c r="T505" t="s">
        <v>912</v>
      </c>
      <c r="U505">
        <v>0.438883552823952</v>
      </c>
      <c r="V505" t="s">
        <v>988</v>
      </c>
      <c r="W505" t="s">
        <v>992</v>
      </c>
      <c r="X505">
        <v>27413.738722</v>
      </c>
      <c r="Y505" s="2">
        <v>45095</v>
      </c>
      <c r="Z505" t="s">
        <v>1014</v>
      </c>
    </row>
    <row r="506" spans="1:26">
      <c r="A506" s="1" t="s">
        <v>530</v>
      </c>
      <c r="B506">
        <f>HYPERLINK("https://www.suredividend.com/sure-analysis-BBD/","Banco Bradesco S.A.")</f>
        <v>0</v>
      </c>
      <c r="C506" t="s">
        <v>898</v>
      </c>
      <c r="D506">
        <v>3.33</v>
      </c>
      <c r="E506">
        <v>3.49</v>
      </c>
      <c r="F506">
        <v>3.42</v>
      </c>
      <c r="G506">
        <v>1.02046783625731</v>
      </c>
      <c r="H506">
        <v>0.01146131805157593</v>
      </c>
      <c r="I506">
        <v>-0.004044037794317279</v>
      </c>
      <c r="J506">
        <v>0</v>
      </c>
      <c r="K506">
        <v>0.007341273913637147</v>
      </c>
      <c r="L506" t="s">
        <v>589</v>
      </c>
      <c r="M506" t="s">
        <v>648</v>
      </c>
      <c r="N506">
        <v>9.184210526315789</v>
      </c>
      <c r="O506">
        <v>0.38</v>
      </c>
      <c r="P506">
        <v>0.04</v>
      </c>
      <c r="Q506">
        <v>0.1052631578947368</v>
      </c>
      <c r="R506">
        <v>0</v>
      </c>
      <c r="S506">
        <v>0</v>
      </c>
      <c r="T506" t="s">
        <v>918</v>
      </c>
      <c r="U506">
        <v>0.09284484108345001</v>
      </c>
      <c r="V506" t="s">
        <v>988</v>
      </c>
      <c r="W506" t="s">
        <v>994</v>
      </c>
      <c r="X506">
        <v>34635.930896</v>
      </c>
      <c r="Y506" s="2">
        <v>45069</v>
      </c>
      <c r="Z506" t="s">
        <v>1012</v>
      </c>
    </row>
    <row r="507" spans="1:26">
      <c r="A507" s="1" t="s">
        <v>531</v>
      </c>
      <c r="B507">
        <f>HYPERLINK("https://www.suredividend.com/sure-analysis-SONY/","Sony Group Corporation")</f>
        <v>0</v>
      </c>
      <c r="C507" t="s">
        <v>898</v>
      </c>
      <c r="D507">
        <v>84</v>
      </c>
      <c r="E507">
        <v>91.14</v>
      </c>
      <c r="F507">
        <v>84</v>
      </c>
      <c r="G507">
        <v>1.085</v>
      </c>
      <c r="H507">
        <v>0.005815229317533466</v>
      </c>
      <c r="I507">
        <v>-0.01618361248810518</v>
      </c>
      <c r="J507">
        <v>0.017</v>
      </c>
      <c r="K507">
        <v>0.006594733036644929</v>
      </c>
      <c r="L507" t="s">
        <v>589</v>
      </c>
      <c r="M507" t="s">
        <v>648</v>
      </c>
      <c r="N507">
        <v>14.04314329738058</v>
      </c>
      <c r="O507">
        <v>6.49</v>
      </c>
      <c r="P507">
        <v>0.53</v>
      </c>
      <c r="Q507">
        <v>0.08166409861325116</v>
      </c>
      <c r="R507">
        <v>6</v>
      </c>
      <c r="S507">
        <v>0.01819374512778538</v>
      </c>
      <c r="T507" t="s">
        <v>906</v>
      </c>
      <c r="U507">
        <v>0.071825478493517</v>
      </c>
      <c r="V507" t="s">
        <v>988</v>
      </c>
      <c r="W507" t="s">
        <v>1000</v>
      </c>
      <c r="X507">
        <v>114934.99352</v>
      </c>
      <c r="Y507" s="2">
        <v>45047</v>
      </c>
      <c r="Z507" t="s">
        <v>1003</v>
      </c>
    </row>
    <row r="508" spans="1:26">
      <c r="A508" s="1" t="s">
        <v>532</v>
      </c>
      <c r="B508">
        <f>HYPERLINK("https://www.suredividend.com/sure-analysis-COP/","Conoco Phillips")</f>
        <v>0</v>
      </c>
      <c r="C508" t="s">
        <v>898</v>
      </c>
      <c r="D508">
        <v>101</v>
      </c>
      <c r="E508">
        <v>100.46</v>
      </c>
      <c r="F508">
        <v>116</v>
      </c>
      <c r="G508">
        <v>0.8660344827586206</v>
      </c>
      <c r="H508">
        <v>0.02030658968743779</v>
      </c>
      <c r="I508">
        <v>0.02918385108477484</v>
      </c>
      <c r="J508">
        <v>-0.05</v>
      </c>
      <c r="K508">
        <v>0.001556439733082726</v>
      </c>
      <c r="L508" t="s">
        <v>589</v>
      </c>
      <c r="M508" t="s">
        <v>791</v>
      </c>
      <c r="N508">
        <v>10.57473684210526</v>
      </c>
      <c r="O508">
        <v>9.5</v>
      </c>
      <c r="P508">
        <v>2.04</v>
      </c>
      <c r="Q508">
        <v>0.2147368421052632</v>
      </c>
      <c r="R508">
        <v>6</v>
      </c>
      <c r="S508">
        <v>0.0398346919425614</v>
      </c>
      <c r="T508" t="s">
        <v>954</v>
      </c>
      <c r="U508">
        <v>0.163676969018809</v>
      </c>
      <c r="V508" t="s">
        <v>988</v>
      </c>
      <c r="W508" t="s">
        <v>1002</v>
      </c>
      <c r="X508">
        <v>121562.495897</v>
      </c>
      <c r="Y508" s="2">
        <v>45064</v>
      </c>
      <c r="Z508" t="s">
        <v>1007</v>
      </c>
    </row>
    <row r="509" spans="1:26">
      <c r="A509" s="1" t="s">
        <v>533</v>
      </c>
      <c r="B509">
        <f>HYPERLINK("https://www.suredividend.com/sure-analysis-PHM/","PulteGroup Inc")</f>
        <v>0</v>
      </c>
      <c r="C509" t="s">
        <v>897</v>
      </c>
      <c r="D509">
        <v>66</v>
      </c>
      <c r="E509">
        <v>76.27</v>
      </c>
      <c r="F509">
        <v>73</v>
      </c>
      <c r="G509">
        <v>1.044794520547945</v>
      </c>
      <c r="H509">
        <v>0.008391241641536647</v>
      </c>
      <c r="I509">
        <v>-0.008725754692455623</v>
      </c>
      <c r="J509">
        <v>0</v>
      </c>
      <c r="K509">
        <v>0.001182919257049164</v>
      </c>
      <c r="L509" t="s">
        <v>589</v>
      </c>
      <c r="M509" t="s">
        <v>648</v>
      </c>
      <c r="N509">
        <v>8.33551912568306</v>
      </c>
      <c r="O509">
        <v>9.15</v>
      </c>
      <c r="P509">
        <v>0.64</v>
      </c>
      <c r="Q509">
        <v>0.06994535519125683</v>
      </c>
      <c r="R509">
        <v>5</v>
      </c>
      <c r="S509">
        <v>0.05081623913789235</v>
      </c>
      <c r="T509" t="s">
        <v>953</v>
      </c>
      <c r="U509">
        <v>0.9118306900588311</v>
      </c>
      <c r="V509" t="s">
        <v>988</v>
      </c>
      <c r="W509" t="s">
        <v>995</v>
      </c>
      <c r="X509">
        <v>17023.464</v>
      </c>
      <c r="Y509" s="2">
        <v>45050</v>
      </c>
      <c r="Z509" t="s">
        <v>1010</v>
      </c>
    </row>
    <row r="510" spans="1:26">
      <c r="A510" s="1" t="s">
        <v>534</v>
      </c>
      <c r="B510">
        <f>HYPERLINK("https://www.suredividend.com/sure-analysis-MU/","Micron Technology Inc.")</f>
        <v>0</v>
      </c>
      <c r="C510" t="s">
        <v>898</v>
      </c>
      <c r="D510">
        <v>60</v>
      </c>
      <c r="E510">
        <v>65.28</v>
      </c>
      <c r="F510">
        <v>53</v>
      </c>
      <c r="G510">
        <v>1.231698113207547</v>
      </c>
      <c r="H510">
        <v>0.007046568627450981</v>
      </c>
      <c r="I510">
        <v>-0.04082214206294899</v>
      </c>
      <c r="J510">
        <v>0.035</v>
      </c>
      <c r="K510">
        <v>0.001138681426174681</v>
      </c>
      <c r="L510" t="s">
        <v>589</v>
      </c>
      <c r="M510" t="s">
        <v>648</v>
      </c>
      <c r="N510">
        <v>10.52903225806452</v>
      </c>
      <c r="O510">
        <v>6.2</v>
      </c>
      <c r="P510">
        <v>0.46</v>
      </c>
      <c r="Q510">
        <v>0.07419354838709677</v>
      </c>
      <c r="R510">
        <v>1</v>
      </c>
      <c r="S510">
        <v>0.05457794330579446</v>
      </c>
      <c r="T510" t="s">
        <v>909</v>
      </c>
      <c r="U510">
        <v>0.128691198871308</v>
      </c>
      <c r="V510" t="s">
        <v>988</v>
      </c>
      <c r="W510" t="s">
        <v>1000</v>
      </c>
      <c r="X510">
        <v>71220.48</v>
      </c>
      <c r="Y510" s="2">
        <v>45013</v>
      </c>
      <c r="Z510" t="s">
        <v>1014</v>
      </c>
    </row>
    <row r="511" spans="1:26">
      <c r="A511" s="1" t="s">
        <v>535</v>
      </c>
      <c r="B511">
        <f>HYPERLINK("https://www.suredividend.com/sure-analysis-RS/","Reliance Steel &amp; Aluminum Co.")</f>
        <v>0</v>
      </c>
      <c r="C511" t="s">
        <v>898</v>
      </c>
      <c r="D511">
        <v>248</v>
      </c>
      <c r="E511">
        <v>258.26</v>
      </c>
      <c r="F511">
        <v>286</v>
      </c>
      <c r="G511">
        <v>0.9030069930069929</v>
      </c>
      <c r="H511">
        <v>0.01548826763726477</v>
      </c>
      <c r="I511">
        <v>0.02061460145361416</v>
      </c>
      <c r="J511">
        <v>-0.04</v>
      </c>
      <c r="K511">
        <v>-0.001672579391161944</v>
      </c>
      <c r="L511" t="s">
        <v>589</v>
      </c>
      <c r="M511" t="s">
        <v>791</v>
      </c>
      <c r="N511">
        <v>11.73909090909091</v>
      </c>
      <c r="O511">
        <v>22</v>
      </c>
      <c r="P511">
        <v>4</v>
      </c>
      <c r="Q511">
        <v>0.1818181818181818</v>
      </c>
      <c r="R511">
        <v>13</v>
      </c>
      <c r="S511">
        <v>0.04563955259127317</v>
      </c>
      <c r="T511" t="s">
        <v>946</v>
      </c>
      <c r="U511">
        <v>0.565598369528262</v>
      </c>
      <c r="V511" t="s">
        <v>988</v>
      </c>
      <c r="W511" t="s">
        <v>992</v>
      </c>
      <c r="X511">
        <v>16294.194269</v>
      </c>
      <c r="Y511" s="2">
        <v>45049</v>
      </c>
      <c r="Z511" t="s">
        <v>1007</v>
      </c>
    </row>
    <row r="512" spans="1:26">
      <c r="A512" s="1" t="s">
        <v>536</v>
      </c>
      <c r="B512">
        <f>HYPERLINK("https://www.suredividend.com/sure-analysis-COLD/","Americold Realty Trust Inc")</f>
        <v>0</v>
      </c>
      <c r="C512" t="s">
        <v>898</v>
      </c>
      <c r="D512">
        <v>30</v>
      </c>
      <c r="E512">
        <v>30.89</v>
      </c>
      <c r="F512">
        <v>21.78</v>
      </c>
      <c r="G512">
        <v>1.418273645546373</v>
      </c>
      <c r="H512">
        <v>0.02848818387827776</v>
      </c>
      <c r="I512">
        <v>-0.06750181876577965</v>
      </c>
      <c r="J512">
        <v>0.03</v>
      </c>
      <c r="K512">
        <v>-0.005811042331793859</v>
      </c>
      <c r="L512" t="s">
        <v>589</v>
      </c>
      <c r="M512" t="s">
        <v>791</v>
      </c>
      <c r="N512">
        <v>25.52892561983471</v>
      </c>
      <c r="O512">
        <v>1.21</v>
      </c>
      <c r="P512">
        <v>0.88</v>
      </c>
      <c r="Q512">
        <v>0.7272727272727273</v>
      </c>
      <c r="R512">
        <v>0</v>
      </c>
      <c r="S512">
        <v>0.02589630491023409</v>
      </c>
      <c r="T512" t="s">
        <v>906</v>
      </c>
      <c r="U512">
        <v>0.07251358436192501</v>
      </c>
      <c r="V512" t="s">
        <v>989</v>
      </c>
      <c r="W512" t="s">
        <v>1001</v>
      </c>
      <c r="X512">
        <v>8345.373497</v>
      </c>
      <c r="Y512" s="2">
        <v>45059</v>
      </c>
      <c r="Z512" t="s">
        <v>1012</v>
      </c>
    </row>
    <row r="513" spans="1:26">
      <c r="A513" s="1" t="s">
        <v>537</v>
      </c>
      <c r="B513">
        <f>HYPERLINK("https://www.suredividend.com/sure-analysis-FCX/","Freeport-McMoRan Inc")</f>
        <v>0</v>
      </c>
      <c r="C513" t="s">
        <v>898</v>
      </c>
      <c r="D513">
        <v>40</v>
      </c>
      <c r="E513">
        <v>38.37</v>
      </c>
      <c r="F513">
        <v>27</v>
      </c>
      <c r="G513">
        <v>1.421111111111111</v>
      </c>
      <c r="H513">
        <v>0.007818608287724784</v>
      </c>
      <c r="I513">
        <v>-0.06787449155618064</v>
      </c>
      <c r="J513">
        <v>0.05</v>
      </c>
      <c r="K513">
        <v>-0.01131324330940697</v>
      </c>
      <c r="L513" t="s">
        <v>589</v>
      </c>
      <c r="M513" t="s">
        <v>648</v>
      </c>
      <c r="N513">
        <v>18.27142857142857</v>
      </c>
      <c r="O513">
        <v>2.1</v>
      </c>
      <c r="P513">
        <v>0.3</v>
      </c>
      <c r="Q513">
        <v>0.1428571428571428</v>
      </c>
      <c r="R513">
        <v>2</v>
      </c>
      <c r="S513">
        <v>0.05922384104881218</v>
      </c>
      <c r="T513" t="s">
        <v>911</v>
      </c>
      <c r="U513">
        <v>0.249243031001543</v>
      </c>
      <c r="V513" t="s">
        <v>988</v>
      </c>
      <c r="W513" t="s">
        <v>992</v>
      </c>
      <c r="X513">
        <v>54995.194564</v>
      </c>
      <c r="Y513" s="2">
        <v>45041</v>
      </c>
      <c r="Z513" t="s">
        <v>1004</v>
      </c>
    </row>
    <row r="514" spans="1:26">
      <c r="A514" s="1" t="s">
        <v>538</v>
      </c>
      <c r="B514">
        <f>HYPERLINK("https://www.suredividend.com/sure-analysis-COF/","Capital One Financial Corp.")</f>
        <v>0</v>
      </c>
      <c r="C514" t="s">
        <v>898</v>
      </c>
      <c r="D514">
        <v>97</v>
      </c>
      <c r="E514">
        <v>106.6</v>
      </c>
      <c r="F514">
        <v>108</v>
      </c>
      <c r="G514">
        <v>0.9870370370370369</v>
      </c>
      <c r="H514">
        <v>0.0225140712945591</v>
      </c>
      <c r="I514">
        <v>0.002612950899675059</v>
      </c>
      <c r="J514">
        <v>-0.06</v>
      </c>
      <c r="K514">
        <v>-0.0282299859805748</v>
      </c>
      <c r="L514" t="s">
        <v>589</v>
      </c>
      <c r="M514" t="s">
        <v>791</v>
      </c>
      <c r="N514">
        <v>8.883333333333333</v>
      </c>
      <c r="O514">
        <v>12</v>
      </c>
      <c r="P514">
        <v>2.4</v>
      </c>
      <c r="Q514">
        <v>0.2</v>
      </c>
      <c r="R514">
        <v>1</v>
      </c>
      <c r="S514">
        <v>0.02983277847878951</v>
      </c>
      <c r="T514" t="s">
        <v>931</v>
      </c>
      <c r="U514">
        <v>-0.003520396049229</v>
      </c>
      <c r="V514" t="s">
        <v>988</v>
      </c>
      <c r="W514" t="s">
        <v>994</v>
      </c>
      <c r="X514">
        <v>40700.542519</v>
      </c>
      <c r="Y514" s="2">
        <v>45046</v>
      </c>
      <c r="Z514" t="s">
        <v>1006</v>
      </c>
    </row>
    <row r="515" spans="1:26">
      <c r="A515" s="1" t="s">
        <v>539</v>
      </c>
      <c r="B515">
        <f>HYPERLINK("https://www.suredividend.com/sure-analysis-PPL/","PPL Corp")</f>
        <v>0</v>
      </c>
      <c r="C515" t="s">
        <v>898</v>
      </c>
      <c r="D515">
        <v>27</v>
      </c>
      <c r="E515">
        <v>26.38</v>
      </c>
      <c r="F515">
        <v>16</v>
      </c>
      <c r="G515">
        <v>1.64875</v>
      </c>
      <c r="H515">
        <v>0.03639120545868082</v>
      </c>
      <c r="I515">
        <v>-0.09516573532588501</v>
      </c>
      <c r="J515">
        <v>0.02</v>
      </c>
      <c r="K515">
        <v>-0.02907749344393573</v>
      </c>
      <c r="L515" t="s">
        <v>589</v>
      </c>
      <c r="M515" t="s">
        <v>900</v>
      </c>
      <c r="N515">
        <v>16.69620253164557</v>
      </c>
      <c r="O515">
        <v>1.58</v>
      </c>
      <c r="P515">
        <v>0.96</v>
      </c>
      <c r="Q515">
        <v>0.6075949367088607</v>
      </c>
      <c r="R515">
        <v>1</v>
      </c>
      <c r="S515">
        <v>0.02001586442069092</v>
      </c>
      <c r="T515" t="s">
        <v>926</v>
      </c>
      <c r="U515">
        <v>0.007120087044495</v>
      </c>
      <c r="V515" t="s">
        <v>988</v>
      </c>
      <c r="W515" t="s">
        <v>999</v>
      </c>
      <c r="X515">
        <v>19443.84437</v>
      </c>
      <c r="Y515" s="2">
        <v>45069</v>
      </c>
      <c r="Z515" t="s">
        <v>1003</v>
      </c>
    </row>
    <row r="516" spans="1:26">
      <c r="A516" s="1" t="s">
        <v>540</v>
      </c>
      <c r="B516">
        <f>HYPERLINK("https://www.suredividend.com/sure-analysis-VMC/","Vulcan Materials Co")</f>
        <v>0</v>
      </c>
      <c r="C516" t="s">
        <v>898</v>
      </c>
      <c r="D516">
        <v>195</v>
      </c>
      <c r="E516">
        <v>214.43</v>
      </c>
      <c r="F516">
        <v>131</v>
      </c>
      <c r="G516">
        <v>1.636870229007634</v>
      </c>
      <c r="H516">
        <v>0.008021265681108053</v>
      </c>
      <c r="I516">
        <v>-0.09385614420782606</v>
      </c>
      <c r="J516">
        <v>0.05</v>
      </c>
      <c r="K516">
        <v>-0.03743822035769562</v>
      </c>
      <c r="L516" t="s">
        <v>589</v>
      </c>
      <c r="M516" t="s">
        <v>648</v>
      </c>
      <c r="N516">
        <v>32.73740458015267</v>
      </c>
      <c r="O516">
        <v>6.55</v>
      </c>
      <c r="P516">
        <v>1.72</v>
      </c>
      <c r="Q516">
        <v>0.2625954198473283</v>
      </c>
      <c r="R516">
        <v>10</v>
      </c>
      <c r="S516">
        <v>0.05045837224621441</v>
      </c>
      <c r="T516" t="s">
        <v>946</v>
      </c>
      <c r="U516">
        <v>0.4839189633397341</v>
      </c>
      <c r="V516" t="s">
        <v>988</v>
      </c>
      <c r="W516" t="s">
        <v>992</v>
      </c>
      <c r="X516">
        <v>28531.928429</v>
      </c>
      <c r="Y516" s="2">
        <v>45071</v>
      </c>
      <c r="Z516" t="s">
        <v>1003</v>
      </c>
    </row>
    <row r="517" spans="1:26">
      <c r="A517" s="1" t="s">
        <v>541</v>
      </c>
      <c r="B517">
        <f>HYPERLINK("https://www.suredividend.com/sure-analysis-MPC/","Marathon Petroleum Corp")</f>
        <v>0</v>
      </c>
      <c r="C517" t="s">
        <v>898</v>
      </c>
      <c r="D517">
        <v>111</v>
      </c>
      <c r="E517">
        <v>111.64</v>
      </c>
      <c r="F517">
        <v>202</v>
      </c>
      <c r="G517">
        <v>0.5526732673267327</v>
      </c>
      <c r="H517">
        <v>0.02687208885704049</v>
      </c>
      <c r="I517">
        <v>0.1259168232330405</v>
      </c>
      <c r="J517">
        <v>-0.18</v>
      </c>
      <c r="K517">
        <v>-0.0404047459565805</v>
      </c>
      <c r="L517" t="s">
        <v>589</v>
      </c>
      <c r="M517" t="s">
        <v>791</v>
      </c>
      <c r="N517">
        <v>6.567058823529412</v>
      </c>
      <c r="O517">
        <v>17</v>
      </c>
      <c r="P517">
        <v>3</v>
      </c>
      <c r="Q517">
        <v>0.1764705882352941</v>
      </c>
      <c r="R517">
        <v>1</v>
      </c>
      <c r="S517">
        <v>0.0204773406453429</v>
      </c>
      <c r="T517" t="s">
        <v>922</v>
      </c>
      <c r="U517">
        <v>0.335926047805666</v>
      </c>
      <c r="V517" t="s">
        <v>988</v>
      </c>
      <c r="W517" t="s">
        <v>1002</v>
      </c>
      <c r="X517">
        <v>47366.933132</v>
      </c>
      <c r="Y517" s="2">
        <v>45057</v>
      </c>
      <c r="Z517" t="s">
        <v>1007</v>
      </c>
    </row>
    <row r="518" spans="1:26">
      <c r="A518" s="1" t="s">
        <v>542</v>
      </c>
      <c r="B518">
        <f>HYPERLINK("https://www.suredividend.com/sure-analysis-OXY/","Occidental Petroleum Corp.")</f>
        <v>0</v>
      </c>
      <c r="C518" t="s">
        <v>898</v>
      </c>
      <c r="D518">
        <v>58</v>
      </c>
      <c r="E518">
        <v>56.07</v>
      </c>
      <c r="F518">
        <v>65</v>
      </c>
      <c r="G518">
        <v>0.8626153846153847</v>
      </c>
      <c r="H518">
        <v>0.01284109149277689</v>
      </c>
      <c r="I518">
        <v>0.0299984238029869</v>
      </c>
      <c r="J518">
        <v>-0.09</v>
      </c>
      <c r="K518">
        <v>-0.04318160833743878</v>
      </c>
      <c r="L518" t="s">
        <v>589</v>
      </c>
      <c r="M518" t="s">
        <v>648</v>
      </c>
      <c r="N518">
        <v>12.18913043478261</v>
      </c>
      <c r="O518">
        <v>4.6</v>
      </c>
      <c r="P518">
        <v>0.72</v>
      </c>
      <c r="Q518">
        <v>0.1565217391304348</v>
      </c>
      <c r="R518">
        <v>2</v>
      </c>
      <c r="S518">
        <v>0.06790716584560208</v>
      </c>
      <c r="T518" t="s">
        <v>926</v>
      </c>
      <c r="U518">
        <v>-0.015452151009657</v>
      </c>
      <c r="V518" t="s">
        <v>988</v>
      </c>
      <c r="W518" t="s">
        <v>1002</v>
      </c>
      <c r="X518">
        <v>50000.152635</v>
      </c>
      <c r="Y518" s="2">
        <v>45063</v>
      </c>
      <c r="Z518" t="s">
        <v>1007</v>
      </c>
    </row>
    <row r="519" spans="1:26">
      <c r="A519" s="1" t="s">
        <v>543</v>
      </c>
      <c r="B519">
        <f>HYPERLINK("https://www.suredividend.com/sure-analysis-MFGP/","Micro Focus International Plc")</f>
        <v>0</v>
      </c>
      <c r="C519" t="s">
        <v>897</v>
      </c>
      <c r="D519">
        <v>3.26</v>
      </c>
      <c r="E519">
        <v>6.48</v>
      </c>
      <c r="F519">
        <v>4.05</v>
      </c>
      <c r="G519">
        <v>1.6</v>
      </c>
      <c r="H519">
        <v>0.04475308641975308</v>
      </c>
      <c r="I519">
        <v>-0.08971789848695988</v>
      </c>
      <c r="J519">
        <v>-0.02</v>
      </c>
      <c r="K519">
        <v>-0.04636073900450433</v>
      </c>
      <c r="L519" t="s">
        <v>589</v>
      </c>
      <c r="M519" t="s">
        <v>900</v>
      </c>
      <c r="N519">
        <v>4.8</v>
      </c>
      <c r="O519">
        <v>1.35</v>
      </c>
      <c r="P519">
        <v>0.29</v>
      </c>
      <c r="Q519">
        <v>0.2148148148148148</v>
      </c>
      <c r="R519">
        <v>1</v>
      </c>
      <c r="S519">
        <v>0</v>
      </c>
      <c r="T519" t="s">
        <v>979</v>
      </c>
      <c r="U519">
        <v>0.171112556929082</v>
      </c>
      <c r="V519" t="s">
        <v>988</v>
      </c>
      <c r="W519" t="s">
        <v>1000</v>
      </c>
      <c r="X519">
        <v>2198.339527</v>
      </c>
      <c r="Y519" s="2">
        <v>44759</v>
      </c>
      <c r="Z519" t="s">
        <v>1003</v>
      </c>
    </row>
    <row r="520" spans="1:26">
      <c r="A520" s="1" t="s">
        <v>544</v>
      </c>
      <c r="B520">
        <f>HYPERLINK("https://www.suredividend.com/sure-analysis-AGO/","Assured Guaranty Ltd")</f>
        <v>0</v>
      </c>
      <c r="C520" t="s">
        <v>898</v>
      </c>
      <c r="D520">
        <v>55</v>
      </c>
      <c r="E520">
        <v>53.35</v>
      </c>
      <c r="F520">
        <v>36</v>
      </c>
      <c r="G520">
        <v>1.481944444444445</v>
      </c>
      <c r="H520">
        <v>0.02099343955014058</v>
      </c>
      <c r="I520">
        <v>-0.07565602366858371</v>
      </c>
      <c r="J520">
        <v>0</v>
      </c>
      <c r="K520">
        <v>-0.04853726938251968</v>
      </c>
      <c r="L520" t="s">
        <v>589</v>
      </c>
      <c r="M520" t="s">
        <v>791</v>
      </c>
      <c r="N520">
        <v>13.3375</v>
      </c>
      <c r="O520">
        <v>4</v>
      </c>
      <c r="P520">
        <v>1.12</v>
      </c>
      <c r="Q520">
        <v>0.28</v>
      </c>
      <c r="R520">
        <v>11</v>
      </c>
      <c r="S520">
        <v>0</v>
      </c>
      <c r="T520" t="s">
        <v>922</v>
      </c>
      <c r="U520">
        <v>-0.06069644033001501</v>
      </c>
      <c r="V520" t="s">
        <v>988</v>
      </c>
      <c r="W520" t="s">
        <v>994</v>
      </c>
      <c r="X520">
        <v>3165.845444</v>
      </c>
      <c r="Y520" s="2">
        <v>45096</v>
      </c>
      <c r="Z520" t="s">
        <v>1009</v>
      </c>
    </row>
    <row r="521" spans="1:26">
      <c r="A521" s="1" t="s">
        <v>545</v>
      </c>
      <c r="B521">
        <f>HYPERLINK("https://www.suredividend.com/sure-analysis-DVN/","Devon Energy Corp.")</f>
        <v>0</v>
      </c>
      <c r="C521" t="s">
        <v>898</v>
      </c>
      <c r="D521">
        <v>48</v>
      </c>
      <c r="E521">
        <v>47.15</v>
      </c>
      <c r="F521">
        <v>53</v>
      </c>
      <c r="G521">
        <v>0.8896226415094339</v>
      </c>
      <c r="H521">
        <v>0.01696712619300106</v>
      </c>
      <c r="I521">
        <v>0.02366730963595098</v>
      </c>
      <c r="J521">
        <v>-0.1</v>
      </c>
      <c r="K521">
        <v>-0.0620049904378388</v>
      </c>
      <c r="L521" t="s">
        <v>589</v>
      </c>
      <c r="M521" t="s">
        <v>791</v>
      </c>
      <c r="N521">
        <v>13.47142857142857</v>
      </c>
      <c r="O521">
        <v>3.5</v>
      </c>
      <c r="P521">
        <v>0.8</v>
      </c>
      <c r="Q521">
        <v>0.2285714285714286</v>
      </c>
      <c r="R521">
        <v>5</v>
      </c>
      <c r="S521">
        <v>-0.1009132981313342</v>
      </c>
      <c r="T521" t="s">
        <v>916</v>
      </c>
      <c r="U521">
        <v>-0.08551900433093501</v>
      </c>
      <c r="V521" t="s">
        <v>988</v>
      </c>
      <c r="W521" t="s">
        <v>1002</v>
      </c>
      <c r="X521">
        <v>30836.1</v>
      </c>
      <c r="Y521" s="2">
        <v>45075</v>
      </c>
      <c r="Z521" t="s">
        <v>1009</v>
      </c>
    </row>
    <row r="522" spans="1:26">
      <c r="A522" s="1" t="s">
        <v>546</v>
      </c>
      <c r="B522">
        <f>HYPERLINK("https://www.suredividend.com/sure-analysis-STLD/","Steel Dynamics Inc.")</f>
        <v>0</v>
      </c>
      <c r="C522" t="s">
        <v>898</v>
      </c>
      <c r="D522">
        <v>111</v>
      </c>
      <c r="E522">
        <v>102.68</v>
      </c>
      <c r="F522">
        <v>64</v>
      </c>
      <c r="G522">
        <v>1.604375</v>
      </c>
      <c r="H522">
        <v>0.01655629139072847</v>
      </c>
      <c r="I522">
        <v>-0.09021489392495374</v>
      </c>
      <c r="J522">
        <v>0</v>
      </c>
      <c r="K522">
        <v>-0.06339920659026821</v>
      </c>
      <c r="L522" t="s">
        <v>589</v>
      </c>
      <c r="M522" t="s">
        <v>648</v>
      </c>
      <c r="N522">
        <v>17.85739130434783</v>
      </c>
      <c r="O522">
        <v>5.75</v>
      </c>
      <c r="P522">
        <v>1.7</v>
      </c>
      <c r="Q522">
        <v>0.2956521739130435</v>
      </c>
      <c r="R522">
        <v>11</v>
      </c>
      <c r="S522">
        <v>0.05482596260493655</v>
      </c>
      <c r="T522" t="s">
        <v>906</v>
      </c>
      <c r="U522">
        <v>0.51607097243816</v>
      </c>
      <c r="V522" t="s">
        <v>988</v>
      </c>
      <c r="W522" t="s">
        <v>992</v>
      </c>
      <c r="X522">
        <v>17356.380624</v>
      </c>
      <c r="Y522" s="2">
        <v>45041</v>
      </c>
      <c r="Z522" t="s">
        <v>1007</v>
      </c>
    </row>
    <row r="523" spans="1:26">
      <c r="A523" s="1" t="s">
        <v>547</v>
      </c>
      <c r="B523">
        <f>HYPERLINK("https://www.suredividend.com/sure-analysis-KEY/","Keycorp")</f>
        <v>0</v>
      </c>
      <c r="C523" t="s">
        <v>896</v>
      </c>
      <c r="D523">
        <v>12</v>
      </c>
      <c r="E523">
        <v>9.35</v>
      </c>
      <c r="F523">
        <v>20</v>
      </c>
      <c r="G523">
        <v>0.4675</v>
      </c>
      <c r="H523">
        <v>0.08770053475935828</v>
      </c>
      <c r="I523">
        <v>0.1642431113514358</v>
      </c>
      <c r="J523">
        <v>0.04</v>
      </c>
      <c r="K523">
        <v>0.2549235758280493</v>
      </c>
      <c r="L523" t="s">
        <v>791</v>
      </c>
      <c r="M523" t="s">
        <v>900</v>
      </c>
      <c r="N523">
        <v>5.5</v>
      </c>
      <c r="O523">
        <v>1.7</v>
      </c>
      <c r="P523">
        <v>0.82</v>
      </c>
      <c r="Q523">
        <v>0.4823529411764706</v>
      </c>
      <c r="R523">
        <v>12</v>
      </c>
      <c r="S523">
        <v>0.0506911866246349</v>
      </c>
      <c r="T523" t="s">
        <v>914</v>
      </c>
      <c r="U523">
        <v>-0.446945185465601</v>
      </c>
      <c r="V523" t="s">
        <v>988</v>
      </c>
      <c r="W523" t="s">
        <v>994</v>
      </c>
      <c r="X523">
        <v>8744.722533</v>
      </c>
      <c r="Y523" s="2">
        <v>45041</v>
      </c>
      <c r="Z523" t="s">
        <v>1007</v>
      </c>
    </row>
    <row r="524" spans="1:26">
      <c r="A524" s="1" t="s">
        <v>548</v>
      </c>
      <c r="B524">
        <f>HYPERLINK("https://www.suredividend.com/sure-analysis-DEI/","Douglas Emmett Inc")</f>
        <v>0</v>
      </c>
      <c r="C524" t="s">
        <v>896</v>
      </c>
      <c r="D524">
        <v>11</v>
      </c>
      <c r="E524">
        <v>11.38</v>
      </c>
      <c r="F524">
        <v>29</v>
      </c>
      <c r="G524">
        <v>0.3924137931034483</v>
      </c>
      <c r="H524">
        <v>0.06678383128295254</v>
      </c>
      <c r="I524">
        <v>0.20573299939538</v>
      </c>
      <c r="J524">
        <v>0</v>
      </c>
      <c r="K524">
        <v>0.2357946659201127</v>
      </c>
      <c r="L524" t="s">
        <v>791</v>
      </c>
      <c r="M524" t="s">
        <v>900</v>
      </c>
      <c r="N524">
        <v>5.989473684210527</v>
      </c>
      <c r="O524">
        <v>1.9</v>
      </c>
      <c r="P524">
        <v>0.76</v>
      </c>
      <c r="Q524">
        <v>0.4</v>
      </c>
      <c r="R524">
        <v>0</v>
      </c>
      <c r="S524">
        <v>0</v>
      </c>
      <c r="T524" t="s">
        <v>906</v>
      </c>
      <c r="U524">
        <v>-0.4757813759587251</v>
      </c>
      <c r="V524" t="s">
        <v>989</v>
      </c>
      <c r="W524" t="s">
        <v>1001</v>
      </c>
      <c r="X524">
        <v>1932.434181</v>
      </c>
      <c r="Y524" s="2">
        <v>45064</v>
      </c>
      <c r="Z524" t="s">
        <v>1007</v>
      </c>
    </row>
    <row r="525" spans="1:26">
      <c r="A525" s="1" t="s">
        <v>549</v>
      </c>
      <c r="B525">
        <f>HYPERLINK("https://www.suredividend.com/sure-analysis-PDM/","Piedmont Office Realty Trust Inc")</f>
        <v>0</v>
      </c>
      <c r="C525" t="s">
        <v>896</v>
      </c>
      <c r="D525">
        <v>7</v>
      </c>
      <c r="E525">
        <v>6.65</v>
      </c>
      <c r="F525">
        <v>14</v>
      </c>
      <c r="G525">
        <v>0.475</v>
      </c>
      <c r="H525">
        <v>0.1263157894736842</v>
      </c>
      <c r="I525">
        <v>0.160543111353167</v>
      </c>
      <c r="J525">
        <v>0.01</v>
      </c>
      <c r="K525">
        <v>0.2340675411032911</v>
      </c>
      <c r="L525" t="s">
        <v>791</v>
      </c>
      <c r="M525" t="s">
        <v>900</v>
      </c>
      <c r="N525">
        <v>3.594594594594595</v>
      </c>
      <c r="O525">
        <v>1.85</v>
      </c>
      <c r="P525">
        <v>0.84</v>
      </c>
      <c r="Q525">
        <v>0.454054054054054</v>
      </c>
      <c r="R525">
        <v>0</v>
      </c>
      <c r="S525">
        <v>0.009347419909568888</v>
      </c>
      <c r="T525" t="s">
        <v>946</v>
      </c>
      <c r="U525">
        <v>-0.460056349006584</v>
      </c>
      <c r="V525" t="s">
        <v>989</v>
      </c>
      <c r="W525" t="s">
        <v>1001</v>
      </c>
      <c r="X525">
        <v>822.225637</v>
      </c>
      <c r="Y525" s="2">
        <v>45057</v>
      </c>
      <c r="Z525" t="s">
        <v>1010</v>
      </c>
    </row>
    <row r="526" spans="1:26">
      <c r="A526" s="1" t="s">
        <v>550</v>
      </c>
      <c r="B526">
        <f>HYPERLINK("https://www.suredividend.com/sure-analysis-NRIM/","Northrim Bancorp, Inc.")</f>
        <v>0</v>
      </c>
      <c r="C526" t="s">
        <v>896</v>
      </c>
      <c r="D526">
        <v>36.7</v>
      </c>
      <c r="E526">
        <v>37</v>
      </c>
      <c r="F526">
        <v>45.6</v>
      </c>
      <c r="G526">
        <v>0.8114035087719298</v>
      </c>
      <c r="H526">
        <v>0.06486486486486487</v>
      </c>
      <c r="I526">
        <v>0.04268379444271631</v>
      </c>
      <c r="J526">
        <v>0.1</v>
      </c>
      <c r="K526">
        <v>0.1959289993438937</v>
      </c>
      <c r="L526" t="s">
        <v>791</v>
      </c>
      <c r="M526" t="s">
        <v>900</v>
      </c>
      <c r="N526">
        <v>6.491228070175438</v>
      </c>
      <c r="O526">
        <v>5.7</v>
      </c>
      <c r="P526">
        <v>2.4</v>
      </c>
      <c r="Q526">
        <v>0.4210526315789473</v>
      </c>
      <c r="R526">
        <v>13</v>
      </c>
      <c r="S526">
        <v>0.1200201219146697</v>
      </c>
      <c r="T526" t="s">
        <v>951</v>
      </c>
      <c r="U526">
        <v>-0.041716415397804</v>
      </c>
      <c r="V526" t="s">
        <v>988</v>
      </c>
      <c r="W526" t="s">
        <v>994</v>
      </c>
      <c r="X526">
        <v>209.044117</v>
      </c>
      <c r="Y526" s="2">
        <v>45048</v>
      </c>
      <c r="Z526" t="s">
        <v>1005</v>
      </c>
    </row>
    <row r="527" spans="1:26">
      <c r="A527" s="1" t="s">
        <v>551</v>
      </c>
      <c r="B527">
        <f>HYPERLINK("https://www.suredividend.com/sure-analysis-ALV/","Autoliv Inc.")</f>
        <v>0</v>
      </c>
      <c r="C527" t="s">
        <v>896</v>
      </c>
      <c r="D527">
        <v>87</v>
      </c>
      <c r="E527">
        <v>82.56999999999999</v>
      </c>
      <c r="F527">
        <v>104</v>
      </c>
      <c r="G527">
        <v>0.7939423076923077</v>
      </c>
      <c r="H527">
        <v>0.03197287150296718</v>
      </c>
      <c r="I527">
        <v>0.04723032790496995</v>
      </c>
      <c r="J527">
        <v>0.12</v>
      </c>
      <c r="K527">
        <v>0.1924168200363849</v>
      </c>
      <c r="L527" t="s">
        <v>791</v>
      </c>
      <c r="M527" t="s">
        <v>791</v>
      </c>
      <c r="N527">
        <v>12.70307692307692</v>
      </c>
      <c r="O527">
        <v>6.5</v>
      </c>
      <c r="P527">
        <v>2.64</v>
      </c>
      <c r="Q527">
        <v>0.4061538461538462</v>
      </c>
      <c r="R527">
        <v>2</v>
      </c>
      <c r="S527">
        <v>0.05982499004041508</v>
      </c>
      <c r="T527" t="s">
        <v>947</v>
      </c>
      <c r="U527">
        <v>0.096914239559587</v>
      </c>
      <c r="V527" t="s">
        <v>988</v>
      </c>
      <c r="W527" t="s">
        <v>995</v>
      </c>
      <c r="X527">
        <v>7086.966916</v>
      </c>
      <c r="Y527" s="2">
        <v>45041</v>
      </c>
      <c r="Z527" t="s">
        <v>1004</v>
      </c>
    </row>
    <row r="528" spans="1:26">
      <c r="A528" s="1" t="s">
        <v>552</v>
      </c>
      <c r="B528">
        <f>HYPERLINK("https://www.suredividend.com/sure-analysis-UNIT/","Uniti Group Inc")</f>
        <v>0</v>
      </c>
      <c r="C528" t="s">
        <v>896</v>
      </c>
      <c r="D528">
        <v>3.7</v>
      </c>
      <c r="E528">
        <v>4.14</v>
      </c>
      <c r="F528">
        <v>6</v>
      </c>
      <c r="G528">
        <v>0.6899999999999999</v>
      </c>
      <c r="H528">
        <v>0.1449275362318841</v>
      </c>
      <c r="I528">
        <v>0.0770359057364276</v>
      </c>
      <c r="J528">
        <v>0.024</v>
      </c>
      <c r="K528">
        <v>0.1869951462664239</v>
      </c>
      <c r="L528" t="s">
        <v>791</v>
      </c>
      <c r="M528" t="s">
        <v>900</v>
      </c>
      <c r="N528">
        <v>3.45</v>
      </c>
      <c r="O528">
        <v>1.2</v>
      </c>
      <c r="P528">
        <v>0.6</v>
      </c>
      <c r="Q528">
        <v>0.5</v>
      </c>
      <c r="R528">
        <v>0</v>
      </c>
      <c r="S528">
        <v>0</v>
      </c>
      <c r="T528" t="s">
        <v>902</v>
      </c>
      <c r="U528">
        <v>-0.518352626374265</v>
      </c>
      <c r="V528" t="s">
        <v>989</v>
      </c>
      <c r="W528" t="s">
        <v>1001</v>
      </c>
      <c r="X528">
        <v>987.6929280000001</v>
      </c>
      <c r="Y528" s="2">
        <v>45063</v>
      </c>
      <c r="Z528" t="s">
        <v>1013</v>
      </c>
    </row>
    <row r="529" spans="1:26">
      <c r="A529" s="1" t="s">
        <v>553</v>
      </c>
      <c r="B529">
        <f>HYPERLINK("https://www.suredividend.com/sure-analysis-FIS/","Fidelity National Information Services, Inc.")</f>
        <v>0</v>
      </c>
      <c r="C529" t="s">
        <v>896</v>
      </c>
      <c r="D529">
        <v>57</v>
      </c>
      <c r="E529">
        <v>52.75</v>
      </c>
      <c r="F529">
        <v>86</v>
      </c>
      <c r="G529">
        <v>0.6133720930232558</v>
      </c>
      <c r="H529">
        <v>0.03943127962085308</v>
      </c>
      <c r="I529">
        <v>0.1026944721754151</v>
      </c>
      <c r="J529">
        <v>0.05</v>
      </c>
      <c r="K529">
        <v>0.1859048503494138</v>
      </c>
      <c r="L529" t="s">
        <v>791</v>
      </c>
      <c r="M529" t="s">
        <v>589</v>
      </c>
      <c r="N529">
        <v>9.157986111111111</v>
      </c>
      <c r="O529">
        <v>5.76</v>
      </c>
      <c r="P529">
        <v>2.08</v>
      </c>
      <c r="Q529">
        <v>0.3611111111111112</v>
      </c>
      <c r="R529">
        <v>3</v>
      </c>
      <c r="S529">
        <v>0.1000091417204541</v>
      </c>
      <c r="T529" t="s">
        <v>926</v>
      </c>
      <c r="U529">
        <v>-0.448877800275404</v>
      </c>
      <c r="V529" t="s">
        <v>988</v>
      </c>
      <c r="W529" t="s">
        <v>1000</v>
      </c>
      <c r="X529">
        <v>31251.026325</v>
      </c>
      <c r="Y529" s="2">
        <v>45069</v>
      </c>
      <c r="Z529" t="s">
        <v>1005</v>
      </c>
    </row>
    <row r="530" spans="1:26">
      <c r="A530" s="1" t="s">
        <v>554</v>
      </c>
      <c r="B530">
        <f>HYPERLINK("https://www.suredividend.com/sure-analysis-ARLP/","Alliance Resource Partners, LP")</f>
        <v>0</v>
      </c>
      <c r="C530" t="s">
        <v>896</v>
      </c>
      <c r="D530">
        <v>20.71</v>
      </c>
      <c r="E530">
        <v>17.93</v>
      </c>
      <c r="F530">
        <v>33</v>
      </c>
      <c r="G530">
        <v>0.5433333333333333</v>
      </c>
      <c r="H530">
        <v>0.1561628555493586</v>
      </c>
      <c r="I530">
        <v>0.1297613941066105</v>
      </c>
      <c r="J530">
        <v>-0.05</v>
      </c>
      <c r="K530">
        <v>0.1842867726322173</v>
      </c>
      <c r="L530" t="s">
        <v>791</v>
      </c>
      <c r="M530" t="s">
        <v>900</v>
      </c>
      <c r="N530">
        <v>3.26</v>
      </c>
      <c r="O530">
        <v>5.5</v>
      </c>
      <c r="P530">
        <v>2.8</v>
      </c>
      <c r="Q530">
        <v>0.509090909090909</v>
      </c>
      <c r="R530">
        <v>2</v>
      </c>
      <c r="S530">
        <v>0.04978904632428516</v>
      </c>
      <c r="T530" t="s">
        <v>907</v>
      </c>
      <c r="U530">
        <v>0.172033311108496</v>
      </c>
      <c r="V530" t="s">
        <v>990</v>
      </c>
      <c r="W530" t="s">
        <v>1002</v>
      </c>
      <c r="X530">
        <v>2280.671795</v>
      </c>
      <c r="Y530" s="2">
        <v>45056</v>
      </c>
      <c r="Z530" t="s">
        <v>1012</v>
      </c>
    </row>
    <row r="531" spans="1:26">
      <c r="A531" s="1" t="s">
        <v>555</v>
      </c>
      <c r="B531">
        <f>HYPERLINK("https://www.suredividend.com/sure-analysis-USB/","U.S. Bancorp.")</f>
        <v>0</v>
      </c>
      <c r="C531" t="s">
        <v>896</v>
      </c>
      <c r="D531">
        <v>34</v>
      </c>
      <c r="E531">
        <v>31.88</v>
      </c>
      <c r="F531">
        <v>49</v>
      </c>
      <c r="G531">
        <v>0.6506122448979592</v>
      </c>
      <c r="H531">
        <v>0.0602258469259724</v>
      </c>
      <c r="I531">
        <v>0.08977176982774826</v>
      </c>
      <c r="J531">
        <v>0.05</v>
      </c>
      <c r="K531">
        <v>0.1834689808714109</v>
      </c>
      <c r="L531" t="s">
        <v>791</v>
      </c>
      <c r="M531" t="s">
        <v>900</v>
      </c>
      <c r="N531">
        <v>6.855913978494623</v>
      </c>
      <c r="O531">
        <v>4.65</v>
      </c>
      <c r="P531">
        <v>1.92</v>
      </c>
      <c r="Q531">
        <v>0.4129032258064516</v>
      </c>
      <c r="R531">
        <v>11</v>
      </c>
      <c r="S531">
        <v>0.06005006969898052</v>
      </c>
      <c r="T531" t="s">
        <v>906</v>
      </c>
      <c r="U531">
        <v>-0.297549797285387</v>
      </c>
      <c r="V531" t="s">
        <v>988</v>
      </c>
      <c r="W531" t="s">
        <v>994</v>
      </c>
      <c r="X531">
        <v>48869.511629</v>
      </c>
      <c r="Y531" s="2">
        <v>45041</v>
      </c>
      <c r="Z531" t="s">
        <v>1004</v>
      </c>
    </row>
    <row r="532" spans="1:26">
      <c r="A532" s="1" t="s">
        <v>556</v>
      </c>
      <c r="B532">
        <f>HYPERLINK("https://www.suredividend.com/sure-analysis-TFC/","Truist Financial Corporation")</f>
        <v>0</v>
      </c>
      <c r="C532" t="s">
        <v>896</v>
      </c>
      <c r="D532">
        <v>28</v>
      </c>
      <c r="E532">
        <v>30</v>
      </c>
      <c r="F532">
        <v>44</v>
      </c>
      <c r="G532">
        <v>0.6818181818181818</v>
      </c>
      <c r="H532">
        <v>0.06933333333333333</v>
      </c>
      <c r="I532">
        <v>0.0796084730466029</v>
      </c>
      <c r="J532">
        <v>0.055</v>
      </c>
      <c r="K532">
        <v>0.1831750639264862</v>
      </c>
      <c r="L532" t="s">
        <v>791</v>
      </c>
      <c r="M532" t="s">
        <v>900</v>
      </c>
      <c r="N532">
        <v>6.802721088435374</v>
      </c>
      <c r="O532">
        <v>4.41</v>
      </c>
      <c r="P532">
        <v>2.08</v>
      </c>
      <c r="Q532">
        <v>0.4716553287981859</v>
      </c>
      <c r="R532">
        <v>12</v>
      </c>
      <c r="S532">
        <v>0.04963065931551602</v>
      </c>
      <c r="T532" t="s">
        <v>943</v>
      </c>
      <c r="U532">
        <v>-0.358310731611324</v>
      </c>
      <c r="V532" t="s">
        <v>988</v>
      </c>
      <c r="W532" t="s">
        <v>994</v>
      </c>
      <c r="X532">
        <v>39957.53661</v>
      </c>
      <c r="Y532" s="2">
        <v>45063</v>
      </c>
      <c r="Z532" t="s">
        <v>1010</v>
      </c>
    </row>
    <row r="533" spans="1:26">
      <c r="A533" s="1" t="s">
        <v>557</v>
      </c>
      <c r="B533">
        <f>HYPERLINK("https://www.suredividend.com/sure-analysis-CUZ/","Cousins Properties Inc.")</f>
        <v>0</v>
      </c>
      <c r="C533" t="s">
        <v>896</v>
      </c>
      <c r="D533">
        <v>20</v>
      </c>
      <c r="E533">
        <v>20.54</v>
      </c>
      <c r="F533">
        <v>33</v>
      </c>
      <c r="G533">
        <v>0.6224242424242424</v>
      </c>
      <c r="H533">
        <v>0.062317429406037</v>
      </c>
      <c r="I533">
        <v>0.09946826930626806</v>
      </c>
      <c r="J533">
        <v>0.04</v>
      </c>
      <c r="K533">
        <v>0.1789790198096344</v>
      </c>
      <c r="L533" t="s">
        <v>791</v>
      </c>
      <c r="M533" t="s">
        <v>900</v>
      </c>
      <c r="N533">
        <v>7.899999999999999</v>
      </c>
      <c r="O533">
        <v>2.6</v>
      </c>
      <c r="P533">
        <v>1.28</v>
      </c>
      <c r="Q533">
        <v>0.4923076923076923</v>
      </c>
      <c r="R533">
        <v>4</v>
      </c>
      <c r="S533">
        <v>0.01219872924994259</v>
      </c>
      <c r="T533" t="s">
        <v>959</v>
      </c>
      <c r="U533">
        <v>-0.299361101920105</v>
      </c>
      <c r="V533" t="s">
        <v>989</v>
      </c>
      <c r="W533" t="s">
        <v>1001</v>
      </c>
      <c r="X533">
        <v>3115.791967</v>
      </c>
      <c r="Y533" s="2">
        <v>45063</v>
      </c>
      <c r="Z533" t="s">
        <v>1007</v>
      </c>
    </row>
    <row r="534" spans="1:26">
      <c r="A534" s="1" t="s">
        <v>558</v>
      </c>
      <c r="B534">
        <f>HYPERLINK("https://www.suredividend.com/sure-analysis-HIW/","Highwoods Properties, Inc.")</f>
        <v>0</v>
      </c>
      <c r="C534" t="s">
        <v>896</v>
      </c>
      <c r="D534">
        <v>22</v>
      </c>
      <c r="E534">
        <v>21.23</v>
      </c>
      <c r="F534">
        <v>34</v>
      </c>
      <c r="G534">
        <v>0.6244117647058823</v>
      </c>
      <c r="H534">
        <v>0.09420631182289213</v>
      </c>
      <c r="I534">
        <v>0.0987674480280758</v>
      </c>
      <c r="J534">
        <v>0.02</v>
      </c>
      <c r="K534">
        <v>0.1780072118609672</v>
      </c>
      <c r="L534" t="s">
        <v>791</v>
      </c>
      <c r="M534" t="s">
        <v>900</v>
      </c>
      <c r="N534">
        <v>5.661333333333333</v>
      </c>
      <c r="O534">
        <v>3.75</v>
      </c>
      <c r="P534">
        <v>2</v>
      </c>
      <c r="Q534">
        <v>0.5333333333333333</v>
      </c>
      <c r="R534">
        <v>4</v>
      </c>
      <c r="S534">
        <v>0.02016978262061087</v>
      </c>
      <c r="T534" t="s">
        <v>929</v>
      </c>
      <c r="U534">
        <v>-0.337096965571507</v>
      </c>
      <c r="V534" t="s">
        <v>989</v>
      </c>
      <c r="W534" t="s">
        <v>1001</v>
      </c>
      <c r="X534">
        <v>2238.868839</v>
      </c>
      <c r="Y534" s="2">
        <v>45057</v>
      </c>
      <c r="Z534" t="s">
        <v>1010</v>
      </c>
    </row>
    <row r="535" spans="1:26">
      <c r="A535" s="1" t="s">
        <v>559</v>
      </c>
      <c r="B535">
        <f>HYPERLINK("https://www.suredividend.com/sure-analysis-YUMC/","Yum China Holdings Inc")</f>
        <v>0</v>
      </c>
      <c r="C535" t="s">
        <v>896</v>
      </c>
      <c r="D535">
        <v>63</v>
      </c>
      <c r="E535">
        <v>56.28</v>
      </c>
      <c r="F535">
        <v>62</v>
      </c>
      <c r="G535">
        <v>0.9077419354838709</v>
      </c>
      <c r="H535">
        <v>0.009239516702203269</v>
      </c>
      <c r="I535">
        <v>0.01954763167084828</v>
      </c>
      <c r="J535">
        <v>0.15</v>
      </c>
      <c r="K535">
        <v>0.1778699778614876</v>
      </c>
      <c r="L535" t="s">
        <v>791</v>
      </c>
      <c r="M535" t="s">
        <v>648</v>
      </c>
      <c r="N535">
        <v>27.32038834951456</v>
      </c>
      <c r="O535">
        <v>2.06</v>
      </c>
      <c r="P535">
        <v>0.52</v>
      </c>
      <c r="Q535">
        <v>0.2524271844660194</v>
      </c>
      <c r="R535">
        <v>1</v>
      </c>
      <c r="S535">
        <v>0.03580420358021419</v>
      </c>
      <c r="T535" t="s">
        <v>914</v>
      </c>
      <c r="U535">
        <v>0.295663624727192</v>
      </c>
      <c r="V535" t="s">
        <v>988</v>
      </c>
      <c r="W535" t="s">
        <v>995</v>
      </c>
      <c r="X535">
        <v>23515.640846</v>
      </c>
      <c r="Y535" s="2">
        <v>45057</v>
      </c>
      <c r="Z535" t="s">
        <v>1005</v>
      </c>
    </row>
    <row r="536" spans="1:26">
      <c r="A536" s="1" t="s">
        <v>560</v>
      </c>
      <c r="B536">
        <f>HYPERLINK("https://www.suredividend.com/sure-analysis-NWL/","Newell Brands Inc")</f>
        <v>0</v>
      </c>
      <c r="C536" t="s">
        <v>896</v>
      </c>
      <c r="D536">
        <v>10</v>
      </c>
      <c r="E536">
        <v>7.85</v>
      </c>
      <c r="F536">
        <v>10</v>
      </c>
      <c r="G536">
        <v>0.7849999999999999</v>
      </c>
      <c r="H536">
        <v>0.0356687898089172</v>
      </c>
      <c r="I536">
        <v>0.04960542962870207</v>
      </c>
      <c r="J536">
        <v>0.1</v>
      </c>
      <c r="K536">
        <v>0.1739753763642893</v>
      </c>
      <c r="L536" t="s">
        <v>791</v>
      </c>
      <c r="M536" t="s">
        <v>791</v>
      </c>
      <c r="N536">
        <v>8.092783505154639</v>
      </c>
      <c r="O536">
        <v>0.97</v>
      </c>
      <c r="P536">
        <v>0.28</v>
      </c>
      <c r="Q536">
        <v>0.288659793814433</v>
      </c>
      <c r="R536">
        <v>0</v>
      </c>
      <c r="S536">
        <v>0</v>
      </c>
      <c r="T536" t="s">
        <v>934</v>
      </c>
      <c r="U536">
        <v>-0.5897527018834791</v>
      </c>
      <c r="V536" t="s">
        <v>988</v>
      </c>
      <c r="W536" t="s">
        <v>997</v>
      </c>
      <c r="X536">
        <v>3250.685</v>
      </c>
      <c r="Y536" s="2">
        <v>45054</v>
      </c>
      <c r="Z536" t="s">
        <v>1004</v>
      </c>
    </row>
    <row r="537" spans="1:26">
      <c r="A537" s="1" t="s">
        <v>561</v>
      </c>
      <c r="B537">
        <f>HYPERLINK("https://www.suredividend.com/sure-analysis-SAFE/","Safehold Inc.")</f>
        <v>0</v>
      </c>
      <c r="C537" t="s">
        <v>896</v>
      </c>
      <c r="D537">
        <v>28.1</v>
      </c>
      <c r="E537">
        <v>22.32</v>
      </c>
      <c r="F537">
        <v>35.9</v>
      </c>
      <c r="G537">
        <v>0.6217270194986073</v>
      </c>
      <c r="H537">
        <v>0.0318100358422939</v>
      </c>
      <c r="I537">
        <v>0.09971475396171292</v>
      </c>
      <c r="J537">
        <v>0.046</v>
      </c>
      <c r="K537">
        <v>0.1718937221062338</v>
      </c>
      <c r="L537" t="s">
        <v>791</v>
      </c>
      <c r="M537" t="s">
        <v>791</v>
      </c>
      <c r="N537">
        <v>13.36526946107785</v>
      </c>
      <c r="O537">
        <v>1.67</v>
      </c>
      <c r="P537">
        <v>0.71</v>
      </c>
      <c r="Q537">
        <v>0.4251497005988024</v>
      </c>
      <c r="R537">
        <v>6</v>
      </c>
      <c r="S537">
        <v>0.07089854932200002</v>
      </c>
      <c r="T537" t="s">
        <v>976</v>
      </c>
      <c r="U537">
        <v>1.051225496953489</v>
      </c>
      <c r="V537" t="s">
        <v>989</v>
      </c>
      <c r="W537" t="s">
        <v>1001</v>
      </c>
      <c r="X537">
        <v>1427.169124</v>
      </c>
      <c r="Y537" s="2">
        <v>45065</v>
      </c>
      <c r="Z537" t="s">
        <v>1013</v>
      </c>
    </row>
    <row r="538" spans="1:26">
      <c r="A538" s="1" t="s">
        <v>562</v>
      </c>
      <c r="B538">
        <f>HYPERLINK("https://www.suredividend.com/sure-analysis-PNC/","PNC Financial Services Group Inc")</f>
        <v>0</v>
      </c>
      <c r="C538" t="s">
        <v>896</v>
      </c>
      <c r="D538">
        <v>125</v>
      </c>
      <c r="E538">
        <v>123.03</v>
      </c>
      <c r="F538">
        <v>185</v>
      </c>
      <c r="G538">
        <v>0.665027027027027</v>
      </c>
      <c r="H538">
        <v>0.0487685930260912</v>
      </c>
      <c r="I538">
        <v>0.08500600268018155</v>
      </c>
      <c r="J538">
        <v>0.05</v>
      </c>
      <c r="K538">
        <v>0.171855259566271</v>
      </c>
      <c r="L538" t="s">
        <v>791</v>
      </c>
      <c r="M538" t="s">
        <v>900</v>
      </c>
      <c r="N538">
        <v>8.202</v>
      </c>
      <c r="O538">
        <v>15</v>
      </c>
      <c r="P538">
        <v>6</v>
      </c>
      <c r="Q538">
        <v>0.4</v>
      </c>
      <c r="R538">
        <v>12</v>
      </c>
      <c r="S538">
        <v>0.05922384104881218</v>
      </c>
      <c r="T538" t="s">
        <v>980</v>
      </c>
      <c r="U538">
        <v>-0.21318961024011</v>
      </c>
      <c r="V538" t="s">
        <v>988</v>
      </c>
      <c r="W538" t="s">
        <v>994</v>
      </c>
      <c r="X538">
        <v>49102.259578</v>
      </c>
      <c r="Y538" s="2">
        <v>45035</v>
      </c>
      <c r="Z538" t="s">
        <v>1007</v>
      </c>
    </row>
    <row r="539" spans="1:26">
      <c r="A539" s="1" t="s">
        <v>563</v>
      </c>
      <c r="B539">
        <f>HYPERLINK("https://www.suredividend.com/sure-analysis-KRC/","Kilroy Realty Corp.")</f>
        <v>0</v>
      </c>
      <c r="C539" t="s">
        <v>896</v>
      </c>
      <c r="D539">
        <v>29</v>
      </c>
      <c r="E539">
        <v>28.01</v>
      </c>
      <c r="F539">
        <v>45</v>
      </c>
      <c r="G539">
        <v>0.6224444444444445</v>
      </c>
      <c r="H539">
        <v>0.07782934666190647</v>
      </c>
      <c r="I539">
        <v>0.0994611323581438</v>
      </c>
      <c r="J539">
        <v>0.02</v>
      </c>
      <c r="K539">
        <v>0.169442920966097</v>
      </c>
      <c r="L539" t="s">
        <v>791</v>
      </c>
      <c r="M539" t="s">
        <v>900</v>
      </c>
      <c r="N539">
        <v>6.365909090909091</v>
      </c>
      <c r="O539">
        <v>4.4</v>
      </c>
      <c r="P539">
        <v>2.18</v>
      </c>
      <c r="Q539">
        <v>0.4954545454545454</v>
      </c>
      <c r="R539">
        <v>7</v>
      </c>
      <c r="S539">
        <v>0.0202629356649795</v>
      </c>
      <c r="T539" t="s">
        <v>906</v>
      </c>
      <c r="U539">
        <v>-0.455013833815214</v>
      </c>
      <c r="V539" t="s">
        <v>989</v>
      </c>
      <c r="W539" t="s">
        <v>1001</v>
      </c>
      <c r="X539">
        <v>3280.558146</v>
      </c>
      <c r="Y539" s="2">
        <v>45050</v>
      </c>
      <c r="Z539" t="s">
        <v>1011</v>
      </c>
    </row>
    <row r="540" spans="1:26">
      <c r="A540" s="1" t="s">
        <v>564</v>
      </c>
      <c r="B540">
        <f>HYPERLINK("https://www.suredividend.com/sure-analysis-HSBC/","HSBC Holdings plc")</f>
        <v>0</v>
      </c>
      <c r="C540" t="s">
        <v>896</v>
      </c>
      <c r="D540">
        <v>38</v>
      </c>
      <c r="E540">
        <v>38.23</v>
      </c>
      <c r="F540">
        <v>61</v>
      </c>
      <c r="G540">
        <v>0.6267213114754098</v>
      </c>
      <c r="H540">
        <v>0.06696311797018049</v>
      </c>
      <c r="I540">
        <v>0.09795643245019514</v>
      </c>
      <c r="J540">
        <v>0.03</v>
      </c>
      <c r="K540">
        <v>0.1691568669155818</v>
      </c>
      <c r="L540" t="s">
        <v>791</v>
      </c>
      <c r="M540" t="s">
        <v>900</v>
      </c>
      <c r="N540">
        <v>6.319008264462809</v>
      </c>
      <c r="O540">
        <v>6.05</v>
      </c>
      <c r="P540">
        <v>2.56</v>
      </c>
      <c r="Q540">
        <v>0.4231404958677686</v>
      </c>
      <c r="R540">
        <v>1</v>
      </c>
      <c r="S540">
        <v>0</v>
      </c>
      <c r="U540">
        <v>0.225772319925613</v>
      </c>
      <c r="V540" t="s">
        <v>988</v>
      </c>
      <c r="W540" t="s">
        <v>994</v>
      </c>
      <c r="X540">
        <v>151863.748797</v>
      </c>
      <c r="Y540" s="2">
        <v>45069</v>
      </c>
      <c r="Z540" t="s">
        <v>1011</v>
      </c>
    </row>
    <row r="541" spans="1:26">
      <c r="A541" s="1" t="s">
        <v>565</v>
      </c>
      <c r="B541">
        <f>HYPERLINK("https://www.suredividend.com/sure-analysis-HBAN/","Huntington Bancshares, Inc.")</f>
        <v>0</v>
      </c>
      <c r="C541" t="s">
        <v>897</v>
      </c>
      <c r="D541">
        <v>12</v>
      </c>
      <c r="E541">
        <v>10.21</v>
      </c>
      <c r="F541">
        <v>17</v>
      </c>
      <c r="G541">
        <v>0.6005882352941176</v>
      </c>
      <c r="H541">
        <v>0.06072477962781586</v>
      </c>
      <c r="I541">
        <v>0.1073493010322757</v>
      </c>
      <c r="J541">
        <v>0.02</v>
      </c>
      <c r="K541">
        <v>0.1676753379679576</v>
      </c>
      <c r="L541" t="s">
        <v>791</v>
      </c>
      <c r="M541" t="s">
        <v>900</v>
      </c>
      <c r="N541">
        <v>6.806666666666668</v>
      </c>
      <c r="O541">
        <v>1.5</v>
      </c>
      <c r="P541">
        <v>0.62</v>
      </c>
      <c r="Q541">
        <v>0.4133333333333333</v>
      </c>
      <c r="R541">
        <v>1</v>
      </c>
      <c r="S541">
        <v>0.03035803310185115</v>
      </c>
      <c r="T541" t="s">
        <v>902</v>
      </c>
      <c r="U541">
        <v>-0.128921346972553</v>
      </c>
      <c r="V541" t="s">
        <v>988</v>
      </c>
      <c r="W541" t="s">
        <v>994</v>
      </c>
      <c r="X541">
        <v>14739.308803</v>
      </c>
      <c r="Y541" s="2">
        <v>45041</v>
      </c>
      <c r="Z541" t="s">
        <v>1007</v>
      </c>
    </row>
    <row r="542" spans="1:26">
      <c r="A542" s="1" t="s">
        <v>566</v>
      </c>
      <c r="B542">
        <f>HYPERLINK("https://www.suredividend.com/sure-analysis-ARE/","Alexandria Real Estate Equities Inc.")</f>
        <v>0</v>
      </c>
      <c r="C542" t="s">
        <v>897</v>
      </c>
      <c r="D542">
        <v>124</v>
      </c>
      <c r="E542">
        <v>109.08</v>
      </c>
      <c r="F542">
        <v>157</v>
      </c>
      <c r="G542">
        <v>0.6947770700636943</v>
      </c>
      <c r="H542">
        <v>0.04547121378804547</v>
      </c>
      <c r="I542">
        <v>0.07555074301656295</v>
      </c>
      <c r="J542">
        <v>0.05</v>
      </c>
      <c r="K542">
        <v>0.159618704855597</v>
      </c>
      <c r="L542" t="s">
        <v>791</v>
      </c>
      <c r="M542" t="s">
        <v>589</v>
      </c>
      <c r="N542">
        <v>12.17410714285714</v>
      </c>
      <c r="O542">
        <v>8.960000000000001</v>
      </c>
      <c r="P542">
        <v>4.96</v>
      </c>
      <c r="Q542">
        <v>0.5535714285714285</v>
      </c>
      <c r="R542">
        <v>13</v>
      </c>
      <c r="S542">
        <v>0.0449640742801718</v>
      </c>
      <c r="T542" t="s">
        <v>906</v>
      </c>
      <c r="U542">
        <v>-0.212992691250423</v>
      </c>
      <c r="V542" t="s">
        <v>989</v>
      </c>
      <c r="W542" t="s">
        <v>1001</v>
      </c>
      <c r="X542">
        <v>18871.9308</v>
      </c>
      <c r="Y542" s="2">
        <v>45050</v>
      </c>
      <c r="Z542" t="s">
        <v>1010</v>
      </c>
    </row>
    <row r="543" spans="1:26">
      <c r="A543" s="1" t="s">
        <v>567</v>
      </c>
      <c r="B543">
        <f>HYPERLINK("https://www.suredividend.com/sure-analysis-PINC/","Premier Inc")</f>
        <v>0</v>
      </c>
      <c r="C543" t="s">
        <v>896</v>
      </c>
      <c r="D543">
        <v>27</v>
      </c>
      <c r="E543">
        <v>27.17</v>
      </c>
      <c r="F543">
        <v>38</v>
      </c>
      <c r="G543">
        <v>0.7150000000000001</v>
      </c>
      <c r="H543">
        <v>0.03091645196908354</v>
      </c>
      <c r="I543">
        <v>0.06939658190911846</v>
      </c>
      <c r="J543">
        <v>0.06</v>
      </c>
      <c r="K543">
        <v>0.1550555652747012</v>
      </c>
      <c r="L543" t="s">
        <v>791</v>
      </c>
      <c r="M543" t="s">
        <v>791</v>
      </c>
      <c r="N543">
        <v>10.868</v>
      </c>
      <c r="O543">
        <v>2.5</v>
      </c>
      <c r="P543">
        <v>0.84</v>
      </c>
      <c r="Q543">
        <v>0.336</v>
      </c>
      <c r="R543">
        <v>2</v>
      </c>
      <c r="S543">
        <v>0.05922384104881218</v>
      </c>
      <c r="T543" t="s">
        <v>912</v>
      </c>
      <c r="U543">
        <v>-0.242692413823859</v>
      </c>
      <c r="V543" t="s">
        <v>988</v>
      </c>
      <c r="W543" t="s">
        <v>996</v>
      </c>
      <c r="X543">
        <v>3235.35896</v>
      </c>
      <c r="Y543" s="2">
        <v>45057</v>
      </c>
      <c r="Z543" t="s">
        <v>1006</v>
      </c>
    </row>
    <row r="544" spans="1:26">
      <c r="A544" s="1" t="s">
        <v>568</v>
      </c>
      <c r="B544">
        <f>HYPERLINK("https://www.suredividend.com/sure-analysis-CFG/","Citizens Financial Group Inc")</f>
        <v>0</v>
      </c>
      <c r="C544" t="s">
        <v>896</v>
      </c>
      <c r="D544">
        <v>29</v>
      </c>
      <c r="E544">
        <v>25.47</v>
      </c>
      <c r="F544">
        <v>41</v>
      </c>
      <c r="G544">
        <v>0.6212195121951219</v>
      </c>
      <c r="H544">
        <v>0.06595995288574794</v>
      </c>
      <c r="I544">
        <v>0.09989437838328996</v>
      </c>
      <c r="J544">
        <v>0.01</v>
      </c>
      <c r="K544">
        <v>0.1547026674675811</v>
      </c>
      <c r="L544" t="s">
        <v>791</v>
      </c>
      <c r="M544" t="s">
        <v>900</v>
      </c>
      <c r="N544">
        <v>5.66</v>
      </c>
      <c r="O544">
        <v>4.5</v>
      </c>
      <c r="P544">
        <v>1.68</v>
      </c>
      <c r="Q544">
        <v>0.3733333333333333</v>
      </c>
      <c r="R544">
        <v>2</v>
      </c>
      <c r="S544">
        <v>0.03025579475561258</v>
      </c>
      <c r="T544" t="s">
        <v>975</v>
      </c>
      <c r="U544">
        <v>-0.279890075092735</v>
      </c>
      <c r="V544" t="s">
        <v>988</v>
      </c>
      <c r="W544" t="s">
        <v>994</v>
      </c>
      <c r="X544">
        <v>12327.181543</v>
      </c>
      <c r="Y544" s="2">
        <v>45037</v>
      </c>
      <c r="Z544" t="s">
        <v>1004</v>
      </c>
    </row>
    <row r="545" spans="1:26">
      <c r="A545" s="1" t="s">
        <v>569</v>
      </c>
      <c r="B545">
        <f>HYPERLINK("https://www.suredividend.com/sure-analysis-PAA/","Plains All American Pipeline LP")</f>
        <v>0</v>
      </c>
      <c r="C545" t="s">
        <v>896</v>
      </c>
      <c r="D545">
        <v>12.54</v>
      </c>
      <c r="E545">
        <v>13.3</v>
      </c>
      <c r="F545">
        <v>15.15</v>
      </c>
      <c r="G545">
        <v>0.877887788778878</v>
      </c>
      <c r="H545">
        <v>0.08045112781954887</v>
      </c>
      <c r="I545">
        <v>0.02638949487669717</v>
      </c>
      <c r="J545">
        <v>0.05</v>
      </c>
      <c r="K545">
        <v>0.151791766287326</v>
      </c>
      <c r="L545" t="s">
        <v>791</v>
      </c>
      <c r="M545" t="s">
        <v>900</v>
      </c>
      <c r="N545">
        <v>5.708154506437769</v>
      </c>
      <c r="O545">
        <v>2.33</v>
      </c>
      <c r="P545">
        <v>1.07</v>
      </c>
      <c r="Q545">
        <v>0.4592274678111588</v>
      </c>
      <c r="R545">
        <v>2</v>
      </c>
      <c r="S545">
        <v>0.1205096608365643</v>
      </c>
      <c r="T545" t="s">
        <v>917</v>
      </c>
      <c r="U545">
        <v>0.481811598239652</v>
      </c>
      <c r="V545" t="s">
        <v>990</v>
      </c>
      <c r="W545" t="s">
        <v>1002</v>
      </c>
      <c r="X545">
        <v>9288.587079999999</v>
      </c>
      <c r="Y545" s="2">
        <v>45059</v>
      </c>
      <c r="Z545" t="s">
        <v>1012</v>
      </c>
    </row>
    <row r="546" spans="1:26">
      <c r="A546" s="1" t="s">
        <v>570</v>
      </c>
      <c r="B546">
        <f>HYPERLINK("https://www.suredividend.com/sure-analysis-CMA/","Comerica, Inc.")</f>
        <v>0</v>
      </c>
      <c r="C546" t="s">
        <v>897</v>
      </c>
      <c r="D546">
        <v>34</v>
      </c>
      <c r="E546">
        <v>40.6</v>
      </c>
      <c r="F546">
        <v>70</v>
      </c>
      <c r="G546">
        <v>0.5800000000000001</v>
      </c>
      <c r="H546">
        <v>0.06995073891625615</v>
      </c>
      <c r="I546">
        <v>0.1151015032663814</v>
      </c>
      <c r="J546">
        <v>-0.01</v>
      </c>
      <c r="K546">
        <v>0.1512134305945638</v>
      </c>
      <c r="L546" t="s">
        <v>791</v>
      </c>
      <c r="M546" t="s">
        <v>900</v>
      </c>
      <c r="N546">
        <v>4.957264957264957</v>
      </c>
      <c r="O546">
        <v>8.19</v>
      </c>
      <c r="P546">
        <v>2.84</v>
      </c>
      <c r="Q546">
        <v>0.3467643467643468</v>
      </c>
      <c r="R546">
        <v>1</v>
      </c>
      <c r="S546">
        <v>0.02985364768622523</v>
      </c>
      <c r="T546" t="s">
        <v>916</v>
      </c>
      <c r="U546">
        <v>-0.4411762276917821</v>
      </c>
      <c r="V546" t="s">
        <v>988</v>
      </c>
      <c r="W546" t="s">
        <v>994</v>
      </c>
      <c r="X546">
        <v>5345.796357</v>
      </c>
      <c r="Y546" s="2">
        <v>45063</v>
      </c>
      <c r="Z546" t="s">
        <v>1010</v>
      </c>
    </row>
    <row r="547" spans="1:26">
      <c r="A547" s="1" t="s">
        <v>571</v>
      </c>
      <c r="B547">
        <f>HYPERLINK("https://www.suredividend.com/sure-analysis-RF/","Regions Financial Corp.")</f>
        <v>0</v>
      </c>
      <c r="C547" t="s">
        <v>896</v>
      </c>
      <c r="D547">
        <v>17</v>
      </c>
      <c r="E547">
        <v>16.95</v>
      </c>
      <c r="F547">
        <v>24</v>
      </c>
      <c r="G547">
        <v>0.7062499999999999</v>
      </c>
      <c r="H547">
        <v>0.04719764011799411</v>
      </c>
      <c r="I547">
        <v>0.07203337901454931</v>
      </c>
      <c r="J547">
        <v>0.04</v>
      </c>
      <c r="K547">
        <v>0.1482799935338572</v>
      </c>
      <c r="L547" t="s">
        <v>791</v>
      </c>
      <c r="M547" t="s">
        <v>900</v>
      </c>
      <c r="N547">
        <v>7.212765957446808</v>
      </c>
      <c r="O547">
        <v>2.35</v>
      </c>
      <c r="P547">
        <v>0.8</v>
      </c>
      <c r="Q547">
        <v>0.3404255319148936</v>
      </c>
      <c r="R547">
        <v>10</v>
      </c>
      <c r="S547">
        <v>0.04978904632428516</v>
      </c>
      <c r="T547" t="s">
        <v>930</v>
      </c>
      <c r="U547">
        <v>-0.095324508966695</v>
      </c>
      <c r="V547" t="s">
        <v>988</v>
      </c>
      <c r="W547" t="s">
        <v>994</v>
      </c>
      <c r="X547">
        <v>15904.378128</v>
      </c>
      <c r="Y547" s="2">
        <v>45049</v>
      </c>
      <c r="Z547" t="s">
        <v>1008</v>
      </c>
    </row>
    <row r="548" spans="1:26">
      <c r="A548" s="1" t="s">
        <v>572</v>
      </c>
      <c r="B548">
        <f>HYPERLINK("https://www.suredividend.com/sure-analysis-GSK/","GSK Plc")</f>
        <v>0</v>
      </c>
      <c r="C548" t="s">
        <v>896</v>
      </c>
      <c r="D548">
        <v>36</v>
      </c>
      <c r="E548">
        <v>36.38</v>
      </c>
      <c r="F548">
        <v>56</v>
      </c>
      <c r="G548">
        <v>0.6496428571428572</v>
      </c>
      <c r="H548">
        <v>0.03820780648708081</v>
      </c>
      <c r="I548">
        <v>0.09009680424229805</v>
      </c>
      <c r="J548">
        <v>0.03</v>
      </c>
      <c r="K548">
        <v>0.1479282291471324</v>
      </c>
      <c r="L548" t="s">
        <v>791</v>
      </c>
      <c r="M548" t="s">
        <v>589</v>
      </c>
      <c r="N548">
        <v>8.421296296296296</v>
      </c>
      <c r="O548">
        <v>4.32</v>
      </c>
      <c r="P548">
        <v>1.39</v>
      </c>
      <c r="Q548">
        <v>0.3217592592592592</v>
      </c>
      <c r="R548">
        <v>3</v>
      </c>
      <c r="S548">
        <v>0.0298221180150493</v>
      </c>
      <c r="T548" t="s">
        <v>908</v>
      </c>
      <c r="U548">
        <v>-0.30649810135269</v>
      </c>
      <c r="V548" t="s">
        <v>988</v>
      </c>
      <c r="W548" t="s">
        <v>996</v>
      </c>
      <c r="X548">
        <v>74487.88247</v>
      </c>
      <c r="Y548" s="2">
        <v>45047</v>
      </c>
      <c r="Z548" t="s">
        <v>1003</v>
      </c>
    </row>
    <row r="549" spans="1:26">
      <c r="A549" s="1" t="s">
        <v>573</v>
      </c>
      <c r="B549">
        <f>HYPERLINK("https://www.suredividend.com/sure-analysis-ASML/","ASML Holding NV")</f>
        <v>0</v>
      </c>
      <c r="C549" t="s">
        <v>896</v>
      </c>
      <c r="D549">
        <v>634</v>
      </c>
      <c r="E549">
        <v>697.89</v>
      </c>
      <c r="F549">
        <v>664</v>
      </c>
      <c r="G549">
        <v>1.051039156626506</v>
      </c>
      <c r="H549">
        <v>0.01054607459628308</v>
      </c>
      <c r="I549">
        <v>-0.0099064739408109</v>
      </c>
      <c r="J549">
        <v>0.15</v>
      </c>
      <c r="K549">
        <v>0.146448095184754</v>
      </c>
      <c r="L549" t="s">
        <v>791</v>
      </c>
      <c r="M549" t="s">
        <v>648</v>
      </c>
      <c r="N549">
        <v>33.63325301204819</v>
      </c>
      <c r="O549">
        <v>20.75</v>
      </c>
      <c r="P549">
        <v>7.36</v>
      </c>
      <c r="Q549">
        <v>0.3546987951807229</v>
      </c>
      <c r="R549">
        <v>8</v>
      </c>
      <c r="S549">
        <v>0.0799150058822331</v>
      </c>
      <c r="T549" t="s">
        <v>952</v>
      </c>
      <c r="U549">
        <v>0.372734532665609</v>
      </c>
      <c r="V549" t="s">
        <v>988</v>
      </c>
      <c r="W549" t="s">
        <v>1000</v>
      </c>
      <c r="X549">
        <v>281346.137939</v>
      </c>
      <c r="Y549" s="2">
        <v>45043</v>
      </c>
      <c r="Z549" t="s">
        <v>1004</v>
      </c>
    </row>
    <row r="550" spans="1:26">
      <c r="A550" s="1" t="s">
        <v>574</v>
      </c>
      <c r="B550">
        <f>HYPERLINK("https://www.suredividend.com/sure-analysis-IRT/","Independence Realty Trust Inc")</f>
        <v>0</v>
      </c>
      <c r="C550" t="s">
        <v>896</v>
      </c>
      <c r="D550">
        <v>18.7</v>
      </c>
      <c r="E550">
        <v>17.33</v>
      </c>
      <c r="F550">
        <v>14.6</v>
      </c>
      <c r="G550">
        <v>1.186986301369863</v>
      </c>
      <c r="H550">
        <v>0.03693017888055396</v>
      </c>
      <c r="I550">
        <v>-0.03370249404198344</v>
      </c>
      <c r="J550">
        <v>0.155</v>
      </c>
      <c r="K550">
        <v>0.1458053329099778</v>
      </c>
      <c r="L550" t="s">
        <v>791</v>
      </c>
      <c r="M550" t="s">
        <v>791</v>
      </c>
      <c r="N550">
        <v>15.0695652173913</v>
      </c>
      <c r="O550">
        <v>1.15</v>
      </c>
      <c r="P550">
        <v>0.64</v>
      </c>
      <c r="Q550">
        <v>0.5565217391304348</v>
      </c>
      <c r="R550">
        <v>1</v>
      </c>
      <c r="S550">
        <v>0.09336207394327811</v>
      </c>
      <c r="T550" t="s">
        <v>906</v>
      </c>
      <c r="U550">
        <v>-0.138569518384308</v>
      </c>
      <c r="V550" t="s">
        <v>989</v>
      </c>
      <c r="W550" t="s">
        <v>1001</v>
      </c>
      <c r="X550">
        <v>3894.096769</v>
      </c>
      <c r="Y550" s="2">
        <v>45059</v>
      </c>
      <c r="Z550" t="s">
        <v>1013</v>
      </c>
    </row>
    <row r="551" spans="1:26">
      <c r="A551" s="1" t="s">
        <v>575</v>
      </c>
      <c r="B551">
        <f>HYPERLINK("https://www.suredividend.com/sure-analysis-ETD/","Ethan Allen Interiors, Inc.")</f>
        <v>0</v>
      </c>
      <c r="C551" t="s">
        <v>896</v>
      </c>
      <c r="D551">
        <v>27</v>
      </c>
      <c r="E551">
        <v>27.51</v>
      </c>
      <c r="F551">
        <v>42</v>
      </c>
      <c r="G551">
        <v>0.655</v>
      </c>
      <c r="H551">
        <v>0.05234460196292257</v>
      </c>
      <c r="I551">
        <v>0.08830779546585799</v>
      </c>
      <c r="J551">
        <v>0.02</v>
      </c>
      <c r="K551">
        <v>0.1444728131042952</v>
      </c>
      <c r="L551" t="s">
        <v>791</v>
      </c>
      <c r="M551" t="s">
        <v>589</v>
      </c>
      <c r="N551">
        <v>7.86</v>
      </c>
      <c r="O551">
        <v>3.5</v>
      </c>
      <c r="P551">
        <v>1.44</v>
      </c>
      <c r="Q551">
        <v>0.4114285714285714</v>
      </c>
      <c r="R551">
        <v>3</v>
      </c>
      <c r="S551">
        <v>0.02001586442069092</v>
      </c>
      <c r="T551" t="s">
        <v>955</v>
      </c>
      <c r="U551">
        <v>0.351079242688407</v>
      </c>
      <c r="V551" t="s">
        <v>988</v>
      </c>
      <c r="W551" t="s">
        <v>995</v>
      </c>
      <c r="X551">
        <v>697.55627</v>
      </c>
      <c r="Y551" s="2">
        <v>45044</v>
      </c>
      <c r="Z551" t="s">
        <v>1007</v>
      </c>
    </row>
    <row r="552" spans="1:26">
      <c r="A552" s="1" t="s">
        <v>576</v>
      </c>
      <c r="B552">
        <f>HYPERLINK("https://www.suredividend.com/sure-analysis-MAC/","Macerich Co.")</f>
        <v>0</v>
      </c>
      <c r="C552" t="s">
        <v>897</v>
      </c>
      <c r="D552">
        <v>9.300000000000001</v>
      </c>
      <c r="E552">
        <v>10.43</v>
      </c>
      <c r="F552">
        <v>14</v>
      </c>
      <c r="G552">
        <v>0.745</v>
      </c>
      <c r="H552">
        <v>0.06519654841802494</v>
      </c>
      <c r="I552">
        <v>0.06064181646377098</v>
      </c>
      <c r="J552">
        <v>0.03</v>
      </c>
      <c r="K552">
        <v>0.1426982753317196</v>
      </c>
      <c r="L552" t="s">
        <v>791</v>
      </c>
      <c r="M552" t="s">
        <v>900</v>
      </c>
      <c r="N552">
        <v>5.794444444444444</v>
      </c>
      <c r="O552">
        <v>1.8</v>
      </c>
      <c r="P552">
        <v>0.68</v>
      </c>
      <c r="Q552">
        <v>0.3777777777777778</v>
      </c>
      <c r="R552">
        <v>1</v>
      </c>
      <c r="S552">
        <v>0.06232103966616465</v>
      </c>
      <c r="T552" t="s">
        <v>908</v>
      </c>
      <c r="U552">
        <v>0.171094293862702</v>
      </c>
      <c r="V552" t="s">
        <v>989</v>
      </c>
      <c r="W552" t="s">
        <v>1001</v>
      </c>
      <c r="X552">
        <v>2243.44304</v>
      </c>
      <c r="Y552" s="2">
        <v>45068</v>
      </c>
      <c r="Z552" t="s">
        <v>1007</v>
      </c>
    </row>
    <row r="553" spans="1:26">
      <c r="A553" s="1" t="s">
        <v>577</v>
      </c>
      <c r="B553">
        <f>HYPERLINK("https://www.suredividend.com/sure-analysis-DEA/","Easterly Government Properties Inc")</f>
        <v>0</v>
      </c>
      <c r="C553" t="s">
        <v>896</v>
      </c>
      <c r="D553">
        <v>14</v>
      </c>
      <c r="E553">
        <v>13.89</v>
      </c>
      <c r="F553">
        <v>19.4</v>
      </c>
      <c r="G553">
        <v>0.7159793814432991</v>
      </c>
      <c r="H553">
        <v>0.07631389488840892</v>
      </c>
      <c r="I553">
        <v>0.06910385819993992</v>
      </c>
      <c r="J553">
        <v>0.019</v>
      </c>
      <c r="K553">
        <v>0.1411692731599021</v>
      </c>
      <c r="L553" t="s">
        <v>791</v>
      </c>
      <c r="M553" t="s">
        <v>900</v>
      </c>
      <c r="N553">
        <v>12.18421052631579</v>
      </c>
      <c r="O553">
        <v>1.14</v>
      </c>
      <c r="P553">
        <v>1.06</v>
      </c>
      <c r="Q553">
        <v>0.9298245614035089</v>
      </c>
      <c r="R553">
        <v>0</v>
      </c>
      <c r="S553">
        <v>0.01643215369887963</v>
      </c>
      <c r="T553" t="s">
        <v>910</v>
      </c>
      <c r="U553">
        <v>-0.206883950391704</v>
      </c>
      <c r="V553" t="s">
        <v>989</v>
      </c>
      <c r="W553" t="s">
        <v>1001</v>
      </c>
      <c r="X553">
        <v>1297.185794</v>
      </c>
      <c r="Y553" s="2">
        <v>45063</v>
      </c>
      <c r="Z553" t="s">
        <v>1013</v>
      </c>
    </row>
    <row r="554" spans="1:26">
      <c r="A554" s="1" t="s">
        <v>578</v>
      </c>
      <c r="B554">
        <f>HYPERLINK("https://www.suredividend.com/sure-analysis-OFC/","Corporate Office Properties Trust")</f>
        <v>0</v>
      </c>
      <c r="C554" t="s">
        <v>896</v>
      </c>
      <c r="D554">
        <v>23</v>
      </c>
      <c r="E554">
        <v>22.88</v>
      </c>
      <c r="F554">
        <v>34</v>
      </c>
      <c r="G554">
        <v>0.6729411764705882</v>
      </c>
      <c r="H554">
        <v>0.04895104895104896</v>
      </c>
      <c r="I554">
        <v>0.08244186127264186</v>
      </c>
      <c r="J554">
        <v>0.025</v>
      </c>
      <c r="K554">
        <v>0.1409978590335361</v>
      </c>
      <c r="L554" t="s">
        <v>791</v>
      </c>
      <c r="M554" t="s">
        <v>589</v>
      </c>
      <c r="N554">
        <v>9.61344537815126</v>
      </c>
      <c r="O554">
        <v>2.38</v>
      </c>
      <c r="P554">
        <v>1.12</v>
      </c>
      <c r="Q554">
        <v>0.4705882352941177</v>
      </c>
      <c r="R554">
        <v>1</v>
      </c>
      <c r="S554">
        <v>0.01049180767989588</v>
      </c>
      <c r="T554" t="s">
        <v>906</v>
      </c>
      <c r="U554">
        <v>-0.111946033643582</v>
      </c>
      <c r="V554" t="s">
        <v>989</v>
      </c>
      <c r="W554" t="s">
        <v>1001</v>
      </c>
      <c r="X554">
        <v>2574.317048</v>
      </c>
      <c r="Y554" s="2">
        <v>45062</v>
      </c>
      <c r="Z554" t="s">
        <v>1011</v>
      </c>
    </row>
    <row r="555" spans="1:26">
      <c r="A555" s="1" t="s">
        <v>579</v>
      </c>
      <c r="B555">
        <f>HYPERLINK("https://www.suredividend.com/sure-analysis-WRK/","WestRock Co")</f>
        <v>0</v>
      </c>
      <c r="C555" t="s">
        <v>896</v>
      </c>
      <c r="D555">
        <v>29</v>
      </c>
      <c r="E555">
        <v>27.23</v>
      </c>
      <c r="F555">
        <v>31</v>
      </c>
      <c r="G555">
        <v>0.8783870967741936</v>
      </c>
      <c r="H555">
        <v>0.04039662137348513</v>
      </c>
      <c r="I555">
        <v>0.02627278071983841</v>
      </c>
      <c r="J555">
        <v>0.08</v>
      </c>
      <c r="K555">
        <v>0.1404337587467237</v>
      </c>
      <c r="L555" t="s">
        <v>791</v>
      </c>
      <c r="M555" t="s">
        <v>791</v>
      </c>
      <c r="N555">
        <v>9.725000000000001</v>
      </c>
      <c r="O555">
        <v>2.8</v>
      </c>
      <c r="P555">
        <v>1.1</v>
      </c>
      <c r="Q555">
        <v>0.3928571428571429</v>
      </c>
      <c r="R555">
        <v>2</v>
      </c>
      <c r="S555">
        <v>0.08049924032577382</v>
      </c>
      <c r="T555" t="s">
        <v>910</v>
      </c>
      <c r="U555">
        <v>-0.308042010464498</v>
      </c>
      <c r="V555" t="s">
        <v>988</v>
      </c>
      <c r="W555" t="s">
        <v>995</v>
      </c>
      <c r="X555">
        <v>6974.426354</v>
      </c>
      <c r="Y555" s="2">
        <v>45051</v>
      </c>
      <c r="Z555" t="s">
        <v>1007</v>
      </c>
    </row>
    <row r="556" spans="1:26">
      <c r="A556" s="1" t="s">
        <v>580</v>
      </c>
      <c r="B556">
        <f>HYPERLINK("https://www.suredividend.com/sure-analysis-NTR/","Nutrien Ltd")</f>
        <v>0</v>
      </c>
      <c r="C556" t="s">
        <v>896</v>
      </c>
      <c r="D556">
        <v>62</v>
      </c>
      <c r="E556">
        <v>58.76</v>
      </c>
      <c r="F556">
        <v>90</v>
      </c>
      <c r="G556">
        <v>0.6528888888888889</v>
      </c>
      <c r="H556">
        <v>0.03607896528250511</v>
      </c>
      <c r="I556">
        <v>0.08901069387361482</v>
      </c>
      <c r="J556">
        <v>0.02</v>
      </c>
      <c r="K556">
        <v>0.1348782228007543</v>
      </c>
      <c r="L556" t="s">
        <v>791</v>
      </c>
      <c r="M556" t="s">
        <v>589</v>
      </c>
      <c r="N556">
        <v>8.127247579529737</v>
      </c>
      <c r="O556">
        <v>7.23</v>
      </c>
      <c r="P556">
        <v>2.12</v>
      </c>
      <c r="Q556">
        <v>0.2932226832641771</v>
      </c>
      <c r="R556">
        <v>5</v>
      </c>
      <c r="S556">
        <v>0.01994322923769842</v>
      </c>
      <c r="T556" t="s">
        <v>906</v>
      </c>
      <c r="U556">
        <v>-0.248601037329541</v>
      </c>
      <c r="V556" t="s">
        <v>988</v>
      </c>
      <c r="W556" t="s">
        <v>992</v>
      </c>
      <c r="X556">
        <v>29054.621377</v>
      </c>
      <c r="Y556" s="2">
        <v>45062</v>
      </c>
      <c r="Z556" t="s">
        <v>1011</v>
      </c>
    </row>
    <row r="557" spans="1:26">
      <c r="A557" s="1" t="s">
        <v>581</v>
      </c>
      <c r="B557">
        <f>HYPERLINK("https://www.suredividend.com/sure-analysis-MFC/","Manulife Financial Corp.")</f>
        <v>0</v>
      </c>
      <c r="C557" t="s">
        <v>896</v>
      </c>
      <c r="D557">
        <v>19.2</v>
      </c>
      <c r="E557">
        <v>18.19</v>
      </c>
      <c r="F557">
        <v>21.6</v>
      </c>
      <c r="G557">
        <v>0.8421296296296297</v>
      </c>
      <c r="H557">
        <v>0.05937328202308961</v>
      </c>
      <c r="I557">
        <v>0.03496153774937638</v>
      </c>
      <c r="J557">
        <v>0.05</v>
      </c>
      <c r="K557">
        <v>0.1345902772134457</v>
      </c>
      <c r="L557" t="s">
        <v>791</v>
      </c>
      <c r="M557" t="s">
        <v>900</v>
      </c>
      <c r="N557">
        <v>6.737037037037037</v>
      </c>
      <c r="O557">
        <v>2.7</v>
      </c>
      <c r="P557">
        <v>1.08</v>
      </c>
      <c r="Q557">
        <v>0.4</v>
      </c>
      <c r="R557">
        <v>9</v>
      </c>
      <c r="S557">
        <v>0.06932726018096602</v>
      </c>
      <c r="T557" t="s">
        <v>964</v>
      </c>
      <c r="U557">
        <v>0.130614223736061</v>
      </c>
      <c r="V557" t="s">
        <v>988</v>
      </c>
      <c r="W557" t="s">
        <v>994</v>
      </c>
      <c r="X557">
        <v>33462.361035</v>
      </c>
      <c r="Y557" s="2">
        <v>45069</v>
      </c>
      <c r="Z557" t="s">
        <v>1012</v>
      </c>
    </row>
    <row r="558" spans="1:26">
      <c r="A558" s="1" t="s">
        <v>582</v>
      </c>
      <c r="B558">
        <f>HYPERLINK("https://www.suredividend.com/sure-analysis-FITB/","Fifth Third Bancorp")</f>
        <v>0</v>
      </c>
      <c r="C558" t="s">
        <v>897</v>
      </c>
      <c r="D558">
        <v>28</v>
      </c>
      <c r="E558">
        <v>25.54</v>
      </c>
      <c r="F558">
        <v>35</v>
      </c>
      <c r="G558">
        <v>0.7297142857142856</v>
      </c>
      <c r="H558">
        <v>0.05168363351605326</v>
      </c>
      <c r="I558">
        <v>0.06504861092099667</v>
      </c>
      <c r="J558">
        <v>0.03</v>
      </c>
      <c r="K558">
        <v>0.1335148612341457</v>
      </c>
      <c r="L558" t="s">
        <v>791</v>
      </c>
      <c r="M558" t="s">
        <v>900</v>
      </c>
      <c r="N558">
        <v>7.339080459770114</v>
      </c>
      <c r="O558">
        <v>3.48</v>
      </c>
      <c r="P558">
        <v>1.32</v>
      </c>
      <c r="Q558">
        <v>0.3793103448275862</v>
      </c>
      <c r="R558">
        <v>12</v>
      </c>
      <c r="S558">
        <v>0.02996744995959233</v>
      </c>
      <c r="T558" t="s">
        <v>906</v>
      </c>
      <c r="U558">
        <v>-0.244295973227838</v>
      </c>
      <c r="V558" t="s">
        <v>988</v>
      </c>
      <c r="W558" t="s">
        <v>994</v>
      </c>
      <c r="X558">
        <v>17385.487304</v>
      </c>
      <c r="Y558" s="2">
        <v>45040</v>
      </c>
      <c r="Z558" t="s">
        <v>1003</v>
      </c>
    </row>
    <row r="559" spans="1:26">
      <c r="A559" s="1" t="s">
        <v>583</v>
      </c>
      <c r="B559">
        <f>HYPERLINK("https://www.suredividend.com/sure-analysis-GROW/","U.S. Global Investors, Inc.")</f>
        <v>0</v>
      </c>
      <c r="C559" t="s">
        <v>896</v>
      </c>
      <c r="D559">
        <v>2.8</v>
      </c>
      <c r="E559">
        <v>2.85</v>
      </c>
      <c r="F559">
        <v>4.5</v>
      </c>
      <c r="G559">
        <v>0.6333333333333333</v>
      </c>
      <c r="H559">
        <v>0.03157894736842105</v>
      </c>
      <c r="I559">
        <v>0.09565425774785385</v>
      </c>
      <c r="J559">
        <v>0.014</v>
      </c>
      <c r="K559">
        <v>0.1322541446045105</v>
      </c>
      <c r="L559" t="s">
        <v>791</v>
      </c>
      <c r="M559" t="s">
        <v>791</v>
      </c>
      <c r="N559">
        <v>7.702702702702703</v>
      </c>
      <c r="O559">
        <v>0.37</v>
      </c>
      <c r="P559">
        <v>0.09</v>
      </c>
      <c r="Q559">
        <v>0.2432432432432432</v>
      </c>
      <c r="R559">
        <v>0</v>
      </c>
      <c r="S559">
        <v>0.02129568760013512</v>
      </c>
      <c r="T559" t="s">
        <v>941</v>
      </c>
      <c r="U559">
        <v>-0.331158621013353</v>
      </c>
      <c r="V559" t="s">
        <v>988</v>
      </c>
      <c r="W559" t="s">
        <v>994</v>
      </c>
      <c r="X559">
        <v>39.520947</v>
      </c>
      <c r="Y559" s="2">
        <v>45091</v>
      </c>
      <c r="Z559" t="s">
        <v>1013</v>
      </c>
    </row>
    <row r="560" spans="1:26">
      <c r="A560" s="1" t="s">
        <v>584</v>
      </c>
      <c r="B560">
        <f>HYPERLINK("https://www.suredividend.com/sure-analysis-FMAO/","Farmers &amp; Merchants Bancorp Inc.")</f>
        <v>0</v>
      </c>
      <c r="C560" t="s">
        <v>896</v>
      </c>
      <c r="D560">
        <v>18.5</v>
      </c>
      <c r="E560">
        <v>22.84</v>
      </c>
      <c r="F560">
        <v>23.1</v>
      </c>
      <c r="G560">
        <v>0.9887445887445887</v>
      </c>
      <c r="H560">
        <v>0.03677758318739054</v>
      </c>
      <c r="I560">
        <v>0.00226641098338165</v>
      </c>
      <c r="J560">
        <v>0.1</v>
      </c>
      <c r="K560">
        <v>0.1315821991350525</v>
      </c>
      <c r="L560" t="s">
        <v>791</v>
      </c>
      <c r="M560" t="s">
        <v>589</v>
      </c>
      <c r="N560">
        <v>10.87619047619047</v>
      </c>
      <c r="O560">
        <v>2.1</v>
      </c>
      <c r="P560">
        <v>0.84</v>
      </c>
      <c r="Q560">
        <v>0.4</v>
      </c>
      <c r="R560">
        <v>15</v>
      </c>
      <c r="S560">
        <v>0.07033701387905711</v>
      </c>
      <c r="T560" t="s">
        <v>906</v>
      </c>
      <c r="U560">
        <v>-0.301815158314329</v>
      </c>
      <c r="V560" t="s">
        <v>988</v>
      </c>
      <c r="W560" t="s">
        <v>994</v>
      </c>
      <c r="X560">
        <v>311.311986</v>
      </c>
      <c r="Y560" s="2">
        <v>45062</v>
      </c>
      <c r="Z560" t="s">
        <v>1005</v>
      </c>
    </row>
    <row r="561" spans="1:26">
      <c r="A561" s="1" t="s">
        <v>585</v>
      </c>
      <c r="B561">
        <f>HYPERLINK("https://www.suredividend.com/sure-analysis-AY/","Atlantica Sustainable Infrastructure Plc")</f>
        <v>0</v>
      </c>
      <c r="C561" t="s">
        <v>896</v>
      </c>
      <c r="D561">
        <v>26</v>
      </c>
      <c r="E561">
        <v>23.12</v>
      </c>
      <c r="F561">
        <v>27</v>
      </c>
      <c r="G561">
        <v>0.8562962962962963</v>
      </c>
      <c r="H561">
        <v>0.07698961937716263</v>
      </c>
      <c r="I561">
        <v>0.03151414290150889</v>
      </c>
      <c r="J561">
        <v>0.04</v>
      </c>
      <c r="K561">
        <v>0.1315430952894201</v>
      </c>
      <c r="L561" t="s">
        <v>791</v>
      </c>
      <c r="M561" t="s">
        <v>900</v>
      </c>
      <c r="N561">
        <v>11.16908212560387</v>
      </c>
      <c r="O561">
        <v>2.07</v>
      </c>
      <c r="P561">
        <v>1.78</v>
      </c>
      <c r="Q561">
        <v>0.8599033816425121</v>
      </c>
      <c r="R561">
        <v>7</v>
      </c>
      <c r="S561">
        <v>0.04041821346145347</v>
      </c>
      <c r="T561" t="s">
        <v>934</v>
      </c>
      <c r="U561">
        <v>-0.250805254732694</v>
      </c>
      <c r="V561" t="s">
        <v>988</v>
      </c>
      <c r="W561" t="s">
        <v>1002</v>
      </c>
      <c r="X561">
        <v>2598.756736</v>
      </c>
      <c r="Y561" s="2">
        <v>45060</v>
      </c>
      <c r="Z561" t="s">
        <v>1012</v>
      </c>
    </row>
    <row r="562" spans="1:26">
      <c r="A562" s="1" t="s">
        <v>586</v>
      </c>
      <c r="B562">
        <f>HYPERLINK("https://www.suredividend.com/sure-analysis-MKTX/","MarketAxess Holdings Inc.")</f>
        <v>0</v>
      </c>
      <c r="C562" t="s">
        <v>896</v>
      </c>
      <c r="D562">
        <v>294</v>
      </c>
      <c r="E562">
        <v>263</v>
      </c>
      <c r="F562">
        <v>287</v>
      </c>
      <c r="G562">
        <v>0.9163763066202091</v>
      </c>
      <c r="H562">
        <v>0.01095057034220532</v>
      </c>
      <c r="I562">
        <v>0.01761905281779685</v>
      </c>
      <c r="J562">
        <v>0.1</v>
      </c>
      <c r="K562">
        <v>0.1285980094195702</v>
      </c>
      <c r="L562" t="s">
        <v>791</v>
      </c>
      <c r="M562" t="s">
        <v>648</v>
      </c>
      <c r="N562">
        <v>34.83443708609271</v>
      </c>
      <c r="O562">
        <v>7.55</v>
      </c>
      <c r="P562">
        <v>2.88</v>
      </c>
      <c r="Q562">
        <v>0.3814569536423841</v>
      </c>
      <c r="R562">
        <v>13</v>
      </c>
      <c r="S562">
        <v>0.100082101138866</v>
      </c>
      <c r="T562" t="s">
        <v>905</v>
      </c>
      <c r="U562">
        <v>-0.040973058635928</v>
      </c>
      <c r="V562" t="s">
        <v>988</v>
      </c>
      <c r="W562" t="s">
        <v>994</v>
      </c>
      <c r="X562">
        <v>9907.04168</v>
      </c>
      <c r="Y562" s="2">
        <v>45063</v>
      </c>
      <c r="Z562" t="s">
        <v>1010</v>
      </c>
    </row>
    <row r="563" spans="1:26">
      <c r="A563" s="1" t="s">
        <v>587</v>
      </c>
      <c r="B563">
        <f>HYPERLINK("https://www.suredividend.com/sure-analysis-DTEGY/","Deutsche Telekom AG")</f>
        <v>0</v>
      </c>
      <c r="C563" t="s">
        <v>896</v>
      </c>
      <c r="D563">
        <v>24</v>
      </c>
      <c r="E563">
        <v>21.25</v>
      </c>
      <c r="F563">
        <v>30</v>
      </c>
      <c r="G563">
        <v>0.7083333333333334</v>
      </c>
      <c r="H563">
        <v>0.03623529411764706</v>
      </c>
      <c r="I563">
        <v>0.07140202794100703</v>
      </c>
      <c r="J563">
        <v>0.03</v>
      </c>
      <c r="K563">
        <v>0.1283402511348484</v>
      </c>
      <c r="L563" t="s">
        <v>791</v>
      </c>
      <c r="M563" t="s">
        <v>791</v>
      </c>
      <c r="N563">
        <v>10.625</v>
      </c>
      <c r="O563">
        <v>2</v>
      </c>
      <c r="P563">
        <v>0.77</v>
      </c>
      <c r="Q563">
        <v>0.385</v>
      </c>
      <c r="R563">
        <v>1</v>
      </c>
      <c r="S563">
        <v>0.01996587099475744</v>
      </c>
      <c r="T563" t="s">
        <v>913</v>
      </c>
      <c r="U563">
        <v>0.09115369605849601</v>
      </c>
      <c r="V563" t="s">
        <v>988</v>
      </c>
      <c r="W563" t="s">
        <v>998</v>
      </c>
      <c r="X563">
        <v>105962.245165</v>
      </c>
      <c r="Y563" s="2">
        <v>45064</v>
      </c>
      <c r="Z563" t="s">
        <v>1007</v>
      </c>
    </row>
    <row r="564" spans="1:26">
      <c r="A564" s="1" t="s">
        <v>588</v>
      </c>
      <c r="B564">
        <f>HYPERLINK("https://www.suredividend.com/sure-analysis-ATLO/","Ames National Corp.")</f>
        <v>0</v>
      </c>
      <c r="C564" t="s">
        <v>896</v>
      </c>
      <c r="D564">
        <v>19</v>
      </c>
      <c r="E564">
        <v>18.19</v>
      </c>
      <c r="F564">
        <v>22</v>
      </c>
      <c r="G564">
        <v>0.8268181818181819</v>
      </c>
      <c r="H564">
        <v>0.05937328202308961</v>
      </c>
      <c r="I564">
        <v>0.03876664607941493</v>
      </c>
      <c r="J564">
        <v>0.04</v>
      </c>
      <c r="K564">
        <v>0.125409098498823</v>
      </c>
      <c r="L564" t="s">
        <v>791</v>
      </c>
      <c r="M564" t="s">
        <v>589</v>
      </c>
      <c r="N564">
        <v>10.10555555555556</v>
      </c>
      <c r="O564">
        <v>1.8</v>
      </c>
      <c r="P564">
        <v>1.08</v>
      </c>
      <c r="Q564">
        <v>0.6</v>
      </c>
      <c r="R564">
        <v>13</v>
      </c>
      <c r="S564">
        <v>0.03936839817115478</v>
      </c>
      <c r="T564" t="s">
        <v>917</v>
      </c>
      <c r="U564">
        <v>-0.142801939652125</v>
      </c>
      <c r="V564" t="s">
        <v>988</v>
      </c>
      <c r="W564" t="s">
        <v>994</v>
      </c>
      <c r="X564">
        <v>163.567518</v>
      </c>
      <c r="Y564" s="2">
        <v>45046</v>
      </c>
      <c r="Z564" t="s">
        <v>1006</v>
      </c>
    </row>
    <row r="565" spans="1:26">
      <c r="A565" s="1" t="s">
        <v>589</v>
      </c>
      <c r="B565">
        <f>HYPERLINK("https://www.suredividend.com/sure-analysis-C/","Citigroup Inc")</f>
        <v>0</v>
      </c>
      <c r="C565" t="s">
        <v>896</v>
      </c>
      <c r="D565">
        <v>50</v>
      </c>
      <c r="E565">
        <v>46.02</v>
      </c>
      <c r="F565">
        <v>57</v>
      </c>
      <c r="G565">
        <v>0.8073684210526316</v>
      </c>
      <c r="H565">
        <v>0.04432855280312907</v>
      </c>
      <c r="I565">
        <v>0.04372394776416422</v>
      </c>
      <c r="J565">
        <v>0.05</v>
      </c>
      <c r="K565">
        <v>0.1250502287783135</v>
      </c>
      <c r="L565" t="s">
        <v>791</v>
      </c>
      <c r="M565" t="s">
        <v>589</v>
      </c>
      <c r="N565">
        <v>7.670000000000001</v>
      </c>
      <c r="O565">
        <v>6</v>
      </c>
      <c r="P565">
        <v>2.04</v>
      </c>
      <c r="Q565">
        <v>0.34</v>
      </c>
      <c r="R565">
        <v>0</v>
      </c>
      <c r="S565">
        <v>0</v>
      </c>
      <c r="T565" t="s">
        <v>917</v>
      </c>
      <c r="U565">
        <v>0.002837231803145</v>
      </c>
      <c r="V565" t="s">
        <v>988</v>
      </c>
      <c r="W565" t="s">
        <v>994</v>
      </c>
      <c r="X565">
        <v>89589.519539</v>
      </c>
      <c r="Y565" s="2">
        <v>45034</v>
      </c>
      <c r="Z565" t="s">
        <v>1004</v>
      </c>
    </row>
    <row r="566" spans="1:26">
      <c r="A566" s="1" t="s">
        <v>590</v>
      </c>
      <c r="B566">
        <f>HYPERLINK("https://www.suredividend.com/sure-analysis-BAYRY/","Bayer AG")</f>
        <v>0</v>
      </c>
      <c r="C566" t="s">
        <v>897</v>
      </c>
      <c r="D566">
        <v>15</v>
      </c>
      <c r="E566">
        <v>13.74</v>
      </c>
      <c r="F566">
        <v>18</v>
      </c>
      <c r="G566">
        <v>0.7633333333333333</v>
      </c>
      <c r="H566">
        <v>0.04803493449781659</v>
      </c>
      <c r="I566">
        <v>0.05549736749567247</v>
      </c>
      <c r="J566">
        <v>0.03</v>
      </c>
      <c r="K566">
        <v>0.12332515635573</v>
      </c>
      <c r="L566" t="s">
        <v>791</v>
      </c>
      <c r="M566" t="s">
        <v>589</v>
      </c>
      <c r="N566">
        <v>7.046153846153846</v>
      </c>
      <c r="O566">
        <v>1.95</v>
      </c>
      <c r="P566">
        <v>0.66</v>
      </c>
      <c r="Q566">
        <v>0.3384615384615385</v>
      </c>
      <c r="R566">
        <v>1</v>
      </c>
      <c r="S566">
        <v>0.03922410156720635</v>
      </c>
      <c r="T566" t="s">
        <v>975</v>
      </c>
      <c r="U566">
        <v>-0.09783322390019701</v>
      </c>
      <c r="V566" t="s">
        <v>988</v>
      </c>
      <c r="W566" t="s">
        <v>996</v>
      </c>
      <c r="X566">
        <v>53994.027547</v>
      </c>
      <c r="Y566" s="2">
        <v>45076</v>
      </c>
      <c r="Z566" t="s">
        <v>1008</v>
      </c>
    </row>
    <row r="567" spans="1:26">
      <c r="A567" s="1" t="s">
        <v>591</v>
      </c>
      <c r="B567">
        <f>HYPERLINK("https://www.suredividend.com/sure-analysis-JACK/","Jack In The Box, Inc.")</f>
        <v>0</v>
      </c>
      <c r="C567" t="s">
        <v>896</v>
      </c>
      <c r="D567">
        <v>95</v>
      </c>
      <c r="E567">
        <v>90.7</v>
      </c>
      <c r="F567">
        <v>103</v>
      </c>
      <c r="G567">
        <v>0.8805825242718447</v>
      </c>
      <c r="H567">
        <v>0.01940463065049614</v>
      </c>
      <c r="I567">
        <v>0.02576053848813609</v>
      </c>
      <c r="J567">
        <v>0.08</v>
      </c>
      <c r="K567">
        <v>0.1229790103202775</v>
      </c>
      <c r="L567" t="s">
        <v>791</v>
      </c>
      <c r="M567" t="s">
        <v>648</v>
      </c>
      <c r="N567">
        <v>14.99173553719008</v>
      </c>
      <c r="O567">
        <v>6.05</v>
      </c>
      <c r="P567">
        <v>1.76</v>
      </c>
      <c r="Q567">
        <v>0.2909090909090909</v>
      </c>
      <c r="R567">
        <v>2</v>
      </c>
      <c r="S567">
        <v>0.06399531281508364</v>
      </c>
      <c r="T567" t="s">
        <v>934</v>
      </c>
      <c r="U567">
        <v>0.557001356153331</v>
      </c>
      <c r="V567" t="s">
        <v>988</v>
      </c>
      <c r="W567" t="s">
        <v>995</v>
      </c>
      <c r="X567">
        <v>1868.42</v>
      </c>
      <c r="Y567" s="2">
        <v>45068</v>
      </c>
      <c r="Z567" t="s">
        <v>1007</v>
      </c>
    </row>
    <row r="568" spans="1:26">
      <c r="A568" s="1" t="s">
        <v>592</v>
      </c>
      <c r="B568">
        <f>HYPERLINK("https://www.suredividend.com/sure-analysis-AEE/","Ameren Corp.")</f>
        <v>0</v>
      </c>
      <c r="C568" t="s">
        <v>896</v>
      </c>
      <c r="D568">
        <v>88</v>
      </c>
      <c r="E568">
        <v>80.83</v>
      </c>
      <c r="F568">
        <v>91</v>
      </c>
      <c r="G568">
        <v>0.8882417582417582</v>
      </c>
      <c r="H568">
        <v>0.03117654336261289</v>
      </c>
      <c r="I568">
        <v>0.02398539575153258</v>
      </c>
      <c r="J568">
        <v>0.07000000000000001</v>
      </c>
      <c r="K568">
        <v>0.1203668573365455</v>
      </c>
      <c r="L568" t="s">
        <v>791</v>
      </c>
      <c r="M568" t="s">
        <v>791</v>
      </c>
      <c r="N568">
        <v>18.5816091954023</v>
      </c>
      <c r="O568">
        <v>4.35</v>
      </c>
      <c r="P568">
        <v>2.52</v>
      </c>
      <c r="Q568">
        <v>0.5793103448275863</v>
      </c>
      <c r="R568">
        <v>10</v>
      </c>
      <c r="S568">
        <v>0.05985358218414349</v>
      </c>
      <c r="T568" t="s">
        <v>932</v>
      </c>
      <c r="U568">
        <v>-0.060134857799322</v>
      </c>
      <c r="V568" t="s">
        <v>988</v>
      </c>
      <c r="W568" t="s">
        <v>999</v>
      </c>
      <c r="X568">
        <v>21226.723622</v>
      </c>
      <c r="Y568" s="2">
        <v>45058</v>
      </c>
      <c r="Z568" t="s">
        <v>1006</v>
      </c>
    </row>
    <row r="569" spans="1:26">
      <c r="A569" s="1" t="s">
        <v>593</v>
      </c>
      <c r="B569">
        <f>HYPERLINK("https://www.suredividend.com/sure-analysis-ITUB/","Itau Unibanco Holding S.A.")</f>
        <v>0</v>
      </c>
      <c r="C569" t="s">
        <v>896</v>
      </c>
      <c r="D569">
        <v>5.34</v>
      </c>
      <c r="E569">
        <v>5.94</v>
      </c>
      <c r="F569">
        <v>7.2</v>
      </c>
      <c r="G569">
        <v>0.8250000000000001</v>
      </c>
      <c r="H569">
        <v>0.03535353535353535</v>
      </c>
      <c r="I569">
        <v>0.03922410156720635</v>
      </c>
      <c r="J569">
        <v>0.05</v>
      </c>
      <c r="K569">
        <v>0.1169733365621857</v>
      </c>
      <c r="L569" t="s">
        <v>791</v>
      </c>
      <c r="M569" t="s">
        <v>791</v>
      </c>
      <c r="N569">
        <v>8.25</v>
      </c>
      <c r="O569">
        <v>0.72</v>
      </c>
      <c r="P569">
        <v>0.21</v>
      </c>
      <c r="Q569">
        <v>0.2916666666666667</v>
      </c>
      <c r="R569">
        <v>1</v>
      </c>
      <c r="S569">
        <v>0.02706608708935176</v>
      </c>
      <c r="T569" t="s">
        <v>930</v>
      </c>
      <c r="U569">
        <v>0.4240506329113921</v>
      </c>
      <c r="V569" t="s">
        <v>988</v>
      </c>
      <c r="W569" t="s">
        <v>994</v>
      </c>
      <c r="X569">
        <v>28784.319235</v>
      </c>
      <c r="Y569" s="2">
        <v>45069</v>
      </c>
      <c r="Z569" t="s">
        <v>1011</v>
      </c>
    </row>
    <row r="570" spans="1:26">
      <c r="A570" s="1" t="s">
        <v>594</v>
      </c>
      <c r="B570">
        <f>HYPERLINK("https://www.suredividend.com/sure-analysis-MAA/","Mid-America Apartment Communities, Inc.")</f>
        <v>0</v>
      </c>
      <c r="C570" t="s">
        <v>896</v>
      </c>
      <c r="D570">
        <v>147</v>
      </c>
      <c r="E570">
        <v>145.64</v>
      </c>
      <c r="F570">
        <v>171</v>
      </c>
      <c r="G570">
        <v>0.8516959064327485</v>
      </c>
      <c r="H570">
        <v>0.03845097500686625</v>
      </c>
      <c r="I570">
        <v>0.03262607675845985</v>
      </c>
      <c r="J570">
        <v>0.05</v>
      </c>
      <c r="K570">
        <v>0.1154530921378165</v>
      </c>
      <c r="L570" t="s">
        <v>791</v>
      </c>
      <c r="M570" t="s">
        <v>791</v>
      </c>
      <c r="N570">
        <v>15.83043478260869</v>
      </c>
      <c r="O570">
        <v>9.199999999999999</v>
      </c>
      <c r="P570">
        <v>5.6</v>
      </c>
      <c r="Q570">
        <v>0.6086956521739131</v>
      </c>
      <c r="R570">
        <v>12</v>
      </c>
      <c r="S570">
        <v>0.05789648870565345</v>
      </c>
      <c r="T570" t="s">
        <v>911</v>
      </c>
      <c r="U570">
        <v>-0.07117194065817201</v>
      </c>
      <c r="V570" t="s">
        <v>989</v>
      </c>
      <c r="W570" t="s">
        <v>1001</v>
      </c>
      <c r="X570">
        <v>17392.793629</v>
      </c>
      <c r="Y570" s="2">
        <v>45043</v>
      </c>
      <c r="Z570" t="s">
        <v>1007</v>
      </c>
    </row>
    <row r="571" spans="1:26">
      <c r="A571" s="1" t="s">
        <v>595</v>
      </c>
      <c r="B571">
        <f>HYPERLINK("https://www.suredividend.com/sure-analysis-LYB/","LyondellBasell Industries NV")</f>
        <v>0</v>
      </c>
      <c r="C571" t="s">
        <v>896</v>
      </c>
      <c r="D571">
        <v>94</v>
      </c>
      <c r="E571">
        <v>88.33</v>
      </c>
      <c r="F571">
        <v>92</v>
      </c>
      <c r="G571">
        <v>0.9601086956521739</v>
      </c>
      <c r="H571">
        <v>0.05660590965696819</v>
      </c>
      <c r="I571">
        <v>0.008174989481485317</v>
      </c>
      <c r="J571">
        <v>0.06</v>
      </c>
      <c r="K571">
        <v>0.1148100493188242</v>
      </c>
      <c r="L571" t="s">
        <v>791</v>
      </c>
      <c r="M571" t="s">
        <v>589</v>
      </c>
      <c r="N571">
        <v>9.297894736842105</v>
      </c>
      <c r="O571">
        <v>9.5</v>
      </c>
      <c r="P571">
        <v>5</v>
      </c>
      <c r="Q571">
        <v>0.5263157894736842</v>
      </c>
      <c r="R571">
        <v>13</v>
      </c>
      <c r="S571">
        <v>0.0496243218463277</v>
      </c>
      <c r="T571" t="s">
        <v>914</v>
      </c>
      <c r="U571">
        <v>0.029828054973907</v>
      </c>
      <c r="V571" t="s">
        <v>988</v>
      </c>
      <c r="W571" t="s">
        <v>992</v>
      </c>
      <c r="X571">
        <v>28731.464875</v>
      </c>
      <c r="Y571" s="2">
        <v>45048</v>
      </c>
      <c r="Z571" t="s">
        <v>1012</v>
      </c>
    </row>
    <row r="572" spans="1:26">
      <c r="A572" s="1" t="s">
        <v>596</v>
      </c>
      <c r="B572">
        <f>HYPERLINK("https://www.suredividend.com/sure-analysis-NHI/","National Health Investors, Inc.")</f>
        <v>0</v>
      </c>
      <c r="C572" t="s">
        <v>896</v>
      </c>
      <c r="D572">
        <v>53</v>
      </c>
      <c r="E572">
        <v>51.34</v>
      </c>
      <c r="F572">
        <v>57</v>
      </c>
      <c r="G572">
        <v>0.900701754385965</v>
      </c>
      <c r="H572">
        <v>0.07012076353720295</v>
      </c>
      <c r="I572">
        <v>0.02113649568411424</v>
      </c>
      <c r="J572">
        <v>0.04</v>
      </c>
      <c r="K572">
        <v>0.1135057731060252</v>
      </c>
      <c r="L572" t="s">
        <v>791</v>
      </c>
      <c r="M572" t="s">
        <v>900</v>
      </c>
      <c r="N572">
        <v>11.69476082004556</v>
      </c>
      <c r="O572">
        <v>4.39</v>
      </c>
      <c r="P572">
        <v>3.6</v>
      </c>
      <c r="Q572">
        <v>0.8200455580865604</v>
      </c>
      <c r="R572">
        <v>0</v>
      </c>
      <c r="S572">
        <v>0.009805797673485328</v>
      </c>
      <c r="T572" t="s">
        <v>906</v>
      </c>
      <c r="U572">
        <v>-0.110695386320922</v>
      </c>
      <c r="V572" t="s">
        <v>989</v>
      </c>
      <c r="W572" t="s">
        <v>1001</v>
      </c>
      <c r="X572">
        <v>2227.578014</v>
      </c>
      <c r="Y572" s="2">
        <v>45069</v>
      </c>
      <c r="Z572" t="s">
        <v>1010</v>
      </c>
    </row>
    <row r="573" spans="1:26">
      <c r="A573" s="1" t="s">
        <v>597</v>
      </c>
      <c r="B573">
        <f>HYPERLINK("https://www.suredividend.com/sure-analysis-CAKE/","Cheesecake Factory Inc.")</f>
        <v>0</v>
      </c>
      <c r="C573" t="s">
        <v>896</v>
      </c>
      <c r="D573">
        <v>32</v>
      </c>
      <c r="E573">
        <v>32.35</v>
      </c>
      <c r="F573">
        <v>36</v>
      </c>
      <c r="G573">
        <v>0.8986111111111111</v>
      </c>
      <c r="H573">
        <v>0.03338485316846986</v>
      </c>
      <c r="I573">
        <v>0.02161119451471882</v>
      </c>
      <c r="J573">
        <v>0.06</v>
      </c>
      <c r="K573">
        <v>0.1105328007742383</v>
      </c>
      <c r="L573" t="s">
        <v>791</v>
      </c>
      <c r="M573" t="s">
        <v>791</v>
      </c>
      <c r="N573">
        <v>11.55357142857143</v>
      </c>
      <c r="O573">
        <v>2.8</v>
      </c>
      <c r="P573">
        <v>1.08</v>
      </c>
      <c r="Q573">
        <v>0.3857142857142858</v>
      </c>
      <c r="R573">
        <v>1</v>
      </c>
      <c r="S573">
        <v>0.06069091570555463</v>
      </c>
      <c r="T573" t="s">
        <v>964</v>
      </c>
      <c r="U573">
        <v>0.17048567014375</v>
      </c>
      <c r="V573" t="s">
        <v>988</v>
      </c>
      <c r="W573" t="s">
        <v>995</v>
      </c>
      <c r="X573">
        <v>1661.191166</v>
      </c>
      <c r="Y573" s="2">
        <v>45074</v>
      </c>
      <c r="Z573" t="s">
        <v>1003</v>
      </c>
    </row>
    <row r="574" spans="1:26">
      <c r="A574" s="1" t="s">
        <v>598</v>
      </c>
      <c r="B574">
        <f>HYPERLINK("https://www.suredividend.com/sure-analysis-KTB/","Kontoor Brands Inc")</f>
        <v>0</v>
      </c>
      <c r="C574" t="s">
        <v>896</v>
      </c>
      <c r="D574">
        <v>40</v>
      </c>
      <c r="E574">
        <v>40.4</v>
      </c>
      <c r="F574">
        <v>51</v>
      </c>
      <c r="G574">
        <v>0.792156862745098</v>
      </c>
      <c r="H574">
        <v>0.04752475247524753</v>
      </c>
      <c r="I574">
        <v>0.04770197405165311</v>
      </c>
      <c r="J574">
        <v>0.025</v>
      </c>
      <c r="K574">
        <v>0.1104461327456645</v>
      </c>
      <c r="L574" t="s">
        <v>791</v>
      </c>
      <c r="M574" t="s">
        <v>589</v>
      </c>
      <c r="N574">
        <v>8.688172043010752</v>
      </c>
      <c r="O574">
        <v>4.65</v>
      </c>
      <c r="P574">
        <v>1.92</v>
      </c>
      <c r="Q574">
        <v>0.4129032258064516</v>
      </c>
      <c r="R574">
        <v>3</v>
      </c>
      <c r="S574">
        <v>0.03038784497717151</v>
      </c>
      <c r="T574" t="s">
        <v>926</v>
      </c>
      <c r="U574">
        <v>0.251440395504726</v>
      </c>
      <c r="V574" t="s">
        <v>988</v>
      </c>
      <c r="W574" t="s">
        <v>995</v>
      </c>
      <c r="X574">
        <v>2265.571925</v>
      </c>
      <c r="Y574" s="2">
        <v>45071</v>
      </c>
      <c r="Z574" t="s">
        <v>1008</v>
      </c>
    </row>
    <row r="575" spans="1:26">
      <c r="A575" s="1" t="s">
        <v>599</v>
      </c>
      <c r="B575">
        <f>HYPERLINK("https://www.suredividend.com/sure-analysis-DOX/","Amdocs Ltd")</f>
        <v>0</v>
      </c>
      <c r="C575" t="s">
        <v>896</v>
      </c>
      <c r="D575">
        <v>89</v>
      </c>
      <c r="E575">
        <v>95.84999999999999</v>
      </c>
      <c r="F575">
        <v>94</v>
      </c>
      <c r="G575">
        <v>1.01968085106383</v>
      </c>
      <c r="H575">
        <v>0.01815336463223787</v>
      </c>
      <c r="I575">
        <v>-0.003890350347381055</v>
      </c>
      <c r="J575">
        <v>0.1</v>
      </c>
      <c r="K575">
        <v>0.110379528754623</v>
      </c>
      <c r="L575" t="s">
        <v>791</v>
      </c>
      <c r="M575" t="s">
        <v>648</v>
      </c>
      <c r="N575">
        <v>19.36363636363636</v>
      </c>
      <c r="O575">
        <v>4.95</v>
      </c>
      <c r="P575">
        <v>1.74</v>
      </c>
      <c r="Q575">
        <v>0.3515151515151515</v>
      </c>
      <c r="R575">
        <v>10</v>
      </c>
      <c r="S575">
        <v>0.06013539475734508</v>
      </c>
      <c r="T575" t="s">
        <v>906</v>
      </c>
      <c r="U575">
        <v>0.150611919067025</v>
      </c>
      <c r="V575" t="s">
        <v>988</v>
      </c>
      <c r="W575" t="s">
        <v>998</v>
      </c>
      <c r="X575">
        <v>11580.271302</v>
      </c>
      <c r="Y575" s="2">
        <v>45058</v>
      </c>
      <c r="Z575" t="s">
        <v>1006</v>
      </c>
    </row>
    <row r="576" spans="1:26">
      <c r="A576" s="1" t="s">
        <v>600</v>
      </c>
      <c r="B576">
        <f>HYPERLINK("https://www.suredividend.com/sure-analysis-PRU/","Prudential Financial Inc.")</f>
        <v>0</v>
      </c>
      <c r="C576" t="s">
        <v>896</v>
      </c>
      <c r="D576">
        <v>84</v>
      </c>
      <c r="E576">
        <v>83.89</v>
      </c>
      <c r="F576">
        <v>97</v>
      </c>
      <c r="G576">
        <v>0.8648453608247423</v>
      </c>
      <c r="H576">
        <v>0.05960185957801883</v>
      </c>
      <c r="I576">
        <v>0.0294667114944045</v>
      </c>
      <c r="J576">
        <v>0.03</v>
      </c>
      <c r="K576">
        <v>0.1088127486604868</v>
      </c>
      <c r="L576" t="s">
        <v>791</v>
      </c>
      <c r="M576" t="s">
        <v>900</v>
      </c>
      <c r="N576">
        <v>6.938792390405294</v>
      </c>
      <c r="O576">
        <v>12.09</v>
      </c>
      <c r="P576">
        <v>5</v>
      </c>
      <c r="Q576">
        <v>0.413564929693962</v>
      </c>
      <c r="R576">
        <v>15</v>
      </c>
      <c r="S576">
        <v>0.03988835529073098</v>
      </c>
      <c r="T576" t="s">
        <v>936</v>
      </c>
      <c r="U576">
        <v>-0.09421600394748601</v>
      </c>
      <c r="V576" t="s">
        <v>988</v>
      </c>
      <c r="W576" t="s">
        <v>994</v>
      </c>
      <c r="X576">
        <v>30619.85</v>
      </c>
      <c r="Y576" s="2">
        <v>45050</v>
      </c>
      <c r="Z576" t="s">
        <v>1003</v>
      </c>
    </row>
    <row r="577" spans="1:26">
      <c r="A577" s="1" t="s">
        <v>601</v>
      </c>
      <c r="B577">
        <f>HYPERLINK("https://www.suredividend.com/sure-analysis-TPR/","Tapestry Inc")</f>
        <v>0</v>
      </c>
      <c r="C577" t="s">
        <v>896</v>
      </c>
      <c r="D577">
        <v>43</v>
      </c>
      <c r="E577">
        <v>42.91</v>
      </c>
      <c r="F577">
        <v>51</v>
      </c>
      <c r="G577">
        <v>0.8413725490196078</v>
      </c>
      <c r="H577">
        <v>0.02796550920531345</v>
      </c>
      <c r="I577">
        <v>0.03514772576924785</v>
      </c>
      <c r="J577">
        <v>0.05</v>
      </c>
      <c r="K577">
        <v>0.1085968089909086</v>
      </c>
      <c r="L577" t="s">
        <v>791</v>
      </c>
      <c r="M577" t="s">
        <v>791</v>
      </c>
      <c r="N577">
        <v>11.03084832904884</v>
      </c>
      <c r="O577">
        <v>3.89</v>
      </c>
      <c r="P577">
        <v>1.2</v>
      </c>
      <c r="Q577">
        <v>0.3084832904884319</v>
      </c>
      <c r="R577">
        <v>1</v>
      </c>
      <c r="S577">
        <v>0.04000235313991807</v>
      </c>
      <c r="T577" t="s">
        <v>926</v>
      </c>
      <c r="U577">
        <v>0.327788247016266</v>
      </c>
      <c r="V577" t="s">
        <v>988</v>
      </c>
      <c r="W577" t="s">
        <v>995</v>
      </c>
      <c r="X577">
        <v>9946.443598</v>
      </c>
      <c r="Y577" s="2">
        <v>45069</v>
      </c>
      <c r="Z577" t="s">
        <v>1011</v>
      </c>
    </row>
    <row r="578" spans="1:26">
      <c r="A578" s="1" t="s">
        <v>602</v>
      </c>
      <c r="B578">
        <f>HYPERLINK("https://www.suredividend.com/sure-analysis-WSR/","Whitestone REIT")</f>
        <v>0</v>
      </c>
      <c r="C578" t="s">
        <v>896</v>
      </c>
      <c r="D578">
        <v>9</v>
      </c>
      <c r="E578">
        <v>9.380000000000001</v>
      </c>
      <c r="F578">
        <v>11</v>
      </c>
      <c r="G578">
        <v>0.8527272727272728</v>
      </c>
      <c r="H578">
        <v>0.05117270788912579</v>
      </c>
      <c r="I578">
        <v>0.03237616535309762</v>
      </c>
      <c r="J578">
        <v>0.03</v>
      </c>
      <c r="K578">
        <v>0.1084630087181402</v>
      </c>
      <c r="L578" t="s">
        <v>791</v>
      </c>
      <c r="M578" t="s">
        <v>589</v>
      </c>
      <c r="N578">
        <v>9.670103092783506</v>
      </c>
      <c r="O578">
        <v>0.97</v>
      </c>
      <c r="P578">
        <v>0.48</v>
      </c>
      <c r="Q578">
        <v>0.4948453608247423</v>
      </c>
      <c r="R578">
        <v>1</v>
      </c>
      <c r="S578">
        <v>0.06897294358221773</v>
      </c>
      <c r="T578" t="s">
        <v>930</v>
      </c>
      <c r="U578">
        <v>-0.049570257845292</v>
      </c>
      <c r="V578" t="s">
        <v>989</v>
      </c>
      <c r="W578" t="s">
        <v>1001</v>
      </c>
      <c r="X578">
        <v>470.035411</v>
      </c>
      <c r="Y578" s="2">
        <v>45085</v>
      </c>
      <c r="Z578" t="s">
        <v>1018</v>
      </c>
    </row>
    <row r="579" spans="1:26">
      <c r="A579" s="1" t="s">
        <v>603</v>
      </c>
      <c r="B579">
        <f>HYPERLINK("https://www.suredividend.com/sure-analysis-JNPR/","Juniper Networks Inc")</f>
        <v>0</v>
      </c>
      <c r="C579" t="s">
        <v>896</v>
      </c>
      <c r="D579">
        <v>30</v>
      </c>
      <c r="E579">
        <v>29.91</v>
      </c>
      <c r="F579">
        <v>35</v>
      </c>
      <c r="G579">
        <v>0.8545714285714285</v>
      </c>
      <c r="H579">
        <v>0.02942159812771648</v>
      </c>
      <c r="I579">
        <v>0.0319302089328517</v>
      </c>
      <c r="J579">
        <v>0.05</v>
      </c>
      <c r="K579">
        <v>0.1071960616593639</v>
      </c>
      <c r="L579" t="s">
        <v>791</v>
      </c>
      <c r="M579" t="s">
        <v>791</v>
      </c>
      <c r="N579">
        <v>12.72765957446808</v>
      </c>
      <c r="O579">
        <v>2.35</v>
      </c>
      <c r="P579">
        <v>0.88</v>
      </c>
      <c r="Q579">
        <v>0.374468085106383</v>
      </c>
      <c r="R579">
        <v>2</v>
      </c>
      <c r="S579">
        <v>0.04941452284458392</v>
      </c>
      <c r="T579" t="s">
        <v>912</v>
      </c>
      <c r="U579">
        <v>0.05545831804195001</v>
      </c>
      <c r="V579" t="s">
        <v>988</v>
      </c>
      <c r="W579" t="s">
        <v>1000</v>
      </c>
      <c r="X579">
        <v>9618.819890000001</v>
      </c>
      <c r="Y579" s="2">
        <v>45050</v>
      </c>
      <c r="Z579" t="s">
        <v>1010</v>
      </c>
    </row>
    <row r="580" spans="1:26">
      <c r="A580" s="1" t="s">
        <v>604</v>
      </c>
      <c r="B580">
        <f>HYPERLINK("https://www.suredividend.com/sure-analysis-KRG/","Kite Realty Group Trust")</f>
        <v>0</v>
      </c>
      <c r="C580" t="s">
        <v>896</v>
      </c>
      <c r="D580">
        <v>21</v>
      </c>
      <c r="E580">
        <v>20.7</v>
      </c>
      <c r="F580">
        <v>23</v>
      </c>
      <c r="G580">
        <v>0.9</v>
      </c>
      <c r="H580">
        <v>0.0463768115942029</v>
      </c>
      <c r="I580">
        <v>0.02129568760013512</v>
      </c>
      <c r="J580">
        <v>0.05</v>
      </c>
      <c r="K580">
        <v>0.1063015419157276</v>
      </c>
      <c r="L580" t="s">
        <v>791</v>
      </c>
      <c r="M580" t="s">
        <v>589</v>
      </c>
      <c r="N580">
        <v>10.61538461538461</v>
      </c>
      <c r="O580">
        <v>1.95</v>
      </c>
      <c r="P580">
        <v>0.96</v>
      </c>
      <c r="Q580">
        <v>0.4923076923076923</v>
      </c>
      <c r="R580">
        <v>3</v>
      </c>
      <c r="S580">
        <v>0.01020619660890776</v>
      </c>
      <c r="T580" t="s">
        <v>919</v>
      </c>
      <c r="U580">
        <v>0.177842897379726</v>
      </c>
      <c r="V580" t="s">
        <v>989</v>
      </c>
      <c r="W580" t="s">
        <v>1001</v>
      </c>
      <c r="X580">
        <v>4540.046813</v>
      </c>
      <c r="Y580" s="2">
        <v>45057</v>
      </c>
      <c r="Z580" t="s">
        <v>1010</v>
      </c>
    </row>
    <row r="581" spans="1:26">
      <c r="A581" s="1" t="s">
        <v>605</v>
      </c>
      <c r="B581">
        <f>HYPERLINK("https://www.suredividend.com/sure-analysis-CRI/","Carters Inc")</f>
        <v>0</v>
      </c>
      <c r="C581" t="s">
        <v>896</v>
      </c>
      <c r="D581">
        <v>65</v>
      </c>
      <c r="E581">
        <v>65.15000000000001</v>
      </c>
      <c r="F581">
        <v>74</v>
      </c>
      <c r="G581">
        <v>0.8804054054054055</v>
      </c>
      <c r="H581">
        <v>0.04850345356868764</v>
      </c>
      <c r="I581">
        <v>0.02580180741362814</v>
      </c>
      <c r="J581">
        <v>0.04</v>
      </c>
      <c r="K581">
        <v>0.1060033621476502</v>
      </c>
      <c r="L581" t="s">
        <v>791</v>
      </c>
      <c r="M581" t="s">
        <v>589</v>
      </c>
      <c r="N581">
        <v>10.59349593495935</v>
      </c>
      <c r="O581">
        <v>6.15</v>
      </c>
      <c r="P581">
        <v>3.16</v>
      </c>
      <c r="Q581">
        <v>0.5138211382113821</v>
      </c>
      <c r="R581">
        <v>2</v>
      </c>
      <c r="S581">
        <v>0.03974975894363819</v>
      </c>
      <c r="T581" t="s">
        <v>914</v>
      </c>
      <c r="U581">
        <v>-0.090580423260482</v>
      </c>
      <c r="V581" t="s">
        <v>988</v>
      </c>
      <c r="W581" t="s">
        <v>995</v>
      </c>
      <c r="X581">
        <v>2455.399716</v>
      </c>
      <c r="Y581" s="2">
        <v>45062</v>
      </c>
      <c r="Z581" t="s">
        <v>1011</v>
      </c>
    </row>
    <row r="582" spans="1:26">
      <c r="A582" s="1" t="s">
        <v>606</v>
      </c>
      <c r="B582">
        <f>HYPERLINK("https://www.suredividend.com/sure-analysis-MAN/","ManpowerGroup")</f>
        <v>0</v>
      </c>
      <c r="C582" t="s">
        <v>897</v>
      </c>
      <c r="D582">
        <v>76</v>
      </c>
      <c r="E582">
        <v>76.59</v>
      </c>
      <c r="F582">
        <v>88</v>
      </c>
      <c r="G582">
        <v>0.8703409090909091</v>
      </c>
      <c r="H582">
        <v>0.03838621229925578</v>
      </c>
      <c r="I582">
        <v>0.0281633538284165</v>
      </c>
      <c r="J582">
        <v>0.05</v>
      </c>
      <c r="K582">
        <v>0.1057208455707523</v>
      </c>
      <c r="L582" t="s">
        <v>791</v>
      </c>
      <c r="M582" t="s">
        <v>589</v>
      </c>
      <c r="N582">
        <v>11.29646017699115</v>
      </c>
      <c r="O582">
        <v>6.78</v>
      </c>
      <c r="P582">
        <v>2.94</v>
      </c>
      <c r="Q582">
        <v>0.4336283185840707</v>
      </c>
      <c r="R582">
        <v>13</v>
      </c>
      <c r="S582">
        <v>-0.009710577713137658</v>
      </c>
      <c r="T582" t="s">
        <v>912</v>
      </c>
      <c r="U582">
        <v>0.009040390599680001</v>
      </c>
      <c r="V582" t="s">
        <v>988</v>
      </c>
      <c r="W582" t="s">
        <v>993</v>
      </c>
      <c r="X582">
        <v>3862.13431</v>
      </c>
      <c r="Y582" s="2">
        <v>45048</v>
      </c>
      <c r="Z582" t="s">
        <v>1005</v>
      </c>
    </row>
    <row r="583" spans="1:26">
      <c r="A583" s="1" t="s">
        <v>607</v>
      </c>
      <c r="B583">
        <f>HYPERLINK("https://www.suredividend.com/sure-analysis-MCY/","Mercury General Corp.")</f>
        <v>0</v>
      </c>
      <c r="C583" t="s">
        <v>896</v>
      </c>
      <c r="D583">
        <v>30</v>
      </c>
      <c r="E583">
        <v>30.61</v>
      </c>
      <c r="F583">
        <v>42</v>
      </c>
      <c r="G583">
        <v>0.7288095238095238</v>
      </c>
      <c r="H583">
        <v>0.04148970924534466</v>
      </c>
      <c r="I583">
        <v>0.06531291516847415</v>
      </c>
      <c r="J583">
        <v>0.01</v>
      </c>
      <c r="K583">
        <v>0.105280670251076</v>
      </c>
      <c r="L583" t="s">
        <v>791</v>
      </c>
      <c r="M583" t="s">
        <v>791</v>
      </c>
      <c r="N583">
        <v>10.20333333333333</v>
      </c>
      <c r="O583">
        <v>3</v>
      </c>
      <c r="P583">
        <v>1.27</v>
      </c>
      <c r="Q583">
        <v>0.4233333333333333</v>
      </c>
      <c r="R583">
        <v>0</v>
      </c>
      <c r="S583">
        <v>0</v>
      </c>
      <c r="T583" t="s">
        <v>916</v>
      </c>
      <c r="U583">
        <v>-0.277924688087526</v>
      </c>
      <c r="V583" t="s">
        <v>988</v>
      </c>
      <c r="W583" t="s">
        <v>994</v>
      </c>
      <c r="X583">
        <v>1694.910197</v>
      </c>
      <c r="Y583" s="2">
        <v>45057</v>
      </c>
      <c r="Z583" t="s">
        <v>1008</v>
      </c>
    </row>
    <row r="584" spans="1:26">
      <c r="A584" s="1" t="s">
        <v>608</v>
      </c>
      <c r="B584">
        <f>HYPERLINK("https://www.suredividend.com/sure-analysis-VTRS/","Viatris Inc")</f>
        <v>0</v>
      </c>
      <c r="C584" t="s">
        <v>896</v>
      </c>
      <c r="D584">
        <v>9.52</v>
      </c>
      <c r="E584">
        <v>9.76</v>
      </c>
      <c r="F584">
        <v>11</v>
      </c>
      <c r="G584">
        <v>0.8872727272727272</v>
      </c>
      <c r="H584">
        <v>0.04918032786885246</v>
      </c>
      <c r="I584">
        <v>0.02420896632477487</v>
      </c>
      <c r="J584">
        <v>0.04</v>
      </c>
      <c r="K584">
        <v>0.1049523916681125</v>
      </c>
      <c r="L584" t="s">
        <v>791</v>
      </c>
      <c r="M584" t="s">
        <v>900</v>
      </c>
      <c r="N584">
        <v>6.506666666666667</v>
      </c>
      <c r="O584">
        <v>1.5</v>
      </c>
      <c r="P584">
        <v>0.48</v>
      </c>
      <c r="Q584">
        <v>0.32</v>
      </c>
      <c r="R584">
        <v>1</v>
      </c>
      <c r="S584">
        <v>0.03857377308425858</v>
      </c>
      <c r="T584" t="s">
        <v>964</v>
      </c>
      <c r="U584">
        <v>-0.05506932073425701</v>
      </c>
      <c r="V584" t="s">
        <v>988</v>
      </c>
      <c r="W584" t="s">
        <v>996</v>
      </c>
      <c r="X584">
        <v>11702.532644</v>
      </c>
      <c r="Y584" s="2">
        <v>45057</v>
      </c>
      <c r="Z584" t="s">
        <v>1015</v>
      </c>
    </row>
    <row r="585" spans="1:26">
      <c r="A585" s="1" t="s">
        <v>609</v>
      </c>
      <c r="B585">
        <f>HYPERLINK("https://www.suredividend.com/sure-analysis-MS/","Morgan Stanley")</f>
        <v>0</v>
      </c>
      <c r="C585" t="s">
        <v>897</v>
      </c>
      <c r="D585">
        <v>89</v>
      </c>
      <c r="E585">
        <v>83.58</v>
      </c>
      <c r="F585">
        <v>80</v>
      </c>
      <c r="G585">
        <v>1.04475</v>
      </c>
      <c r="H585">
        <v>0.03709021296960996</v>
      </c>
      <c r="I585">
        <v>-0.008717306485643728</v>
      </c>
      <c r="J585">
        <v>0.08</v>
      </c>
      <c r="K585">
        <v>0.1041651775883534</v>
      </c>
      <c r="L585" t="s">
        <v>791</v>
      </c>
      <c r="M585" t="s">
        <v>791</v>
      </c>
      <c r="N585">
        <v>12.29117647058824</v>
      </c>
      <c r="O585">
        <v>6.8</v>
      </c>
      <c r="P585">
        <v>3.1</v>
      </c>
      <c r="Q585">
        <v>0.4558823529411765</v>
      </c>
      <c r="R585">
        <v>9</v>
      </c>
      <c r="S585">
        <v>0.07976672700723597</v>
      </c>
      <c r="T585" t="s">
        <v>917</v>
      </c>
      <c r="U585">
        <v>0.113102864129001</v>
      </c>
      <c r="V585" t="s">
        <v>988</v>
      </c>
      <c r="W585" t="s">
        <v>994</v>
      </c>
      <c r="X585">
        <v>139588.102294</v>
      </c>
      <c r="Y585" s="2">
        <v>45036</v>
      </c>
      <c r="Z585" t="s">
        <v>1012</v>
      </c>
    </row>
    <row r="586" spans="1:26">
      <c r="A586" s="1" t="s">
        <v>610</v>
      </c>
      <c r="B586">
        <f>HYPERLINK("https://www.suredividend.com/sure-analysis-WSBC/","Wesbanco, Inc.")</f>
        <v>0</v>
      </c>
      <c r="C586" t="s">
        <v>897</v>
      </c>
      <c r="D586">
        <v>24</v>
      </c>
      <c r="E586">
        <v>24.74</v>
      </c>
      <c r="F586">
        <v>28</v>
      </c>
      <c r="G586">
        <v>0.8835714285714286</v>
      </c>
      <c r="H586">
        <v>0.05658852061438965</v>
      </c>
      <c r="I586">
        <v>0.02506561855339395</v>
      </c>
      <c r="J586">
        <v>0.03</v>
      </c>
      <c r="K586">
        <v>0.1040959589485999</v>
      </c>
      <c r="L586" t="s">
        <v>791</v>
      </c>
      <c r="M586" t="s">
        <v>900</v>
      </c>
      <c r="N586">
        <v>8.835714285714285</v>
      </c>
      <c r="O586">
        <v>2.8</v>
      </c>
      <c r="P586">
        <v>1.4</v>
      </c>
      <c r="Q586">
        <v>0.5</v>
      </c>
      <c r="R586">
        <v>11</v>
      </c>
      <c r="S586">
        <v>0.05037650558764373</v>
      </c>
      <c r="T586" t="s">
        <v>926</v>
      </c>
      <c r="U586">
        <v>-0.18960439985194</v>
      </c>
      <c r="V586" t="s">
        <v>988</v>
      </c>
      <c r="W586" t="s">
        <v>994</v>
      </c>
      <c r="X586">
        <v>1465.760117</v>
      </c>
      <c r="Y586" s="2">
        <v>45069</v>
      </c>
      <c r="Z586" t="s">
        <v>1010</v>
      </c>
    </row>
    <row r="587" spans="1:26">
      <c r="A587" s="1" t="s">
        <v>611</v>
      </c>
      <c r="B587">
        <f>HYPERLINK("https://www.suredividend.com/sure-analysis-THG/","Hanover Insurance Group Inc")</f>
        <v>0</v>
      </c>
      <c r="C587" t="s">
        <v>897</v>
      </c>
      <c r="D587">
        <v>119</v>
      </c>
      <c r="E587">
        <v>110.41</v>
      </c>
      <c r="F587">
        <v>109</v>
      </c>
      <c r="G587">
        <v>1.012935779816514</v>
      </c>
      <c r="H587">
        <v>0.02934516801014401</v>
      </c>
      <c r="I587">
        <v>-0.002567264370176736</v>
      </c>
      <c r="J587">
        <v>0.08</v>
      </c>
      <c r="K587">
        <v>0.1035245656878041</v>
      </c>
      <c r="L587" t="s">
        <v>791</v>
      </c>
      <c r="M587" t="s">
        <v>791</v>
      </c>
      <c r="N587">
        <v>15.22896551724138</v>
      </c>
      <c r="O587">
        <v>7.25</v>
      </c>
      <c r="P587">
        <v>3.24</v>
      </c>
      <c r="Q587">
        <v>0.4468965517241379</v>
      </c>
      <c r="R587">
        <v>18</v>
      </c>
      <c r="S587">
        <v>0.07997173304574834</v>
      </c>
      <c r="T587" t="s">
        <v>902</v>
      </c>
      <c r="U587">
        <v>-0.235041355295265</v>
      </c>
      <c r="V587" t="s">
        <v>988</v>
      </c>
      <c r="W587" t="s">
        <v>994</v>
      </c>
      <c r="X587">
        <v>3944.532392</v>
      </c>
      <c r="Y587" s="2">
        <v>45057</v>
      </c>
      <c r="Z587" t="s">
        <v>1006</v>
      </c>
    </row>
    <row r="588" spans="1:26">
      <c r="A588" s="1" t="s">
        <v>612</v>
      </c>
      <c r="B588">
        <f>HYPERLINK("https://www.suredividend.com/sure-analysis-KMI/","Kinder Morgan Inc")</f>
        <v>0</v>
      </c>
      <c r="C588" t="s">
        <v>896</v>
      </c>
      <c r="D588">
        <v>16.7</v>
      </c>
      <c r="E588">
        <v>16.32</v>
      </c>
      <c r="F588">
        <v>18.1</v>
      </c>
      <c r="G588">
        <v>0.9016574585635359</v>
      </c>
      <c r="H588">
        <v>0.06924019607843136</v>
      </c>
      <c r="I588">
        <v>0.0209199348539455</v>
      </c>
      <c r="J588">
        <v>0.026</v>
      </c>
      <c r="K588">
        <v>0.1034650109756874</v>
      </c>
      <c r="L588" t="s">
        <v>791</v>
      </c>
      <c r="M588" t="s">
        <v>900</v>
      </c>
      <c r="N588">
        <v>7.661971830985916</v>
      </c>
      <c r="O588">
        <v>2.13</v>
      </c>
      <c r="P588">
        <v>1.13</v>
      </c>
      <c r="Q588">
        <v>0.5305164319248826</v>
      </c>
      <c r="R588">
        <v>6</v>
      </c>
      <c r="S588">
        <v>0.02683875946922498</v>
      </c>
      <c r="T588" t="s">
        <v>917</v>
      </c>
      <c r="U588">
        <v>0.05413418249698</v>
      </c>
      <c r="V588" t="s">
        <v>988</v>
      </c>
      <c r="W588" t="s">
        <v>1002</v>
      </c>
      <c r="X588">
        <v>36576.607486</v>
      </c>
      <c r="Y588" s="2">
        <v>45062</v>
      </c>
      <c r="Z588" t="s">
        <v>1013</v>
      </c>
    </row>
    <row r="589" spans="1:26">
      <c r="A589" s="1" t="s">
        <v>613</v>
      </c>
      <c r="B589">
        <f>HYPERLINK("https://www.suredividend.com/sure-analysis-AES/","AES Corp.")</f>
        <v>0</v>
      </c>
      <c r="C589" t="s">
        <v>896</v>
      </c>
      <c r="D589">
        <v>20</v>
      </c>
      <c r="E589">
        <v>20.43</v>
      </c>
      <c r="F589">
        <v>21</v>
      </c>
      <c r="G589">
        <v>0.9728571428571429</v>
      </c>
      <c r="H589">
        <v>0.03230543318649046</v>
      </c>
      <c r="I589">
        <v>0.005518778439072225</v>
      </c>
      <c r="J589">
        <v>0.07000000000000001</v>
      </c>
      <c r="K589">
        <v>0.1026726356058247</v>
      </c>
      <c r="L589" t="s">
        <v>791</v>
      </c>
      <c r="M589" t="s">
        <v>791</v>
      </c>
      <c r="N589">
        <v>12.01764705882353</v>
      </c>
      <c r="O589">
        <v>1.7</v>
      </c>
      <c r="P589">
        <v>0.66</v>
      </c>
      <c r="Q589">
        <v>0.3882352941176471</v>
      </c>
      <c r="R589">
        <v>10</v>
      </c>
      <c r="S589">
        <v>0.0519013150122396</v>
      </c>
      <c r="T589" t="s">
        <v>917</v>
      </c>
      <c r="U589">
        <v>-0.020641784033057</v>
      </c>
      <c r="V589" t="s">
        <v>988</v>
      </c>
      <c r="W589" t="s">
        <v>1002</v>
      </c>
      <c r="X589">
        <v>13674.528678</v>
      </c>
      <c r="Y589" s="2">
        <v>45077</v>
      </c>
      <c r="Z589" t="s">
        <v>1010</v>
      </c>
    </row>
    <row r="590" spans="1:26">
      <c r="A590" s="1" t="s">
        <v>614</v>
      </c>
      <c r="B590">
        <f>HYPERLINK("https://www.suredividend.com/sure-analysis-EMRAF/","Emera Inc.")</f>
        <v>0</v>
      </c>
      <c r="C590" t="s">
        <v>897</v>
      </c>
      <c r="D590">
        <v>42</v>
      </c>
      <c r="E590">
        <v>40.93</v>
      </c>
      <c r="F590">
        <v>43</v>
      </c>
      <c r="G590">
        <v>0.9518604651162791</v>
      </c>
      <c r="H590">
        <v>0.04984119227950159</v>
      </c>
      <c r="I590">
        <v>0.009916208002512583</v>
      </c>
      <c r="J590">
        <v>0.05</v>
      </c>
      <c r="K590">
        <v>0.1020552846294747</v>
      </c>
      <c r="L590" t="s">
        <v>791</v>
      </c>
      <c r="M590" t="s">
        <v>589</v>
      </c>
      <c r="N590">
        <v>17.19747899159664</v>
      </c>
      <c r="O590">
        <v>2.38</v>
      </c>
      <c r="P590">
        <v>2.04</v>
      </c>
      <c r="Q590">
        <v>0.8571428571428572</v>
      </c>
      <c r="R590">
        <v>0</v>
      </c>
      <c r="S590">
        <v>0.04481815365679331</v>
      </c>
      <c r="T590" t="s">
        <v>917</v>
      </c>
      <c r="U590">
        <v>-0.118837459634015</v>
      </c>
      <c r="V590" t="s">
        <v>988</v>
      </c>
      <c r="W590" t="s">
        <v>999</v>
      </c>
      <c r="X590">
        <v>11170.091409</v>
      </c>
      <c r="Y590" s="2">
        <v>45069</v>
      </c>
      <c r="Z590" t="s">
        <v>1010</v>
      </c>
    </row>
    <row r="591" spans="1:26">
      <c r="A591" s="1" t="s">
        <v>615</v>
      </c>
      <c r="B591">
        <f>HYPERLINK("https://www.suredividend.com/sure-analysis-NTAP/","Netapp Inc")</f>
        <v>0</v>
      </c>
      <c r="C591" t="s">
        <v>896</v>
      </c>
      <c r="D591">
        <v>72</v>
      </c>
      <c r="E591">
        <v>73.20999999999999</v>
      </c>
      <c r="F591">
        <v>86</v>
      </c>
      <c r="G591">
        <v>0.8512790697674418</v>
      </c>
      <c r="H591">
        <v>0.02731867231252562</v>
      </c>
      <c r="I591">
        <v>0.03272718393788487</v>
      </c>
      <c r="J591">
        <v>0.045</v>
      </c>
      <c r="K591">
        <v>0.1016052382204276</v>
      </c>
      <c r="L591" t="s">
        <v>791</v>
      </c>
      <c r="M591" t="s">
        <v>791</v>
      </c>
      <c r="N591">
        <v>12.73217391304348</v>
      </c>
      <c r="O591">
        <v>5.75</v>
      </c>
      <c r="P591">
        <v>2</v>
      </c>
      <c r="Q591">
        <v>0.3478260869565217</v>
      </c>
      <c r="R591">
        <v>8</v>
      </c>
      <c r="S591">
        <v>0.04978904632428516</v>
      </c>
      <c r="T591" t="s">
        <v>919</v>
      </c>
      <c r="U591">
        <v>0.13079957616254</v>
      </c>
      <c r="V591" t="s">
        <v>988</v>
      </c>
      <c r="W591" t="s">
        <v>1000</v>
      </c>
      <c r="X591">
        <v>15552.063627</v>
      </c>
      <c r="Y591" s="2">
        <v>45085</v>
      </c>
      <c r="Z591" t="s">
        <v>1010</v>
      </c>
    </row>
    <row r="592" spans="1:26">
      <c r="A592" s="1" t="s">
        <v>616</v>
      </c>
      <c r="B592">
        <f>HYPERLINK("https://www.suredividend.com/sure-analysis-WPP/","WPP Plc.")</f>
        <v>0</v>
      </c>
      <c r="C592" t="s">
        <v>897</v>
      </c>
      <c r="D592">
        <v>56</v>
      </c>
      <c r="E592">
        <v>53.52</v>
      </c>
      <c r="F592">
        <v>67</v>
      </c>
      <c r="G592">
        <v>0.7988059701492538</v>
      </c>
      <c r="H592">
        <v>0.04484304932735426</v>
      </c>
      <c r="I592">
        <v>0.04595196362779697</v>
      </c>
      <c r="J592">
        <v>0.02</v>
      </c>
      <c r="K592">
        <v>0.1013215280193098</v>
      </c>
      <c r="L592" t="s">
        <v>791</v>
      </c>
      <c r="M592" t="s">
        <v>589</v>
      </c>
      <c r="N592">
        <v>8.428346456692914</v>
      </c>
      <c r="O592">
        <v>6.35</v>
      </c>
      <c r="P592">
        <v>2.4</v>
      </c>
      <c r="Q592">
        <v>0.3779527559055118</v>
      </c>
      <c r="R592">
        <v>2</v>
      </c>
      <c r="S592">
        <v>0.02001586442069092</v>
      </c>
      <c r="T592" t="s">
        <v>926</v>
      </c>
      <c r="U592">
        <v>0.128254641507206</v>
      </c>
      <c r="V592" t="s">
        <v>988</v>
      </c>
      <c r="W592" t="s">
        <v>998</v>
      </c>
      <c r="X592">
        <v>11502.763896</v>
      </c>
      <c r="Y592" s="2">
        <v>45069</v>
      </c>
      <c r="Z592" t="s">
        <v>1004</v>
      </c>
    </row>
    <row r="593" spans="1:26">
      <c r="A593" s="1" t="s">
        <v>617</v>
      </c>
      <c r="B593">
        <f>HYPERLINK("https://www.suredividend.com/sure-analysis-NGG/","National Grid Plc")</f>
        <v>0</v>
      </c>
      <c r="C593" t="s">
        <v>896</v>
      </c>
      <c r="D593">
        <v>67</v>
      </c>
      <c r="E593">
        <v>66.56999999999999</v>
      </c>
      <c r="F593">
        <v>72</v>
      </c>
      <c r="G593">
        <v>0.9245833333333332</v>
      </c>
      <c r="H593">
        <v>0.05392819588403185</v>
      </c>
      <c r="I593">
        <v>0.01580603315446916</v>
      </c>
      <c r="J593">
        <v>0.04</v>
      </c>
      <c r="K593">
        <v>0.1012612625570677</v>
      </c>
      <c r="L593" t="s">
        <v>791</v>
      </c>
      <c r="M593" t="s">
        <v>900</v>
      </c>
      <c r="N593">
        <v>13.81120331950207</v>
      </c>
      <c r="O593">
        <v>4.82</v>
      </c>
      <c r="P593">
        <v>3.59</v>
      </c>
      <c r="Q593">
        <v>0.7448132780082987</v>
      </c>
      <c r="R593">
        <v>0</v>
      </c>
      <c r="S593">
        <v>0.0401055114467892</v>
      </c>
      <c r="T593" t="s">
        <v>981</v>
      </c>
      <c r="U593">
        <v>0.07352094551119201</v>
      </c>
      <c r="V593" t="s">
        <v>988</v>
      </c>
      <c r="W593" t="s">
        <v>999</v>
      </c>
      <c r="X593">
        <v>48972.581709</v>
      </c>
      <c r="Y593" s="2">
        <v>45084</v>
      </c>
      <c r="Z593" t="s">
        <v>1016</v>
      </c>
    </row>
    <row r="594" spans="1:26">
      <c r="A594" s="1" t="s">
        <v>618</v>
      </c>
      <c r="B594">
        <f>HYPERLINK("https://www.suredividend.com/sure-analysis-DOC/","Physicians Realty Trust")</f>
        <v>0</v>
      </c>
      <c r="C594" t="s">
        <v>897</v>
      </c>
      <c r="D594">
        <v>13.83</v>
      </c>
      <c r="E594">
        <v>13.48</v>
      </c>
      <c r="F594">
        <v>15.6</v>
      </c>
      <c r="G594">
        <v>0.8641025641025641</v>
      </c>
      <c r="H594">
        <v>0.06824925816023739</v>
      </c>
      <c r="I594">
        <v>0.02964363995916042</v>
      </c>
      <c r="J594">
        <v>0.02</v>
      </c>
      <c r="K594">
        <v>0.1011526823924964</v>
      </c>
      <c r="L594" t="s">
        <v>791</v>
      </c>
      <c r="M594" t="s">
        <v>900</v>
      </c>
      <c r="N594">
        <v>12.96153846153846</v>
      </c>
      <c r="O594">
        <v>1.04</v>
      </c>
      <c r="P594">
        <v>0.92</v>
      </c>
      <c r="Q594">
        <v>0.8846153846153846</v>
      </c>
      <c r="R594">
        <v>0</v>
      </c>
      <c r="S594">
        <v>0</v>
      </c>
      <c r="T594" t="s">
        <v>957</v>
      </c>
      <c r="U594">
        <v>-0.187472122096177</v>
      </c>
      <c r="V594" t="s">
        <v>989</v>
      </c>
      <c r="W594" t="s">
        <v>1001</v>
      </c>
      <c r="X594">
        <v>3213.612602</v>
      </c>
      <c r="Y594" s="2">
        <v>45069</v>
      </c>
      <c r="Z594" t="s">
        <v>1003</v>
      </c>
    </row>
    <row r="595" spans="1:26">
      <c r="A595" s="1" t="s">
        <v>619</v>
      </c>
      <c r="B595">
        <f>HYPERLINK("https://www.suredividend.com/sure-analysis-E/","Eni Spa")</f>
        <v>0</v>
      </c>
      <c r="C595" t="s">
        <v>897</v>
      </c>
      <c r="D595">
        <v>30</v>
      </c>
      <c r="E595">
        <v>27.8</v>
      </c>
      <c r="F595">
        <v>63</v>
      </c>
      <c r="G595">
        <v>0.4412698412698413</v>
      </c>
      <c r="H595">
        <v>0.06834532374100719</v>
      </c>
      <c r="I595">
        <v>0.1777663738314519</v>
      </c>
      <c r="J595">
        <v>-0.11</v>
      </c>
      <c r="K595">
        <v>0.1010071706736519</v>
      </c>
      <c r="L595" t="s">
        <v>791</v>
      </c>
      <c r="M595" t="s">
        <v>900</v>
      </c>
      <c r="N595">
        <v>5.56</v>
      </c>
      <c r="O595">
        <v>5</v>
      </c>
      <c r="P595">
        <v>1.9</v>
      </c>
      <c r="Q595">
        <v>0.38</v>
      </c>
      <c r="R595">
        <v>2</v>
      </c>
      <c r="S595">
        <v>0.01031145931793609</v>
      </c>
      <c r="T595" t="s">
        <v>982</v>
      </c>
      <c r="U595">
        <v>0.216060750545696</v>
      </c>
      <c r="V595" t="s">
        <v>988</v>
      </c>
      <c r="W595" t="s">
        <v>1002</v>
      </c>
      <c r="X595">
        <v>46925.536727</v>
      </c>
      <c r="Y595" s="2">
        <v>45055</v>
      </c>
      <c r="Z595" t="s">
        <v>1007</v>
      </c>
    </row>
    <row r="596" spans="1:26">
      <c r="A596" s="1" t="s">
        <v>620</v>
      </c>
      <c r="B596">
        <f>HYPERLINK("https://www.suredividend.com/sure-analysis-GNTX/","Gentex Corp.")</f>
        <v>0</v>
      </c>
      <c r="C596" t="s">
        <v>897</v>
      </c>
      <c r="D596">
        <v>28</v>
      </c>
      <c r="E596">
        <v>27.54</v>
      </c>
      <c r="F596">
        <v>27</v>
      </c>
      <c r="G596">
        <v>1.02</v>
      </c>
      <c r="H596">
        <v>0.01742919389978213</v>
      </c>
      <c r="I596">
        <v>-0.003952692922012169</v>
      </c>
      <c r="J596">
        <v>0.09</v>
      </c>
      <c r="K596">
        <v>0.1002529314096778</v>
      </c>
      <c r="L596" t="s">
        <v>791</v>
      </c>
      <c r="M596" t="s">
        <v>648</v>
      </c>
      <c r="N596">
        <v>16.59036144578313</v>
      </c>
      <c r="O596">
        <v>1.66</v>
      </c>
      <c r="P596">
        <v>0.48</v>
      </c>
      <c r="Q596">
        <v>0.2891566265060241</v>
      </c>
      <c r="R596">
        <v>0</v>
      </c>
      <c r="S596">
        <v>0.05922384104881218</v>
      </c>
      <c r="T596" t="s">
        <v>919</v>
      </c>
      <c r="U596">
        <v>-0.017723072094275</v>
      </c>
      <c r="V596" t="s">
        <v>988</v>
      </c>
      <c r="W596" t="s">
        <v>993</v>
      </c>
      <c r="X596">
        <v>6436.176434</v>
      </c>
      <c r="Y596" s="2">
        <v>45050</v>
      </c>
      <c r="Z596" t="s">
        <v>1010</v>
      </c>
    </row>
    <row r="597" spans="1:26">
      <c r="A597" s="1" t="s">
        <v>621</v>
      </c>
      <c r="B597">
        <f>HYPERLINK("https://www.suredividend.com/sure-analysis-UE/","Urban Edge Properties")</f>
        <v>0</v>
      </c>
      <c r="C597" t="s">
        <v>896</v>
      </c>
      <c r="D597">
        <v>14</v>
      </c>
      <c r="E597">
        <v>14.27</v>
      </c>
      <c r="F597">
        <v>17</v>
      </c>
      <c r="G597">
        <v>0.8394117647058823</v>
      </c>
      <c r="H597">
        <v>0.04484933426769447</v>
      </c>
      <c r="I597">
        <v>0.03563087544331034</v>
      </c>
      <c r="J597">
        <v>0.03</v>
      </c>
      <c r="K597">
        <v>0.1001448149822426</v>
      </c>
      <c r="L597" t="s">
        <v>791</v>
      </c>
      <c r="M597" t="s">
        <v>791</v>
      </c>
      <c r="N597">
        <v>12.30172413793104</v>
      </c>
      <c r="O597">
        <v>1.16</v>
      </c>
      <c r="P597">
        <v>0.64</v>
      </c>
      <c r="Q597">
        <v>0.5517241379310346</v>
      </c>
      <c r="R597">
        <v>1</v>
      </c>
      <c r="S597">
        <v>0.009204005948121541</v>
      </c>
      <c r="T597" t="s">
        <v>916</v>
      </c>
      <c r="U597">
        <v>-0.050590802639983</v>
      </c>
      <c r="V597" t="s">
        <v>989</v>
      </c>
      <c r="W597" t="s">
        <v>1001</v>
      </c>
      <c r="X597">
        <v>1677.668875</v>
      </c>
      <c r="Y597" s="2">
        <v>45062</v>
      </c>
      <c r="Z597" t="s">
        <v>1010</v>
      </c>
    </row>
    <row r="598" spans="1:26">
      <c r="A598" s="1" t="s">
        <v>622</v>
      </c>
      <c r="B598">
        <f>HYPERLINK("https://www.suredividend.com/sure-analysis-CWEN/","Clearway Energy Inc")</f>
        <v>0</v>
      </c>
      <c r="C598" t="s">
        <v>897</v>
      </c>
      <c r="D598">
        <v>29</v>
      </c>
      <c r="E598">
        <v>28.56</v>
      </c>
      <c r="F598">
        <v>32</v>
      </c>
      <c r="G598">
        <v>0.8925</v>
      </c>
      <c r="H598">
        <v>0.05357142857142858</v>
      </c>
      <c r="I598">
        <v>0.02300641023647487</v>
      </c>
      <c r="J598">
        <v>0.03</v>
      </c>
      <c r="K598">
        <v>0.09985597426508996</v>
      </c>
      <c r="L598" t="s">
        <v>791</v>
      </c>
      <c r="M598" t="s">
        <v>589</v>
      </c>
      <c r="N598">
        <v>8.16</v>
      </c>
      <c r="O598">
        <v>3.5</v>
      </c>
      <c r="P598">
        <v>1.53</v>
      </c>
      <c r="Q598">
        <v>0.4371428571428572</v>
      </c>
      <c r="R598">
        <v>4</v>
      </c>
      <c r="S598">
        <v>0.04970831195077574</v>
      </c>
      <c r="T598" t="s">
        <v>912</v>
      </c>
      <c r="U598">
        <v>-0.150179575149298</v>
      </c>
      <c r="V598" t="s">
        <v>988</v>
      </c>
      <c r="W598" t="s">
        <v>999</v>
      </c>
      <c r="X598">
        <v>3295.476064</v>
      </c>
      <c r="Y598" s="2">
        <v>45077</v>
      </c>
      <c r="Z598" t="s">
        <v>1010</v>
      </c>
    </row>
    <row r="599" spans="1:26">
      <c r="A599" s="1" t="s">
        <v>623</v>
      </c>
      <c r="B599">
        <f>HYPERLINK("https://www.suredividend.com/sure-analysis-TSM/","Taiwan Semiconductor Manufacturing")</f>
        <v>0</v>
      </c>
      <c r="C599" t="s">
        <v>896</v>
      </c>
      <c r="D599">
        <v>87</v>
      </c>
      <c r="E599">
        <v>101.91</v>
      </c>
      <c r="F599">
        <v>94</v>
      </c>
      <c r="G599">
        <v>1.084148936170213</v>
      </c>
      <c r="H599">
        <v>0.01766264350897851</v>
      </c>
      <c r="I599">
        <v>-0.01602920053841173</v>
      </c>
      <c r="J599">
        <v>0.1</v>
      </c>
      <c r="K599">
        <v>0.09959199500842741</v>
      </c>
      <c r="L599" t="s">
        <v>791</v>
      </c>
      <c r="M599" t="s">
        <v>648</v>
      </c>
      <c r="N599">
        <v>18.52909090909091</v>
      </c>
      <c r="O599">
        <v>5.5</v>
      </c>
      <c r="P599">
        <v>1.8</v>
      </c>
      <c r="Q599">
        <v>0.3272727272727273</v>
      </c>
      <c r="R599">
        <v>0</v>
      </c>
      <c r="S599">
        <v>0.1097726681978886</v>
      </c>
      <c r="T599" t="s">
        <v>902</v>
      </c>
      <c r="U599">
        <v>0.210858876898984</v>
      </c>
      <c r="V599" t="s">
        <v>988</v>
      </c>
      <c r="W599" t="s">
        <v>1000</v>
      </c>
      <c r="X599">
        <v>528513.014536</v>
      </c>
      <c r="Y599" s="2">
        <v>45036</v>
      </c>
      <c r="Z599" t="s">
        <v>1007</v>
      </c>
    </row>
    <row r="600" spans="1:26">
      <c r="A600" s="1" t="s">
        <v>624</v>
      </c>
      <c r="B600">
        <f>HYPERLINK("https://www.suredividend.com/sure-analysis-WMB/","Williams Cos Inc")</f>
        <v>0</v>
      </c>
      <c r="C600" t="s">
        <v>897</v>
      </c>
      <c r="D600">
        <v>29</v>
      </c>
      <c r="E600">
        <v>30.59</v>
      </c>
      <c r="F600">
        <v>32</v>
      </c>
      <c r="G600">
        <v>0.9559375</v>
      </c>
      <c r="H600">
        <v>0.05851585485452763</v>
      </c>
      <c r="I600">
        <v>0.009053284230806868</v>
      </c>
      <c r="J600">
        <v>0.04</v>
      </c>
      <c r="K600">
        <v>0.0989112038887352</v>
      </c>
      <c r="L600" t="s">
        <v>791</v>
      </c>
      <c r="M600" t="s">
        <v>900</v>
      </c>
      <c r="N600">
        <v>7.283333333333333</v>
      </c>
      <c r="O600">
        <v>4.2</v>
      </c>
      <c r="P600">
        <v>1.79</v>
      </c>
      <c r="Q600">
        <v>0.4261904761904762</v>
      </c>
      <c r="R600">
        <v>6</v>
      </c>
      <c r="S600">
        <v>0.04020920480467827</v>
      </c>
      <c r="T600" t="s">
        <v>941</v>
      </c>
      <c r="U600">
        <v>0.075321735278919</v>
      </c>
      <c r="V600" t="s">
        <v>988</v>
      </c>
      <c r="W600" t="s">
        <v>1002</v>
      </c>
      <c r="X600">
        <v>37264.343817</v>
      </c>
      <c r="Y600" s="2">
        <v>45063</v>
      </c>
      <c r="Z600" t="s">
        <v>1007</v>
      </c>
    </row>
    <row r="601" spans="1:26">
      <c r="A601" s="1" t="s">
        <v>625</v>
      </c>
      <c r="B601">
        <f>HYPERLINK("https://www.suredividend.com/sure-analysis-ALLY/","Ally Financial Inc")</f>
        <v>0</v>
      </c>
      <c r="C601" t="s">
        <v>896</v>
      </c>
      <c r="D601">
        <v>25</v>
      </c>
      <c r="E601">
        <v>26.37</v>
      </c>
      <c r="F601">
        <v>29</v>
      </c>
      <c r="G601">
        <v>0.9093103448275862</v>
      </c>
      <c r="H601">
        <v>0.04550625711035267</v>
      </c>
      <c r="I601">
        <v>0.01919567869135386</v>
      </c>
      <c r="J601">
        <v>0.04</v>
      </c>
      <c r="K601">
        <v>0.09881505870523721</v>
      </c>
      <c r="L601" t="s">
        <v>791</v>
      </c>
      <c r="M601" t="s">
        <v>589</v>
      </c>
      <c r="N601">
        <v>7.224657534246576</v>
      </c>
      <c r="O601">
        <v>3.65</v>
      </c>
      <c r="P601">
        <v>1.2</v>
      </c>
      <c r="Q601">
        <v>0.3287671232876712</v>
      </c>
      <c r="R601">
        <v>6</v>
      </c>
      <c r="S601">
        <v>0.04978904632428516</v>
      </c>
      <c r="T601" t="s">
        <v>917</v>
      </c>
      <c r="U601">
        <v>-0.218349374412724</v>
      </c>
      <c r="V601" t="s">
        <v>988</v>
      </c>
      <c r="W601" t="s">
        <v>994</v>
      </c>
      <c r="X601">
        <v>7932.63967</v>
      </c>
      <c r="Y601" s="2">
        <v>45050</v>
      </c>
      <c r="Z601" t="s">
        <v>1008</v>
      </c>
    </row>
    <row r="602" spans="1:26">
      <c r="A602" s="1" t="s">
        <v>626</v>
      </c>
      <c r="B602">
        <f>HYPERLINK("https://www.suredividend.com/sure-analysis-TRST/","Trustco Bank Corp.")</f>
        <v>0</v>
      </c>
      <c r="C602" t="s">
        <v>897</v>
      </c>
      <c r="D602">
        <v>29</v>
      </c>
      <c r="E602">
        <v>28.75</v>
      </c>
      <c r="F602">
        <v>35</v>
      </c>
      <c r="G602">
        <v>0.8214285714285714</v>
      </c>
      <c r="H602">
        <v>0.05008695652173913</v>
      </c>
      <c r="I602">
        <v>0.04012620718096094</v>
      </c>
      <c r="J602">
        <v>0.02</v>
      </c>
      <c r="K602">
        <v>0.09880641096681053</v>
      </c>
      <c r="L602" t="s">
        <v>791</v>
      </c>
      <c r="M602" t="s">
        <v>589</v>
      </c>
      <c r="N602">
        <v>8.333333333333332</v>
      </c>
      <c r="O602">
        <v>3.45</v>
      </c>
      <c r="P602">
        <v>1.44</v>
      </c>
      <c r="Q602">
        <v>0.4173913043478261</v>
      </c>
      <c r="R602">
        <v>2</v>
      </c>
      <c r="S602">
        <v>0.009538511824044305</v>
      </c>
      <c r="T602" t="s">
        <v>930</v>
      </c>
      <c r="U602">
        <v>-0.009495066424122001</v>
      </c>
      <c r="V602" t="s">
        <v>988</v>
      </c>
      <c r="W602" t="s">
        <v>994</v>
      </c>
      <c r="X602">
        <v>56.1269</v>
      </c>
      <c r="Y602" s="2">
        <v>45077</v>
      </c>
      <c r="Z602" t="s">
        <v>1010</v>
      </c>
    </row>
    <row r="603" spans="1:26">
      <c r="A603" s="1" t="s">
        <v>627</v>
      </c>
      <c r="B603">
        <f>HYPERLINK("https://www.suredividend.com/sure-analysis-SBLK/","Star Bulk Carriers Corp")</f>
        <v>0</v>
      </c>
      <c r="C603" t="s">
        <v>897</v>
      </c>
      <c r="D603">
        <v>18.9</v>
      </c>
      <c r="E603">
        <v>18.03</v>
      </c>
      <c r="F603">
        <v>18.26</v>
      </c>
      <c r="G603">
        <v>0.9874041621029572</v>
      </c>
      <c r="H603">
        <v>0.07764836383804768</v>
      </c>
      <c r="I603">
        <v>0.002538383845015479</v>
      </c>
      <c r="J603">
        <v>0.03</v>
      </c>
      <c r="K603">
        <v>0.09831294632625687</v>
      </c>
      <c r="L603" t="s">
        <v>791</v>
      </c>
      <c r="M603" t="s">
        <v>900</v>
      </c>
      <c r="N603">
        <v>5.430722891566266</v>
      </c>
      <c r="O603">
        <v>3.32</v>
      </c>
      <c r="P603">
        <v>1.4</v>
      </c>
      <c r="Q603">
        <v>0.4216867469879518</v>
      </c>
      <c r="R603">
        <v>0</v>
      </c>
      <c r="S603">
        <v>0.02962100943384161</v>
      </c>
      <c r="T603" t="s">
        <v>920</v>
      </c>
      <c r="U603">
        <v>-0.10235538362732</v>
      </c>
      <c r="V603" t="s">
        <v>988</v>
      </c>
      <c r="W603" t="s">
        <v>993</v>
      </c>
      <c r="X603">
        <v>1860.519594</v>
      </c>
      <c r="Y603" s="2">
        <v>45068</v>
      </c>
      <c r="Z603" t="s">
        <v>1012</v>
      </c>
    </row>
    <row r="604" spans="1:26">
      <c r="A604" s="1" t="s">
        <v>628</v>
      </c>
      <c r="B604">
        <f>HYPERLINK("https://www.suredividend.com/sure-analysis-PLYM/","Plymouth Industrial Reit Inc")</f>
        <v>0</v>
      </c>
      <c r="C604" t="s">
        <v>896</v>
      </c>
      <c r="D604">
        <v>21</v>
      </c>
      <c r="E604">
        <v>22.15</v>
      </c>
      <c r="F604">
        <v>24</v>
      </c>
      <c r="G604">
        <v>0.9229166666666666</v>
      </c>
      <c r="H604">
        <v>0.04063205417607224</v>
      </c>
      <c r="I604">
        <v>0.01617265096471576</v>
      </c>
      <c r="J604">
        <v>0.05</v>
      </c>
      <c r="K604">
        <v>0.09756480425253367</v>
      </c>
      <c r="L604" t="s">
        <v>791</v>
      </c>
      <c r="M604" t="s">
        <v>791</v>
      </c>
      <c r="N604">
        <v>11.97297297297297</v>
      </c>
      <c r="O604">
        <v>1.85</v>
      </c>
      <c r="P604">
        <v>0.9</v>
      </c>
      <c r="Q604">
        <v>0.4864864864864865</v>
      </c>
      <c r="R604">
        <v>2</v>
      </c>
      <c r="S604">
        <v>0.01087212085035083</v>
      </c>
      <c r="T604" t="s">
        <v>906</v>
      </c>
      <c r="U604">
        <v>0.287738289720767</v>
      </c>
      <c r="V604" t="s">
        <v>989</v>
      </c>
      <c r="W604" t="s">
        <v>1001</v>
      </c>
      <c r="X604">
        <v>953.133638</v>
      </c>
      <c r="Y604" s="2">
        <v>45057</v>
      </c>
      <c r="Z604" t="s">
        <v>1010</v>
      </c>
    </row>
    <row r="605" spans="1:26">
      <c r="A605" s="1" t="s">
        <v>629</v>
      </c>
      <c r="B605">
        <f>HYPERLINK("https://www.suredividend.com/sure-analysis-FNF/","Fidelity National Financial Inc")</f>
        <v>0</v>
      </c>
      <c r="C605" t="s">
        <v>897</v>
      </c>
      <c r="D605">
        <v>35</v>
      </c>
      <c r="E605">
        <v>33.72</v>
      </c>
      <c r="F605">
        <v>32</v>
      </c>
      <c r="G605">
        <v>1.05375</v>
      </c>
      <c r="H605">
        <v>0.05338078291814947</v>
      </c>
      <c r="I605">
        <v>-0.01041641550988037</v>
      </c>
      <c r="J605">
        <v>0.065</v>
      </c>
      <c r="K605">
        <v>0.09632447984653014</v>
      </c>
      <c r="L605" t="s">
        <v>791</v>
      </c>
      <c r="M605" t="s">
        <v>900</v>
      </c>
      <c r="N605">
        <v>8.873684210526315</v>
      </c>
      <c r="O605">
        <v>3.8</v>
      </c>
      <c r="P605">
        <v>1.8</v>
      </c>
      <c r="Q605">
        <v>0.4736842105263158</v>
      </c>
      <c r="R605">
        <v>12</v>
      </c>
      <c r="S605">
        <v>0.02027234317185655</v>
      </c>
      <c r="T605" t="s">
        <v>902</v>
      </c>
      <c r="U605">
        <v>-0.05725524842107001</v>
      </c>
      <c r="V605" t="s">
        <v>988</v>
      </c>
      <c r="W605" t="s">
        <v>994</v>
      </c>
      <c r="X605">
        <v>9178.288544999999</v>
      </c>
      <c r="Y605" s="2">
        <v>45098</v>
      </c>
      <c r="Z605" t="s">
        <v>1010</v>
      </c>
    </row>
    <row r="606" spans="1:26">
      <c r="A606" s="1" t="s">
        <v>630</v>
      </c>
      <c r="B606">
        <f>HYPERLINK("https://www.suredividend.com/sure-analysis-ET/","Energy Transfer LP")</f>
        <v>0</v>
      </c>
      <c r="C606" t="s">
        <v>897</v>
      </c>
      <c r="D606">
        <v>12</v>
      </c>
      <c r="E606">
        <v>12.5</v>
      </c>
      <c r="F606">
        <v>12</v>
      </c>
      <c r="G606">
        <v>1.041666666666667</v>
      </c>
      <c r="H606">
        <v>0.0984</v>
      </c>
      <c r="I606">
        <v>-0.008131160717433694</v>
      </c>
      <c r="J606">
        <v>0.02</v>
      </c>
      <c r="K606">
        <v>0.09617452094761925</v>
      </c>
      <c r="L606" t="s">
        <v>791</v>
      </c>
      <c r="M606" t="s">
        <v>900</v>
      </c>
      <c r="N606">
        <v>5.102040816326531</v>
      </c>
      <c r="O606">
        <v>2.45</v>
      </c>
      <c r="P606">
        <v>1.23</v>
      </c>
      <c r="Q606">
        <v>0.5020408163265305</v>
      </c>
      <c r="R606">
        <v>2</v>
      </c>
      <c r="S606">
        <v>0.02029735168582558</v>
      </c>
      <c r="T606" t="s">
        <v>907</v>
      </c>
      <c r="U606">
        <v>0.3548666811185771</v>
      </c>
      <c r="V606" t="s">
        <v>990</v>
      </c>
      <c r="W606" t="s">
        <v>1002</v>
      </c>
      <c r="X606">
        <v>39265.56365</v>
      </c>
      <c r="Y606" s="2">
        <v>45055</v>
      </c>
      <c r="Z606" t="s">
        <v>1007</v>
      </c>
    </row>
    <row r="607" spans="1:26">
      <c r="A607" s="1" t="s">
        <v>631</v>
      </c>
      <c r="B607">
        <f>HYPERLINK("https://www.suredividend.com/sure-analysis-PSTL/","Postal Realty Trust Inc")</f>
        <v>0</v>
      </c>
      <c r="C607" t="s">
        <v>897</v>
      </c>
      <c r="D607">
        <v>15.04</v>
      </c>
      <c r="E607">
        <v>14.43</v>
      </c>
      <c r="F607">
        <v>15.2</v>
      </c>
      <c r="G607">
        <v>0.9493421052631579</v>
      </c>
      <c r="H607">
        <v>0.06583506583506583</v>
      </c>
      <c r="I607">
        <v>0.01045144982619584</v>
      </c>
      <c r="J607">
        <v>0.03</v>
      </c>
      <c r="K607">
        <v>0.0959230594258218</v>
      </c>
      <c r="L607" t="s">
        <v>791</v>
      </c>
      <c r="M607" t="s">
        <v>900</v>
      </c>
      <c r="N607">
        <v>15.18947368421053</v>
      </c>
      <c r="O607">
        <v>0.95</v>
      </c>
      <c r="P607">
        <v>0.95</v>
      </c>
      <c r="Q607">
        <v>1</v>
      </c>
      <c r="R607">
        <v>3</v>
      </c>
      <c r="S607">
        <v>0.02975477857041309</v>
      </c>
      <c r="T607" t="s">
        <v>948</v>
      </c>
      <c r="U607">
        <v>0.008688844306814001</v>
      </c>
      <c r="V607" t="s">
        <v>989</v>
      </c>
      <c r="W607" t="s">
        <v>1001</v>
      </c>
      <c r="X607">
        <v>287.307635</v>
      </c>
      <c r="Y607" s="2">
        <v>45057</v>
      </c>
      <c r="Z607" t="s">
        <v>1012</v>
      </c>
    </row>
    <row r="608" spans="1:26">
      <c r="A608" s="1" t="s">
        <v>632</v>
      </c>
      <c r="B608">
        <f>HYPERLINK("https://www.suredividend.com/sure-analysis-DD/","DuPont de Nemours Inc")</f>
        <v>0</v>
      </c>
      <c r="C608" t="s">
        <v>897</v>
      </c>
      <c r="D608">
        <v>69</v>
      </c>
      <c r="E608">
        <v>67.78</v>
      </c>
      <c r="F608">
        <v>64</v>
      </c>
      <c r="G608">
        <v>1.0590625</v>
      </c>
      <c r="H608">
        <v>0.02124520507524343</v>
      </c>
      <c r="I608">
        <v>-0.01141120913263927</v>
      </c>
      <c r="J608">
        <v>0.09</v>
      </c>
      <c r="K608">
        <v>0.0957843727121992</v>
      </c>
      <c r="L608" t="s">
        <v>791</v>
      </c>
      <c r="M608" t="s">
        <v>648</v>
      </c>
      <c r="N608">
        <v>18.07466666666667</v>
      </c>
      <c r="O608">
        <v>3.75</v>
      </c>
      <c r="P608">
        <v>1.44</v>
      </c>
      <c r="Q608">
        <v>0.384</v>
      </c>
      <c r="R608">
        <v>2</v>
      </c>
      <c r="S608">
        <v>0.06032490771095733</v>
      </c>
      <c r="T608" t="s">
        <v>934</v>
      </c>
      <c r="U608">
        <v>0.175476963044793</v>
      </c>
      <c r="V608" t="s">
        <v>988</v>
      </c>
      <c r="W608" t="s">
        <v>992</v>
      </c>
      <c r="X608">
        <v>31112.156806</v>
      </c>
      <c r="Y608" s="2">
        <v>45049</v>
      </c>
      <c r="Z608" t="s">
        <v>1004</v>
      </c>
    </row>
    <row r="609" spans="1:26">
      <c r="A609" s="1" t="s">
        <v>633</v>
      </c>
      <c r="B609">
        <f>HYPERLINK("https://www.suredividend.com/sure-analysis-CAG/","Conagra Brands Inc")</f>
        <v>0</v>
      </c>
      <c r="C609" t="s">
        <v>897</v>
      </c>
      <c r="D609">
        <v>38</v>
      </c>
      <c r="E609">
        <v>34.09</v>
      </c>
      <c r="F609">
        <v>38</v>
      </c>
      <c r="G609">
        <v>0.8971052631578948</v>
      </c>
      <c r="H609">
        <v>0.03872103256086828</v>
      </c>
      <c r="I609">
        <v>0.02195393227665243</v>
      </c>
      <c r="J609">
        <v>0.04</v>
      </c>
      <c r="K609">
        <v>0.09505708241618205</v>
      </c>
      <c r="L609" t="s">
        <v>791</v>
      </c>
      <c r="M609" t="s">
        <v>791</v>
      </c>
      <c r="N609">
        <v>12.48717948717949</v>
      </c>
      <c r="O609">
        <v>2.73</v>
      </c>
      <c r="P609">
        <v>1.32</v>
      </c>
      <c r="Q609">
        <v>0.4835164835164835</v>
      </c>
      <c r="R609">
        <v>2</v>
      </c>
      <c r="S609">
        <v>0.04051989624422681</v>
      </c>
      <c r="T609" t="s">
        <v>928</v>
      </c>
      <c r="U609">
        <v>0.03677210781943301</v>
      </c>
      <c r="V609" t="s">
        <v>988</v>
      </c>
      <c r="W609" t="s">
        <v>997</v>
      </c>
      <c r="X609">
        <v>16257.75271</v>
      </c>
      <c r="Y609" s="2">
        <v>45044</v>
      </c>
      <c r="Z609" t="s">
        <v>1010</v>
      </c>
    </row>
    <row r="610" spans="1:26">
      <c r="A610" s="1" t="s">
        <v>634</v>
      </c>
      <c r="B610">
        <f>HYPERLINK("https://www.suredividend.com/sure-analysis-STAG/","STAG Industrial Inc")</f>
        <v>0</v>
      </c>
      <c r="C610" t="s">
        <v>897</v>
      </c>
      <c r="D610">
        <v>33</v>
      </c>
      <c r="E610">
        <v>34.28</v>
      </c>
      <c r="F610">
        <v>36</v>
      </c>
      <c r="G610">
        <v>0.9522222222222223</v>
      </c>
      <c r="H610">
        <v>0.04288214702450408</v>
      </c>
      <c r="I610">
        <v>0.009839461233171809</v>
      </c>
      <c r="J610">
        <v>0.05</v>
      </c>
      <c r="K610">
        <v>0.0928838621619188</v>
      </c>
      <c r="L610" t="s">
        <v>791</v>
      </c>
      <c r="M610" t="s">
        <v>791</v>
      </c>
      <c r="N610">
        <v>15.23555555555556</v>
      </c>
      <c r="O610">
        <v>2.25</v>
      </c>
      <c r="P610">
        <v>1.47</v>
      </c>
      <c r="Q610">
        <v>0.6533333333333333</v>
      </c>
      <c r="R610">
        <v>12</v>
      </c>
      <c r="S610">
        <v>0.006712012076735441</v>
      </c>
      <c r="T610" t="s">
        <v>934</v>
      </c>
      <c r="U610">
        <v>0.110351730146956</v>
      </c>
      <c r="V610" t="s">
        <v>989</v>
      </c>
      <c r="W610" t="s">
        <v>1001</v>
      </c>
      <c r="X610">
        <v>6149.035161</v>
      </c>
      <c r="Y610" s="2">
        <v>45043</v>
      </c>
      <c r="Z610" t="s">
        <v>1007</v>
      </c>
    </row>
    <row r="611" spans="1:26">
      <c r="A611" s="1" t="s">
        <v>635</v>
      </c>
      <c r="B611">
        <f>HYPERLINK("https://www.suredividend.com/sure-analysis-BRX/","Brixmor Property Group Inc")</f>
        <v>0</v>
      </c>
      <c r="C611" t="s">
        <v>897</v>
      </c>
      <c r="D611">
        <v>21</v>
      </c>
      <c r="E611">
        <v>20.77</v>
      </c>
      <c r="F611">
        <v>23</v>
      </c>
      <c r="G611">
        <v>0.9030434782608695</v>
      </c>
      <c r="H611">
        <v>0.05007221954742417</v>
      </c>
      <c r="I611">
        <v>0.02060635423505852</v>
      </c>
      <c r="J611">
        <v>0.03</v>
      </c>
      <c r="K611">
        <v>0.09275421217255309</v>
      </c>
      <c r="L611" t="s">
        <v>791</v>
      </c>
      <c r="M611" t="s">
        <v>589</v>
      </c>
      <c r="N611">
        <v>10.385</v>
      </c>
      <c r="O611">
        <v>2</v>
      </c>
      <c r="P611">
        <v>1.04</v>
      </c>
      <c r="Q611">
        <v>0.52</v>
      </c>
      <c r="R611">
        <v>2</v>
      </c>
      <c r="S611">
        <v>0.03074302873787649</v>
      </c>
      <c r="T611" t="s">
        <v>957</v>
      </c>
      <c r="U611">
        <v>0.033405311812763</v>
      </c>
      <c r="V611" t="s">
        <v>989</v>
      </c>
      <c r="W611" t="s">
        <v>1001</v>
      </c>
      <c r="X611">
        <v>6242.375521</v>
      </c>
      <c r="Y611" s="2">
        <v>45057</v>
      </c>
      <c r="Z611" t="s">
        <v>1018</v>
      </c>
    </row>
    <row r="612" spans="1:26">
      <c r="A612" s="1" t="s">
        <v>636</v>
      </c>
      <c r="B612">
        <f>HYPERLINK("https://www.suredividend.com/sure-analysis-LAZ/","Lazard Ltd.")</f>
        <v>0</v>
      </c>
      <c r="C612" t="s">
        <v>896</v>
      </c>
      <c r="D612">
        <v>28</v>
      </c>
      <c r="E612">
        <v>30.58</v>
      </c>
      <c r="F612">
        <v>29</v>
      </c>
      <c r="G612">
        <v>1.05448275862069</v>
      </c>
      <c r="H612">
        <v>0.06540222367560497</v>
      </c>
      <c r="I612">
        <v>-0.01055398580890576</v>
      </c>
      <c r="J612">
        <v>0.05</v>
      </c>
      <c r="K612">
        <v>0.09268633691155892</v>
      </c>
      <c r="L612" t="s">
        <v>791</v>
      </c>
      <c r="M612" t="s">
        <v>900</v>
      </c>
      <c r="N612">
        <v>11.76153846153846</v>
      </c>
      <c r="O612">
        <v>2.6</v>
      </c>
      <c r="P612">
        <v>2</v>
      </c>
      <c r="Q612">
        <v>0.7692307692307692</v>
      </c>
      <c r="R612">
        <v>1</v>
      </c>
      <c r="S612">
        <v>0.02016978262061087</v>
      </c>
      <c r="T612" t="s">
        <v>907</v>
      </c>
      <c r="U612">
        <v>-0.046912595215239</v>
      </c>
      <c r="V612" t="s">
        <v>990</v>
      </c>
      <c r="W612" t="s">
        <v>994</v>
      </c>
      <c r="X612">
        <v>3448.387063</v>
      </c>
      <c r="Y612" s="2">
        <v>45063</v>
      </c>
      <c r="Z612" t="s">
        <v>1016</v>
      </c>
    </row>
    <row r="613" spans="1:26">
      <c r="A613" s="1" t="s">
        <v>637</v>
      </c>
      <c r="B613">
        <f>HYPERLINK("https://www.suredividend.com/sure-analysis-NXRT/","NexPoint Residential Trust Inc")</f>
        <v>0</v>
      </c>
      <c r="C613" t="s">
        <v>896</v>
      </c>
      <c r="D613">
        <v>42</v>
      </c>
      <c r="E613">
        <v>42.48</v>
      </c>
      <c r="F613">
        <v>45</v>
      </c>
      <c r="G613">
        <v>0.944</v>
      </c>
      <c r="H613">
        <v>0.03954802259887006</v>
      </c>
      <c r="I613">
        <v>0.0115925007877935</v>
      </c>
      <c r="J613">
        <v>0.04</v>
      </c>
      <c r="K613">
        <v>0.09226662534415953</v>
      </c>
      <c r="L613" t="s">
        <v>791</v>
      </c>
      <c r="M613" t="s">
        <v>791</v>
      </c>
      <c r="N613">
        <v>12.17191977077364</v>
      </c>
      <c r="O613">
        <v>3.49</v>
      </c>
      <c r="P613">
        <v>1.68</v>
      </c>
      <c r="Q613">
        <v>0.481375358166189</v>
      </c>
      <c r="R613">
        <v>7</v>
      </c>
      <c r="S613">
        <v>0.1003529239440031</v>
      </c>
      <c r="T613" t="s">
        <v>916</v>
      </c>
      <c r="U613">
        <v>-0.27695093887444</v>
      </c>
      <c r="V613" t="s">
        <v>989</v>
      </c>
      <c r="W613" t="s">
        <v>1001</v>
      </c>
      <c r="X613">
        <v>1089.940073</v>
      </c>
      <c r="Y613" s="2">
        <v>45041</v>
      </c>
      <c r="Z613" t="s">
        <v>1012</v>
      </c>
    </row>
    <row r="614" spans="1:26">
      <c r="A614" s="1" t="s">
        <v>638</v>
      </c>
      <c r="B614">
        <f>HYPERLINK("https://www.suredividend.com/sure-analysis-GLW/","Corning, Inc.")</f>
        <v>0</v>
      </c>
      <c r="C614" t="s">
        <v>897</v>
      </c>
      <c r="D614">
        <v>33</v>
      </c>
      <c r="E614">
        <v>33.86</v>
      </c>
      <c r="F614">
        <v>33</v>
      </c>
      <c r="G614">
        <v>1.026060606060606</v>
      </c>
      <c r="H614">
        <v>0.03189604252805671</v>
      </c>
      <c r="I614">
        <v>-0.00513214834179021</v>
      </c>
      <c r="J614">
        <v>0.07000000000000001</v>
      </c>
      <c r="K614">
        <v>0.09202253481885481</v>
      </c>
      <c r="L614" t="s">
        <v>791</v>
      </c>
      <c r="M614" t="s">
        <v>791</v>
      </c>
      <c r="N614">
        <v>16.93</v>
      </c>
      <c r="O614">
        <v>2</v>
      </c>
      <c r="P614">
        <v>1.08</v>
      </c>
      <c r="Q614">
        <v>0.54</v>
      </c>
      <c r="R614">
        <v>12</v>
      </c>
      <c r="S614">
        <v>0.05176377560965295</v>
      </c>
      <c r="T614" t="s">
        <v>934</v>
      </c>
      <c r="U614">
        <v>0.05887614026199801</v>
      </c>
      <c r="V614" t="s">
        <v>988</v>
      </c>
      <c r="W614" t="s">
        <v>1000</v>
      </c>
      <c r="X614">
        <v>28785.418561</v>
      </c>
      <c r="Y614" s="2">
        <v>45050</v>
      </c>
      <c r="Z614" t="s">
        <v>1010</v>
      </c>
    </row>
    <row r="615" spans="1:26">
      <c r="A615" s="1" t="s">
        <v>639</v>
      </c>
      <c r="B615">
        <f>HYPERLINK("https://www.suredividend.com/sure-analysis-EGP/","Eastgroup Properties, Inc.")</f>
        <v>0</v>
      </c>
      <c r="C615" t="s">
        <v>897</v>
      </c>
      <c r="D615">
        <v>165</v>
      </c>
      <c r="E615">
        <v>165.02</v>
      </c>
      <c r="F615">
        <v>160</v>
      </c>
      <c r="G615">
        <v>1.031375</v>
      </c>
      <c r="H615">
        <v>0.03029935765361774</v>
      </c>
      <c r="I615">
        <v>-0.006159524558516316</v>
      </c>
      <c r="J615">
        <v>0.07000000000000001</v>
      </c>
      <c r="K615">
        <v>0.0918767076673439</v>
      </c>
      <c r="L615" t="s">
        <v>791</v>
      </c>
      <c r="M615" t="s">
        <v>648</v>
      </c>
      <c r="N615">
        <v>21.68462549277267</v>
      </c>
      <c r="O615">
        <v>7.61</v>
      </c>
      <c r="P615">
        <v>5</v>
      </c>
      <c r="Q615">
        <v>0.6570302233902759</v>
      </c>
      <c r="R615">
        <v>12</v>
      </c>
      <c r="S615">
        <v>0.08009875865888949</v>
      </c>
      <c r="T615" t="s">
        <v>906</v>
      </c>
      <c r="U615">
        <v>0.042137676857748</v>
      </c>
      <c r="V615" t="s">
        <v>989</v>
      </c>
      <c r="W615" t="s">
        <v>1001</v>
      </c>
      <c r="X615">
        <v>7187.338837</v>
      </c>
      <c r="Y615" s="2">
        <v>45042</v>
      </c>
      <c r="Z615" t="s">
        <v>1012</v>
      </c>
    </row>
    <row r="616" spans="1:26">
      <c r="A616" s="1" t="s">
        <v>640</v>
      </c>
      <c r="B616">
        <f>HYPERLINK("https://www.suredividend.com/sure-analysis-JWN/","Nordstrom, Inc.")</f>
        <v>0</v>
      </c>
      <c r="C616" t="s">
        <v>896</v>
      </c>
      <c r="D616">
        <v>16</v>
      </c>
      <c r="E616">
        <v>18.17</v>
      </c>
      <c r="F616">
        <v>22</v>
      </c>
      <c r="G616">
        <v>0.825909090909091</v>
      </c>
      <c r="H616">
        <v>0.04182718767198679</v>
      </c>
      <c r="I616">
        <v>0.03899522276478495</v>
      </c>
      <c r="J616">
        <v>0.02</v>
      </c>
      <c r="K616">
        <v>0.09103498009802102</v>
      </c>
      <c r="L616" t="s">
        <v>791</v>
      </c>
      <c r="M616" t="s">
        <v>589</v>
      </c>
      <c r="N616">
        <v>9.085000000000001</v>
      </c>
      <c r="O616">
        <v>2</v>
      </c>
      <c r="P616">
        <v>0.76</v>
      </c>
      <c r="Q616">
        <v>0.38</v>
      </c>
      <c r="R616">
        <v>1</v>
      </c>
      <c r="S616">
        <v>0</v>
      </c>
      <c r="T616" t="s">
        <v>914</v>
      </c>
      <c r="U616">
        <v>-0.219793290308175</v>
      </c>
      <c r="V616" t="s">
        <v>988</v>
      </c>
      <c r="W616" t="s">
        <v>995</v>
      </c>
      <c r="X616">
        <v>2934.342201</v>
      </c>
      <c r="Y616" s="2">
        <v>45079</v>
      </c>
      <c r="Z616" t="s">
        <v>1004</v>
      </c>
    </row>
    <row r="617" spans="1:26">
      <c r="A617" s="1" t="s">
        <v>641</v>
      </c>
      <c r="B617">
        <f>HYPERLINK("https://www.suredividend.com/sure-analysis-CPT/","Camden Property Trust")</f>
        <v>0</v>
      </c>
      <c r="C617" t="s">
        <v>897</v>
      </c>
      <c r="D617">
        <v>111</v>
      </c>
      <c r="E617">
        <v>105.86</v>
      </c>
      <c r="F617">
        <v>110</v>
      </c>
      <c r="G617">
        <v>0.9623636363636363</v>
      </c>
      <c r="H617">
        <v>0.03778575477045154</v>
      </c>
      <c r="I617">
        <v>0.007702089536937518</v>
      </c>
      <c r="J617">
        <v>0.05</v>
      </c>
      <c r="K617">
        <v>0.09098012015695178</v>
      </c>
      <c r="L617" t="s">
        <v>791</v>
      </c>
      <c r="M617" t="s">
        <v>791</v>
      </c>
      <c r="N617">
        <v>15.43148688046647</v>
      </c>
      <c r="O617">
        <v>6.86</v>
      </c>
      <c r="P617">
        <v>4</v>
      </c>
      <c r="Q617">
        <v>0.5830903790087463</v>
      </c>
      <c r="R617">
        <v>12</v>
      </c>
      <c r="S617">
        <v>0.05020040579475671</v>
      </c>
      <c r="T617" t="s">
        <v>906</v>
      </c>
      <c r="U617">
        <v>-0.190436350677338</v>
      </c>
      <c r="V617" t="s">
        <v>989</v>
      </c>
      <c r="W617" t="s">
        <v>1001</v>
      </c>
      <c r="X617">
        <v>11301.834953</v>
      </c>
      <c r="Y617" s="2">
        <v>45048</v>
      </c>
      <c r="Z617" t="s">
        <v>1012</v>
      </c>
    </row>
    <row r="618" spans="1:26">
      <c r="A618" s="1" t="s">
        <v>642</v>
      </c>
      <c r="B618">
        <f>HYPERLINK("https://www.suredividend.com/sure-analysis-MBGAF/","Mercedes-Benz Group AG")</f>
        <v>0</v>
      </c>
      <c r="C618" t="s">
        <v>896</v>
      </c>
      <c r="D618">
        <v>75</v>
      </c>
      <c r="E618">
        <v>78.47</v>
      </c>
      <c r="F618">
        <v>113</v>
      </c>
      <c r="G618">
        <v>0.6944247787610619</v>
      </c>
      <c r="H618">
        <v>0.07289409965591946</v>
      </c>
      <c r="I618">
        <v>0.07565984923435498</v>
      </c>
      <c r="J618">
        <v>-0.04</v>
      </c>
      <c r="K618">
        <v>0.09000233478290087</v>
      </c>
      <c r="L618" t="s">
        <v>791</v>
      </c>
      <c r="M618" t="s">
        <v>900</v>
      </c>
      <c r="N618">
        <v>5.565248226950355</v>
      </c>
      <c r="O618">
        <v>14.1</v>
      </c>
      <c r="P618">
        <v>5.72</v>
      </c>
      <c r="Q618">
        <v>0.4056737588652482</v>
      </c>
      <c r="R618">
        <v>3</v>
      </c>
      <c r="S618">
        <v>0</v>
      </c>
      <c r="T618" t="s">
        <v>948</v>
      </c>
      <c r="U618">
        <v>0.258540497193263</v>
      </c>
      <c r="V618" t="s">
        <v>988</v>
      </c>
      <c r="W618" t="s">
        <v>995</v>
      </c>
      <c r="X618">
        <v>83950.144466</v>
      </c>
      <c r="Y618" s="2">
        <v>45071</v>
      </c>
      <c r="Z618" t="s">
        <v>1008</v>
      </c>
    </row>
    <row r="619" spans="1:26">
      <c r="A619" s="1" t="s">
        <v>643</v>
      </c>
      <c r="B619">
        <f>HYPERLINK("https://www.suredividend.com/sure-analysis-CC/","Chemours Company")</f>
        <v>0</v>
      </c>
      <c r="C619" t="s">
        <v>896</v>
      </c>
      <c r="D619">
        <v>29</v>
      </c>
      <c r="E619">
        <v>33.48</v>
      </c>
      <c r="F619">
        <v>40</v>
      </c>
      <c r="G619">
        <v>0.837</v>
      </c>
      <c r="H619">
        <v>0.02986857825567503</v>
      </c>
      <c r="I619">
        <v>0.03622701025206787</v>
      </c>
      <c r="J619">
        <v>0.03</v>
      </c>
      <c r="K619">
        <v>0.08939769366637473</v>
      </c>
      <c r="L619" t="s">
        <v>791</v>
      </c>
      <c r="M619" t="s">
        <v>791</v>
      </c>
      <c r="N619">
        <v>8.307692307692307</v>
      </c>
      <c r="O619">
        <v>4.03</v>
      </c>
      <c r="P619">
        <v>1</v>
      </c>
      <c r="Q619">
        <v>0.2481389578163772</v>
      </c>
      <c r="R619">
        <v>0</v>
      </c>
      <c r="S619">
        <v>0</v>
      </c>
      <c r="T619" t="s">
        <v>931</v>
      </c>
      <c r="U619">
        <v>0.093974643837406</v>
      </c>
      <c r="V619" t="s">
        <v>988</v>
      </c>
      <c r="W619" t="s">
        <v>992</v>
      </c>
      <c r="X619">
        <v>4993.737858</v>
      </c>
      <c r="Y619" s="2">
        <v>45045</v>
      </c>
      <c r="Z619" t="s">
        <v>1003</v>
      </c>
    </row>
    <row r="620" spans="1:26">
      <c r="A620" s="1" t="s">
        <v>644</v>
      </c>
      <c r="B620">
        <f>HYPERLINK("https://www.suredividend.com/sure-analysis-WEYS/","Weyco Group, Inc")</f>
        <v>0</v>
      </c>
      <c r="C620" t="s">
        <v>897</v>
      </c>
      <c r="D620">
        <v>27</v>
      </c>
      <c r="E620">
        <v>26.45</v>
      </c>
      <c r="F620">
        <v>32</v>
      </c>
      <c r="G620">
        <v>0.8265625</v>
      </c>
      <c r="H620">
        <v>0.03780718336483932</v>
      </c>
      <c r="I620">
        <v>0.03883090277826828</v>
      </c>
      <c r="J620">
        <v>0.02</v>
      </c>
      <c r="K620">
        <v>0.08803225555549599</v>
      </c>
      <c r="L620" t="s">
        <v>791</v>
      </c>
      <c r="M620" t="s">
        <v>791</v>
      </c>
      <c r="N620">
        <v>11.5</v>
      </c>
      <c r="O620">
        <v>2.3</v>
      </c>
      <c r="P620">
        <v>1</v>
      </c>
      <c r="Q620">
        <v>0.4347826086956522</v>
      </c>
      <c r="R620">
        <v>1</v>
      </c>
      <c r="S620">
        <v>0</v>
      </c>
      <c r="T620" t="s">
        <v>946</v>
      </c>
      <c r="U620">
        <v>-0.039460209321412</v>
      </c>
      <c r="V620" t="s">
        <v>988</v>
      </c>
      <c r="W620" t="s">
        <v>995</v>
      </c>
      <c r="X620">
        <v>251.522466</v>
      </c>
      <c r="Y620" s="2">
        <v>45091</v>
      </c>
      <c r="Z620" t="s">
        <v>1016</v>
      </c>
    </row>
    <row r="621" spans="1:26">
      <c r="A621" s="1" t="s">
        <v>645</v>
      </c>
      <c r="B621">
        <f>HYPERLINK("https://www.suredividend.com/sure-analysis-VALE/","Vale S.A.")</f>
        <v>0</v>
      </c>
      <c r="C621" t="s">
        <v>897</v>
      </c>
      <c r="D621">
        <v>14</v>
      </c>
      <c r="E621">
        <v>13.7</v>
      </c>
      <c r="F621">
        <v>17</v>
      </c>
      <c r="G621">
        <v>0.8058823529411764</v>
      </c>
      <c r="H621">
        <v>0.08029197080291972</v>
      </c>
      <c r="I621">
        <v>0.04410859499401143</v>
      </c>
      <c r="J621">
        <v>-0.02</v>
      </c>
      <c r="K621">
        <v>0.08779347055773612</v>
      </c>
      <c r="L621" t="s">
        <v>791</v>
      </c>
      <c r="M621" t="s">
        <v>900</v>
      </c>
      <c r="N621">
        <v>4.724137931034483</v>
      </c>
      <c r="O621">
        <v>2.9</v>
      </c>
      <c r="P621">
        <v>1.1</v>
      </c>
      <c r="Q621">
        <v>0.3793103448275862</v>
      </c>
      <c r="R621">
        <v>0</v>
      </c>
      <c r="S621">
        <v>0</v>
      </c>
      <c r="T621" t="s">
        <v>983</v>
      </c>
      <c r="U621">
        <v>0.018329938900203</v>
      </c>
      <c r="V621" t="s">
        <v>988</v>
      </c>
      <c r="W621" t="s">
        <v>992</v>
      </c>
      <c r="X621">
        <v>62184.403682</v>
      </c>
      <c r="Y621" s="2">
        <v>45065</v>
      </c>
      <c r="Z621" t="s">
        <v>1008</v>
      </c>
    </row>
    <row r="622" spans="1:26">
      <c r="A622" s="1" t="s">
        <v>646</v>
      </c>
      <c r="B622">
        <f>HYPERLINK("https://www.suredividend.com/sure-analysis-TU/","Telus Corp.")</f>
        <v>0</v>
      </c>
      <c r="C622" t="s">
        <v>897</v>
      </c>
      <c r="D622">
        <v>20</v>
      </c>
      <c r="E622">
        <v>19.22</v>
      </c>
      <c r="F622">
        <v>16</v>
      </c>
      <c r="G622">
        <v>1.20125</v>
      </c>
      <c r="H622">
        <v>0.05463059313215402</v>
      </c>
      <c r="I622">
        <v>-0.03600824398563096</v>
      </c>
      <c r="J622">
        <v>0.08</v>
      </c>
      <c r="K622">
        <v>0.08768055580380962</v>
      </c>
      <c r="L622" t="s">
        <v>791</v>
      </c>
      <c r="M622" t="s">
        <v>589</v>
      </c>
      <c r="N622">
        <v>21.35555555555555</v>
      </c>
      <c r="O622">
        <v>0.9</v>
      </c>
      <c r="P622">
        <v>1.05</v>
      </c>
      <c r="Q622">
        <v>1.166666666666667</v>
      </c>
      <c r="R622">
        <v>14</v>
      </c>
      <c r="S622">
        <v>0.03046704262958766</v>
      </c>
      <c r="T622" t="s">
        <v>926</v>
      </c>
      <c r="U622">
        <v>-0.097258427388484</v>
      </c>
      <c r="V622" t="s">
        <v>988</v>
      </c>
      <c r="W622" t="s">
        <v>998</v>
      </c>
      <c r="X622">
        <v>27807.230937</v>
      </c>
      <c r="Y622" s="2">
        <v>45068</v>
      </c>
      <c r="Z622" t="s">
        <v>1007</v>
      </c>
    </row>
    <row r="623" spans="1:26">
      <c r="A623" s="1" t="s">
        <v>647</v>
      </c>
      <c r="B623">
        <f>HYPERLINK("https://www.suredividend.com/sure-analysis-PKG/","Packaging Corp Of America")</f>
        <v>0</v>
      </c>
      <c r="C623" t="s">
        <v>897</v>
      </c>
      <c r="D623">
        <v>134</v>
      </c>
      <c r="E623">
        <v>128.82</v>
      </c>
      <c r="F623">
        <v>134</v>
      </c>
      <c r="G623">
        <v>0.9613432835820895</v>
      </c>
      <c r="H623">
        <v>0.03881384878124515</v>
      </c>
      <c r="I623">
        <v>0.00791591021787541</v>
      </c>
      <c r="J623">
        <v>0.045</v>
      </c>
      <c r="K623">
        <v>0.08755664672642682</v>
      </c>
      <c r="L623" t="s">
        <v>791</v>
      </c>
      <c r="M623" t="s">
        <v>791</v>
      </c>
      <c r="N623">
        <v>15.42754491017964</v>
      </c>
      <c r="O623">
        <v>8.35</v>
      </c>
      <c r="P623">
        <v>5</v>
      </c>
      <c r="Q623">
        <v>0.5988023952095809</v>
      </c>
      <c r="R623">
        <v>12</v>
      </c>
      <c r="S623">
        <v>0.04995366747811136</v>
      </c>
      <c r="T623" t="s">
        <v>916</v>
      </c>
      <c r="U623">
        <v>-0.046788887639185</v>
      </c>
      <c r="V623" t="s">
        <v>988</v>
      </c>
      <c r="W623" t="s">
        <v>992</v>
      </c>
      <c r="X623">
        <v>11585.064072</v>
      </c>
      <c r="Y623" s="2">
        <v>45057</v>
      </c>
      <c r="Z623" t="s">
        <v>1010</v>
      </c>
    </row>
    <row r="624" spans="1:26">
      <c r="A624" s="1" t="s">
        <v>648</v>
      </c>
      <c r="B624">
        <f>HYPERLINK("https://www.suredividend.com/sure-analysis-F/","Ford Motor Co.")</f>
        <v>0</v>
      </c>
      <c r="C624" t="s">
        <v>896</v>
      </c>
      <c r="D624">
        <v>11.8</v>
      </c>
      <c r="E624">
        <v>14.02</v>
      </c>
      <c r="F624">
        <v>12.38</v>
      </c>
      <c r="G624">
        <v>1.132471728594507</v>
      </c>
      <c r="H624">
        <v>0.04279600570613409</v>
      </c>
      <c r="I624">
        <v>-0.02457355378106973</v>
      </c>
      <c r="J624">
        <v>0.08</v>
      </c>
      <c r="K624">
        <v>0.08611982974271659</v>
      </c>
      <c r="L624" t="s">
        <v>791</v>
      </c>
      <c r="M624" t="s">
        <v>589</v>
      </c>
      <c r="N624">
        <v>8.496969696969698</v>
      </c>
      <c r="O624">
        <v>1.65</v>
      </c>
      <c r="P624">
        <v>0.6</v>
      </c>
      <c r="Q624">
        <v>0.3636363636363636</v>
      </c>
      <c r="R624">
        <v>2</v>
      </c>
      <c r="S624">
        <v>0</v>
      </c>
      <c r="T624" t="s">
        <v>923</v>
      </c>
      <c r="U624">
        <v>0.219766834870367</v>
      </c>
      <c r="V624" t="s">
        <v>988</v>
      </c>
      <c r="W624" t="s">
        <v>995</v>
      </c>
      <c r="X624">
        <v>55097.453865</v>
      </c>
      <c r="Y624" s="2">
        <v>45049</v>
      </c>
      <c r="Z624" t="s">
        <v>1004</v>
      </c>
    </row>
    <row r="625" spans="1:26">
      <c r="A625" s="1" t="s">
        <v>649</v>
      </c>
      <c r="B625">
        <f>HYPERLINK("https://www.suredividend.com/sure-analysis-CNA/","CNA Financial Corp.")</f>
        <v>0</v>
      </c>
      <c r="C625" t="s">
        <v>897</v>
      </c>
      <c r="D625">
        <v>39</v>
      </c>
      <c r="E625">
        <v>39.14</v>
      </c>
      <c r="F625">
        <v>43</v>
      </c>
      <c r="G625">
        <v>0.9102325581395349</v>
      </c>
      <c r="H625">
        <v>0.04292284108329075</v>
      </c>
      <c r="I625">
        <v>0.01898907281671391</v>
      </c>
      <c r="J625">
        <v>0.03</v>
      </c>
      <c r="K625">
        <v>0.08569808314849903</v>
      </c>
      <c r="L625" t="s">
        <v>791</v>
      </c>
      <c r="M625" t="s">
        <v>589</v>
      </c>
      <c r="N625">
        <v>9.10232558139535</v>
      </c>
      <c r="O625">
        <v>4.3</v>
      </c>
      <c r="P625">
        <v>1.68</v>
      </c>
      <c r="Q625">
        <v>0.3906976744186046</v>
      </c>
      <c r="R625">
        <v>7</v>
      </c>
      <c r="S625">
        <v>0.03025579475561258</v>
      </c>
      <c r="T625" t="s">
        <v>931</v>
      </c>
      <c r="U625">
        <v>-0.097293494931789</v>
      </c>
      <c r="V625" t="s">
        <v>988</v>
      </c>
      <c r="W625" t="s">
        <v>994</v>
      </c>
      <c r="X625">
        <v>10601.237185</v>
      </c>
      <c r="Y625" s="2">
        <v>45048</v>
      </c>
      <c r="Z625" t="s">
        <v>1012</v>
      </c>
    </row>
    <row r="626" spans="1:26">
      <c r="A626" s="1" t="s">
        <v>650</v>
      </c>
      <c r="B626">
        <f>HYPERLINK("https://www.suredividend.com/sure-analysis-PNW/","Pinnacle West Capital Corp.")</f>
        <v>0</v>
      </c>
      <c r="C626" t="s">
        <v>897</v>
      </c>
      <c r="D626">
        <v>81</v>
      </c>
      <c r="E626">
        <v>80.81</v>
      </c>
      <c r="F626">
        <v>81</v>
      </c>
      <c r="G626">
        <v>0.9976543209876544</v>
      </c>
      <c r="H626">
        <v>0.04306397723054077</v>
      </c>
      <c r="I626">
        <v>0.0004697972055729416</v>
      </c>
      <c r="J626">
        <v>0.05</v>
      </c>
      <c r="K626">
        <v>0.08559606360056549</v>
      </c>
      <c r="L626" t="s">
        <v>791</v>
      </c>
      <c r="M626" t="s">
        <v>589</v>
      </c>
      <c r="N626">
        <v>19.95308641975309</v>
      </c>
      <c r="O626">
        <v>4.05</v>
      </c>
      <c r="P626">
        <v>3.48</v>
      </c>
      <c r="Q626">
        <v>0.8592592592592593</v>
      </c>
      <c r="R626">
        <v>11</v>
      </c>
      <c r="S626">
        <v>0.01988310171094443</v>
      </c>
      <c r="T626" t="s">
        <v>917</v>
      </c>
      <c r="U626">
        <v>0.180500774242557</v>
      </c>
      <c r="V626" t="s">
        <v>988</v>
      </c>
      <c r="W626" t="s">
        <v>999</v>
      </c>
      <c r="X626">
        <v>9152.217198</v>
      </c>
      <c r="Y626" s="2">
        <v>45062</v>
      </c>
      <c r="Z626" t="s">
        <v>1011</v>
      </c>
    </row>
    <row r="627" spans="1:26">
      <c r="A627" s="1" t="s">
        <v>651</v>
      </c>
      <c r="B627">
        <f>HYPERLINK("https://www.suredividend.com/sure-analysis-REG/","Regency Centers Corporation")</f>
        <v>0</v>
      </c>
      <c r="C627" t="s">
        <v>897</v>
      </c>
      <c r="D627">
        <v>59</v>
      </c>
      <c r="E627">
        <v>58</v>
      </c>
      <c r="F627">
        <v>60</v>
      </c>
      <c r="G627">
        <v>0.9666666666666667</v>
      </c>
      <c r="H627">
        <v>0.04482758620689655</v>
      </c>
      <c r="I627">
        <v>0.006803348678863008</v>
      </c>
      <c r="J627">
        <v>0.04</v>
      </c>
      <c r="K627">
        <v>0.08555495041093852</v>
      </c>
      <c r="L627" t="s">
        <v>791</v>
      </c>
      <c r="M627" t="s">
        <v>791</v>
      </c>
      <c r="N627">
        <v>14.11192214111922</v>
      </c>
      <c r="O627">
        <v>4.11</v>
      </c>
      <c r="P627">
        <v>2.6</v>
      </c>
      <c r="Q627">
        <v>0.6326034063260341</v>
      </c>
      <c r="R627">
        <v>10</v>
      </c>
      <c r="S627">
        <v>0.03513507885904987</v>
      </c>
      <c r="T627" t="s">
        <v>932</v>
      </c>
      <c r="U627">
        <v>0.05878989789662301</v>
      </c>
      <c r="V627" t="s">
        <v>989</v>
      </c>
      <c r="W627" t="s">
        <v>1001</v>
      </c>
      <c r="X627">
        <v>10068.951367</v>
      </c>
      <c r="Y627" s="2">
        <v>45059</v>
      </c>
      <c r="Z627" t="s">
        <v>1012</v>
      </c>
    </row>
    <row r="628" spans="1:26">
      <c r="A628" s="1" t="s">
        <v>652</v>
      </c>
      <c r="B628">
        <f>HYPERLINK("https://www.suredividend.com/sure-analysis-PCAR/","Paccar Inc.")</f>
        <v>0</v>
      </c>
      <c r="C628" t="s">
        <v>897</v>
      </c>
      <c r="D628">
        <v>75</v>
      </c>
      <c r="E628">
        <v>78.44</v>
      </c>
      <c r="F628">
        <v>110</v>
      </c>
      <c r="G628">
        <v>0.7130909090909091</v>
      </c>
      <c r="H628">
        <v>0.05099439061703213</v>
      </c>
      <c r="I628">
        <v>0.06996856859003242</v>
      </c>
      <c r="J628">
        <v>-0.02</v>
      </c>
      <c r="K628">
        <v>0.08526471495427135</v>
      </c>
      <c r="L628" t="s">
        <v>791</v>
      </c>
      <c r="M628" t="s">
        <v>589</v>
      </c>
      <c r="N628">
        <v>9.966963151207116</v>
      </c>
      <c r="O628">
        <v>7.87</v>
      </c>
      <c r="P628">
        <v>4</v>
      </c>
      <c r="Q628">
        <v>0.5082592121982211</v>
      </c>
      <c r="R628">
        <v>13</v>
      </c>
      <c r="S628">
        <v>-0.02303725846620897</v>
      </c>
      <c r="T628" t="s">
        <v>922</v>
      </c>
      <c r="U628">
        <v>0.4617719792250961</v>
      </c>
      <c r="V628" t="s">
        <v>988</v>
      </c>
      <c r="W628" t="s">
        <v>993</v>
      </c>
      <c r="X628">
        <v>40991.099584</v>
      </c>
      <c r="Y628" s="2">
        <v>45050</v>
      </c>
      <c r="Z628" t="s">
        <v>1010</v>
      </c>
    </row>
    <row r="629" spans="1:26">
      <c r="A629" s="1" t="s">
        <v>653</v>
      </c>
      <c r="B629">
        <f>HYPERLINK("https://www.suredividend.com/sure-analysis-IMBBY/","Imperial Brands Plc")</f>
        <v>0</v>
      </c>
      <c r="C629" t="s">
        <v>897</v>
      </c>
      <c r="D629">
        <v>22</v>
      </c>
      <c r="E629">
        <v>22.78</v>
      </c>
      <c r="F629">
        <v>22</v>
      </c>
      <c r="G629">
        <v>1.035454545454545</v>
      </c>
      <c r="H629">
        <v>0.07506584723441614</v>
      </c>
      <c r="I629">
        <v>-0.006943880007445502</v>
      </c>
      <c r="J629">
        <v>0.03</v>
      </c>
      <c r="K629">
        <v>0.08373464697791166</v>
      </c>
      <c r="L629" t="s">
        <v>791</v>
      </c>
      <c r="M629" t="s">
        <v>900</v>
      </c>
      <c r="N629">
        <v>6.861445783132531</v>
      </c>
      <c r="O629">
        <v>3.32</v>
      </c>
      <c r="P629">
        <v>1.71</v>
      </c>
      <c r="Q629">
        <v>0.5150602409638554</v>
      </c>
      <c r="R629">
        <v>0</v>
      </c>
      <c r="S629">
        <v>0</v>
      </c>
      <c r="T629" t="s">
        <v>946</v>
      </c>
      <c r="U629">
        <v>0.071354666365671</v>
      </c>
      <c r="V629" t="s">
        <v>988</v>
      </c>
      <c r="W629" t="s">
        <v>997</v>
      </c>
      <c r="X629">
        <v>20813.252184</v>
      </c>
      <c r="Y629" s="2">
        <v>45075</v>
      </c>
      <c r="Z629" t="s">
        <v>1003</v>
      </c>
    </row>
    <row r="630" spans="1:26">
      <c r="A630" s="1" t="s">
        <v>654</v>
      </c>
      <c r="B630">
        <f>HYPERLINK("https://www.suredividend.com/sure-analysis-BKR/","Baker Hughes Co")</f>
        <v>0</v>
      </c>
      <c r="C630" t="s">
        <v>897</v>
      </c>
      <c r="D630">
        <v>31</v>
      </c>
      <c r="E630">
        <v>29.77</v>
      </c>
      <c r="F630">
        <v>25</v>
      </c>
      <c r="G630">
        <v>1.1908</v>
      </c>
      <c r="H630">
        <v>0.02552905609674169</v>
      </c>
      <c r="I630">
        <v>-0.03432222824862952</v>
      </c>
      <c r="J630">
        <v>0.1</v>
      </c>
      <c r="K630">
        <v>0.08273977686520206</v>
      </c>
      <c r="L630" t="s">
        <v>791</v>
      </c>
      <c r="M630" t="s">
        <v>648</v>
      </c>
      <c r="N630">
        <v>19.84666666666667</v>
      </c>
      <c r="O630">
        <v>1.5</v>
      </c>
      <c r="P630">
        <v>0.76</v>
      </c>
      <c r="Q630">
        <v>0.5066666666666667</v>
      </c>
      <c r="R630">
        <v>1</v>
      </c>
      <c r="S630">
        <v>0.02021836907521135</v>
      </c>
      <c r="T630" t="s">
        <v>914</v>
      </c>
      <c r="U630">
        <v>0.08175479013521</v>
      </c>
      <c r="V630" t="s">
        <v>988</v>
      </c>
      <c r="W630" t="s">
        <v>1002</v>
      </c>
      <c r="X630">
        <v>30138.022277</v>
      </c>
      <c r="Y630" s="2">
        <v>45036</v>
      </c>
      <c r="Z630" t="s">
        <v>1007</v>
      </c>
    </row>
    <row r="631" spans="1:26">
      <c r="A631" s="1" t="s">
        <v>655</v>
      </c>
      <c r="B631">
        <f>HYPERLINK("https://www.suredividend.com/sure-analysis-GRMN/","Garmin Ltd")</f>
        <v>0</v>
      </c>
      <c r="C631" t="s">
        <v>897</v>
      </c>
      <c r="D631">
        <v>104</v>
      </c>
      <c r="E631">
        <v>101.56</v>
      </c>
      <c r="F631">
        <v>100</v>
      </c>
      <c r="G631">
        <v>1.0156</v>
      </c>
      <c r="H631">
        <v>0.02875147695943285</v>
      </c>
      <c r="I631">
        <v>-0.00309112676913903</v>
      </c>
      <c r="J631">
        <v>0.06</v>
      </c>
      <c r="K631">
        <v>0.08223197042927399</v>
      </c>
      <c r="L631" t="s">
        <v>791</v>
      </c>
      <c r="M631" t="s">
        <v>648</v>
      </c>
      <c r="N631">
        <v>19.34476190476191</v>
      </c>
      <c r="O631">
        <v>5.25</v>
      </c>
      <c r="P631">
        <v>2.92</v>
      </c>
      <c r="Q631">
        <v>0.5561904761904761</v>
      </c>
      <c r="R631">
        <v>5</v>
      </c>
      <c r="S631">
        <v>0.05018351330582038</v>
      </c>
      <c r="T631" t="s">
        <v>953</v>
      </c>
      <c r="U631">
        <v>0.04554654411658701</v>
      </c>
      <c r="V631" t="s">
        <v>988</v>
      </c>
      <c r="W631" t="s">
        <v>1000</v>
      </c>
      <c r="X631">
        <v>19427.461758</v>
      </c>
      <c r="Y631" s="2">
        <v>45055</v>
      </c>
      <c r="Z631" t="s">
        <v>1004</v>
      </c>
    </row>
    <row r="632" spans="1:26">
      <c r="A632" s="1" t="s">
        <v>656</v>
      </c>
      <c r="B632">
        <f>HYPERLINK("https://www.suredividend.com/sure-analysis-BP/","BP plc")</f>
        <v>0</v>
      </c>
      <c r="C632" t="s">
        <v>897</v>
      </c>
      <c r="D632">
        <v>36</v>
      </c>
      <c r="E632">
        <v>34.81</v>
      </c>
      <c r="F632">
        <v>72</v>
      </c>
      <c r="G632">
        <v>0.4834722222222222</v>
      </c>
      <c r="H632">
        <v>0.04567652973283539</v>
      </c>
      <c r="I632">
        <v>0.1564468956056986</v>
      </c>
      <c r="J632">
        <v>-0.1</v>
      </c>
      <c r="K632">
        <v>0.0808316783538694</v>
      </c>
      <c r="L632" t="s">
        <v>791</v>
      </c>
      <c r="M632" t="s">
        <v>589</v>
      </c>
      <c r="N632">
        <v>5.801666666666667</v>
      </c>
      <c r="O632">
        <v>6</v>
      </c>
      <c r="P632">
        <v>1.59</v>
      </c>
      <c r="Q632">
        <v>0.265</v>
      </c>
      <c r="R632">
        <v>2</v>
      </c>
      <c r="S632">
        <v>0.03517300006217261</v>
      </c>
      <c r="T632" t="s">
        <v>943</v>
      </c>
      <c r="U632">
        <v>0.324568030701111</v>
      </c>
      <c r="V632" t="s">
        <v>988</v>
      </c>
      <c r="W632" t="s">
        <v>1002</v>
      </c>
      <c r="X632">
        <v>102757.173072</v>
      </c>
      <c r="Y632" s="2">
        <v>45051</v>
      </c>
      <c r="Z632" t="s">
        <v>1007</v>
      </c>
    </row>
    <row r="633" spans="1:26">
      <c r="A633" s="1" t="s">
        <v>657</v>
      </c>
      <c r="B633">
        <f>HYPERLINK("https://www.suredividend.com/sure-analysis-RL/","Ralph Lauren Corp")</f>
        <v>0</v>
      </c>
      <c r="C633" t="s">
        <v>897</v>
      </c>
      <c r="D633">
        <v>118</v>
      </c>
      <c r="E633">
        <v>119.62</v>
      </c>
      <c r="F633">
        <v>120</v>
      </c>
      <c r="G633">
        <v>0.9968333333333333</v>
      </c>
      <c r="H633">
        <v>0.02507941815749875</v>
      </c>
      <c r="I633">
        <v>0.0006345394681721572</v>
      </c>
      <c r="J633">
        <v>0.06</v>
      </c>
      <c r="K633">
        <v>0.08058902489693853</v>
      </c>
      <c r="L633" t="s">
        <v>791</v>
      </c>
      <c r="M633" t="s">
        <v>791</v>
      </c>
      <c r="N633">
        <v>14.91521197007481</v>
      </c>
      <c r="O633">
        <v>8.02</v>
      </c>
      <c r="P633">
        <v>3</v>
      </c>
      <c r="Q633">
        <v>0.3740648379052369</v>
      </c>
      <c r="R633">
        <v>2</v>
      </c>
      <c r="S633">
        <v>0.01425445365579359</v>
      </c>
      <c r="T633" t="s">
        <v>906</v>
      </c>
      <c r="U633">
        <v>0.279957884014115</v>
      </c>
      <c r="V633" t="s">
        <v>988</v>
      </c>
      <c r="W633" t="s">
        <v>995</v>
      </c>
      <c r="X633">
        <v>8107.8436</v>
      </c>
      <c r="Y633" s="2">
        <v>45083</v>
      </c>
      <c r="Z633" t="s">
        <v>1005</v>
      </c>
    </row>
    <row r="634" spans="1:26">
      <c r="A634" s="1" t="s">
        <v>658</v>
      </c>
      <c r="B634">
        <f>HYPERLINK("https://www.suredividend.com/sure-analysis-FUN/","Cedar Fair L.P.")</f>
        <v>0</v>
      </c>
      <c r="C634" t="s">
        <v>897</v>
      </c>
      <c r="D634">
        <v>45</v>
      </c>
      <c r="E634">
        <v>39.99</v>
      </c>
      <c r="F634">
        <v>45</v>
      </c>
      <c r="G634">
        <v>0.8886666666666667</v>
      </c>
      <c r="H634">
        <v>0.03000750187546886</v>
      </c>
      <c r="I634">
        <v>0.02388745503256651</v>
      </c>
      <c r="J634">
        <v>0.03</v>
      </c>
      <c r="K634">
        <v>0.07988137327068645</v>
      </c>
      <c r="L634" t="s">
        <v>791</v>
      </c>
      <c r="M634" t="s">
        <v>791</v>
      </c>
      <c r="N634">
        <v>13.24172185430464</v>
      </c>
      <c r="O634">
        <v>3.02</v>
      </c>
      <c r="P634">
        <v>1.2</v>
      </c>
      <c r="Q634">
        <v>0.3973509933774834</v>
      </c>
      <c r="R634">
        <v>0</v>
      </c>
      <c r="S634">
        <v>0.02983277847878951</v>
      </c>
      <c r="T634" t="s">
        <v>920</v>
      </c>
      <c r="U634">
        <v>-0.03954001676421701</v>
      </c>
      <c r="V634" t="s">
        <v>988</v>
      </c>
      <c r="W634" t="s">
        <v>995</v>
      </c>
      <c r="X634">
        <v>2052.593443</v>
      </c>
      <c r="Y634" s="2">
        <v>45080</v>
      </c>
      <c r="Z634" t="s">
        <v>1003</v>
      </c>
    </row>
    <row r="635" spans="1:26">
      <c r="A635" s="1" t="s">
        <v>659</v>
      </c>
      <c r="B635">
        <f>HYPERLINK("https://www.suredividend.com/sure-analysis-SLB/","SLB")</f>
        <v>0</v>
      </c>
      <c r="C635" t="s">
        <v>897</v>
      </c>
      <c r="D635">
        <v>50</v>
      </c>
      <c r="E635">
        <v>46.59</v>
      </c>
      <c r="F635">
        <v>42</v>
      </c>
      <c r="G635">
        <v>1.109285714285714</v>
      </c>
      <c r="H635">
        <v>0.0214638334406525</v>
      </c>
      <c r="I635">
        <v>-0.02052959995608328</v>
      </c>
      <c r="J635">
        <v>0.08</v>
      </c>
      <c r="K635">
        <v>0.07982139102024743</v>
      </c>
      <c r="L635" t="s">
        <v>791</v>
      </c>
      <c r="M635" t="s">
        <v>648</v>
      </c>
      <c r="N635">
        <v>15.53</v>
      </c>
      <c r="O635">
        <v>3</v>
      </c>
      <c r="P635">
        <v>1</v>
      </c>
      <c r="Q635">
        <v>0.3333333333333333</v>
      </c>
      <c r="R635">
        <v>2</v>
      </c>
      <c r="S635">
        <v>0.09856054330611785</v>
      </c>
      <c r="T635" t="s">
        <v>920</v>
      </c>
      <c r="U635">
        <v>0.346998959176593</v>
      </c>
      <c r="V635" t="s">
        <v>988</v>
      </c>
      <c r="W635" t="s">
        <v>1002</v>
      </c>
      <c r="X635">
        <v>66166.581842</v>
      </c>
      <c r="Y635" s="2">
        <v>45042</v>
      </c>
      <c r="Z635" t="s">
        <v>1007</v>
      </c>
    </row>
    <row r="636" spans="1:26">
      <c r="A636" s="1" t="s">
        <v>660</v>
      </c>
      <c r="B636">
        <f>HYPERLINK("https://www.suredividend.com/sure-analysis-BMWYY/","Bayerische Motoren Werke AG")</f>
        <v>0</v>
      </c>
      <c r="C636" t="s">
        <v>897</v>
      </c>
      <c r="D636">
        <v>37</v>
      </c>
      <c r="E636">
        <v>39.45</v>
      </c>
      <c r="F636">
        <v>61</v>
      </c>
      <c r="G636">
        <v>0.6467213114754099</v>
      </c>
      <c r="H636">
        <v>0.07807351077313054</v>
      </c>
      <c r="I636">
        <v>0.09107992579666613</v>
      </c>
      <c r="J636">
        <v>-0.05</v>
      </c>
      <c r="K636">
        <v>0.07969846987429663</v>
      </c>
      <c r="L636" t="s">
        <v>791</v>
      </c>
      <c r="M636" t="s">
        <v>900</v>
      </c>
      <c r="N636">
        <v>5.331081081081082</v>
      </c>
      <c r="O636">
        <v>7.4</v>
      </c>
      <c r="P636">
        <v>3.08</v>
      </c>
      <c r="Q636">
        <v>0.4162162162162162</v>
      </c>
      <c r="R636">
        <v>2</v>
      </c>
      <c r="S636">
        <v>-0.1195040198145056</v>
      </c>
      <c r="T636" t="s">
        <v>931</v>
      </c>
      <c r="U636">
        <v>0.4775280898876401</v>
      </c>
      <c r="V636" t="s">
        <v>988</v>
      </c>
      <c r="W636" t="s">
        <v>995</v>
      </c>
      <c r="X636">
        <v>71246.13144700001</v>
      </c>
      <c r="Y636" s="2">
        <v>45068</v>
      </c>
      <c r="Z636" t="s">
        <v>1007</v>
      </c>
    </row>
    <row r="637" spans="1:26">
      <c r="A637" s="1" t="s">
        <v>661</v>
      </c>
      <c r="B637">
        <f>HYPERLINK("https://www.suredividend.com/sure-analysis-ROST/","Ross Stores, Inc.")</f>
        <v>0</v>
      </c>
      <c r="C637" t="s">
        <v>897</v>
      </c>
      <c r="D637">
        <v>105</v>
      </c>
      <c r="E637">
        <v>108.66</v>
      </c>
      <c r="F637">
        <v>93</v>
      </c>
      <c r="G637">
        <v>1.168387096774194</v>
      </c>
      <c r="H637">
        <v>0.01233204491073072</v>
      </c>
      <c r="I637">
        <v>-0.03064545800019136</v>
      </c>
      <c r="J637">
        <v>0.1</v>
      </c>
      <c r="K637">
        <v>0.07966776383307561</v>
      </c>
      <c r="L637" t="s">
        <v>791</v>
      </c>
      <c r="M637" t="s">
        <v>648</v>
      </c>
      <c r="N637">
        <v>21.95151515151515</v>
      </c>
      <c r="O637">
        <v>4.95</v>
      </c>
      <c r="P637">
        <v>1.34</v>
      </c>
      <c r="Q637">
        <v>0.2707070707070707</v>
      </c>
      <c r="R637">
        <v>3</v>
      </c>
      <c r="S637">
        <v>0.1236247289443668</v>
      </c>
      <c r="T637" t="s">
        <v>967</v>
      </c>
      <c r="U637">
        <v>0.414670600212994</v>
      </c>
      <c r="V637" t="s">
        <v>988</v>
      </c>
      <c r="W637" t="s">
        <v>995</v>
      </c>
      <c r="X637">
        <v>37167.344785</v>
      </c>
      <c r="Y637" s="2">
        <v>45068</v>
      </c>
      <c r="Z637" t="s">
        <v>1007</v>
      </c>
    </row>
    <row r="638" spans="1:26">
      <c r="A638" s="1" t="s">
        <v>662</v>
      </c>
      <c r="B638">
        <f>HYPERLINK("https://www.suredividend.com/sure-analysis-RPT/","RPT Realty")</f>
        <v>0</v>
      </c>
      <c r="C638" t="s">
        <v>896</v>
      </c>
      <c r="D638">
        <v>10.4</v>
      </c>
      <c r="E638">
        <v>9.48</v>
      </c>
      <c r="F638">
        <v>9.140000000000001</v>
      </c>
      <c r="G638">
        <v>1.037199124726477</v>
      </c>
      <c r="H638">
        <v>0.05907172995780591</v>
      </c>
      <c r="I638">
        <v>-0.007278171055065452</v>
      </c>
      <c r="J638">
        <v>0.025</v>
      </c>
      <c r="K638">
        <v>0.07925896556308998</v>
      </c>
      <c r="L638" t="s">
        <v>791</v>
      </c>
      <c r="M638" t="s">
        <v>589</v>
      </c>
      <c r="N638">
        <v>9.575757575757576</v>
      </c>
      <c r="O638">
        <v>0.99</v>
      </c>
      <c r="P638">
        <v>0.5600000000000001</v>
      </c>
      <c r="Q638">
        <v>0.5656565656565657</v>
      </c>
      <c r="R638">
        <v>3</v>
      </c>
      <c r="S638">
        <v>0.07925772298130362</v>
      </c>
      <c r="T638" t="s">
        <v>953</v>
      </c>
      <c r="U638">
        <v>-0.028270362246048</v>
      </c>
      <c r="V638" t="s">
        <v>989</v>
      </c>
      <c r="W638" t="s">
        <v>1001</v>
      </c>
      <c r="X638">
        <v>821.781384</v>
      </c>
      <c r="Y638" s="2">
        <v>45058</v>
      </c>
      <c r="Z638" t="s">
        <v>1012</v>
      </c>
    </row>
    <row r="639" spans="1:26">
      <c r="A639" s="1" t="s">
        <v>663</v>
      </c>
      <c r="B639">
        <f>HYPERLINK("https://www.suredividend.com/sure-analysis-AMH/","American Homes 4 Rent")</f>
        <v>0</v>
      </c>
      <c r="C639" t="s">
        <v>897</v>
      </c>
      <c r="D639">
        <v>34</v>
      </c>
      <c r="E639">
        <v>33.72</v>
      </c>
      <c r="F639">
        <v>34</v>
      </c>
      <c r="G639">
        <v>0.9917647058823529</v>
      </c>
      <c r="H639">
        <v>0.02609727164887308</v>
      </c>
      <c r="I639">
        <v>0.001655246707502167</v>
      </c>
      <c r="J639">
        <v>0.05</v>
      </c>
      <c r="K639">
        <v>0.07897303710094672</v>
      </c>
      <c r="L639" t="s">
        <v>791</v>
      </c>
      <c r="M639" t="s">
        <v>648</v>
      </c>
      <c r="N639">
        <v>20.94409937888199</v>
      </c>
      <c r="O639">
        <v>1.61</v>
      </c>
      <c r="P639">
        <v>0.88</v>
      </c>
      <c r="Q639">
        <v>0.5465838509316769</v>
      </c>
      <c r="R639">
        <v>3</v>
      </c>
      <c r="S639">
        <v>0.1004267384562354</v>
      </c>
      <c r="T639" t="s">
        <v>916</v>
      </c>
      <c r="U639">
        <v>-0.019485258839026</v>
      </c>
      <c r="V639" t="s">
        <v>989</v>
      </c>
      <c r="W639" t="s">
        <v>1001</v>
      </c>
      <c r="X639">
        <v>12176.292</v>
      </c>
      <c r="Y639" s="2">
        <v>45069</v>
      </c>
      <c r="Z639" t="s">
        <v>1003</v>
      </c>
    </row>
    <row r="640" spans="1:26">
      <c r="A640" s="1" t="s">
        <v>664</v>
      </c>
      <c r="B640">
        <f>HYPERLINK("https://www.suredividend.com/sure-analysis-PFE/","Pfizer Inc.")</f>
        <v>0</v>
      </c>
      <c r="C640" t="s">
        <v>897</v>
      </c>
      <c r="D640">
        <v>38</v>
      </c>
      <c r="E640">
        <v>38.3</v>
      </c>
      <c r="F640">
        <v>37</v>
      </c>
      <c r="G640">
        <v>1.035135135135135</v>
      </c>
      <c r="H640">
        <v>0.04281984334203656</v>
      </c>
      <c r="I640">
        <v>-0.006882602359976286</v>
      </c>
      <c r="J640">
        <v>0.05</v>
      </c>
      <c r="K640">
        <v>0.07763150667656404</v>
      </c>
      <c r="L640" t="s">
        <v>791</v>
      </c>
      <c r="M640" t="s">
        <v>589</v>
      </c>
      <c r="N640">
        <v>11.43283582089552</v>
      </c>
      <c r="O640">
        <v>3.35</v>
      </c>
      <c r="P640">
        <v>1.64</v>
      </c>
      <c r="Q640">
        <v>0.4895522388059701</v>
      </c>
      <c r="R640">
        <v>14</v>
      </c>
      <c r="S640">
        <v>0.009571122817161548</v>
      </c>
      <c r="T640" t="s">
        <v>943</v>
      </c>
      <c r="U640">
        <v>-0.230268340916764</v>
      </c>
      <c r="V640" t="s">
        <v>988</v>
      </c>
      <c r="W640" t="s">
        <v>996</v>
      </c>
      <c r="X640">
        <v>216215.258866</v>
      </c>
      <c r="Y640" s="2">
        <v>45055</v>
      </c>
      <c r="Z640" t="s">
        <v>1016</v>
      </c>
    </row>
    <row r="641" spans="1:26">
      <c r="A641" s="1" t="s">
        <v>665</v>
      </c>
      <c r="B641">
        <f>HYPERLINK("https://www.suredividend.com/sure-analysis-SUUIF/","Superior Plus Corp")</f>
        <v>0</v>
      </c>
      <c r="C641" t="s">
        <v>897</v>
      </c>
      <c r="D641">
        <v>7.63</v>
      </c>
      <c r="E641">
        <v>7</v>
      </c>
      <c r="F641">
        <v>7.5</v>
      </c>
      <c r="G641">
        <v>0.9333333333333333</v>
      </c>
      <c r="H641">
        <v>0.07571428571428572</v>
      </c>
      <c r="I641">
        <v>0.01389421401466451</v>
      </c>
      <c r="J641">
        <v>0</v>
      </c>
      <c r="K641">
        <v>0.07714358779274311</v>
      </c>
      <c r="L641" t="s">
        <v>791</v>
      </c>
      <c r="M641" t="s">
        <v>900</v>
      </c>
      <c r="N641">
        <v>7</v>
      </c>
      <c r="O641">
        <v>1</v>
      </c>
      <c r="P641">
        <v>0.53</v>
      </c>
      <c r="Q641">
        <v>0.53</v>
      </c>
      <c r="R641">
        <v>0</v>
      </c>
      <c r="S641">
        <v>0</v>
      </c>
      <c r="T641" t="s">
        <v>906</v>
      </c>
      <c r="U641">
        <v>-0.21259842519685</v>
      </c>
      <c r="V641" t="s">
        <v>988</v>
      </c>
      <c r="W641" t="s">
        <v>999</v>
      </c>
      <c r="X641">
        <v>1745.077299</v>
      </c>
      <c r="Y641" s="2">
        <v>45061</v>
      </c>
      <c r="Z641" t="s">
        <v>1012</v>
      </c>
    </row>
    <row r="642" spans="1:26">
      <c r="A642" s="1" t="s">
        <v>666</v>
      </c>
      <c r="B642">
        <f>HYPERLINK("https://www.suredividend.com/sure-analysis-IVZ/","Invesco Ltd")</f>
        <v>0</v>
      </c>
      <c r="C642" t="s">
        <v>897</v>
      </c>
      <c r="D642">
        <v>15</v>
      </c>
      <c r="E642">
        <v>16.01</v>
      </c>
      <c r="F642">
        <v>17</v>
      </c>
      <c r="G642">
        <v>0.9417647058823531</v>
      </c>
      <c r="H642">
        <v>0.04996876951905059</v>
      </c>
      <c r="I642">
        <v>0.01207225183386607</v>
      </c>
      <c r="J642">
        <v>0.02</v>
      </c>
      <c r="K642">
        <v>0.07602029458433202</v>
      </c>
      <c r="L642" t="s">
        <v>791</v>
      </c>
      <c r="M642" t="s">
        <v>589</v>
      </c>
      <c r="N642">
        <v>9.41764705882353</v>
      </c>
      <c r="O642">
        <v>1.7</v>
      </c>
      <c r="P642">
        <v>0.8</v>
      </c>
      <c r="Q642">
        <v>0.4705882352941177</v>
      </c>
      <c r="R642">
        <v>2</v>
      </c>
      <c r="S642">
        <v>0.02610140214872025</v>
      </c>
      <c r="T642" t="s">
        <v>955</v>
      </c>
      <c r="U642">
        <v>-0.025046738077983</v>
      </c>
      <c r="V642" t="s">
        <v>988</v>
      </c>
      <c r="W642" t="s">
        <v>994</v>
      </c>
      <c r="X642">
        <v>7335.283849</v>
      </c>
      <c r="Y642" s="2">
        <v>45064</v>
      </c>
      <c r="Z642" t="s">
        <v>1008</v>
      </c>
    </row>
    <row r="643" spans="1:26">
      <c r="A643" s="1" t="s">
        <v>667</v>
      </c>
      <c r="B643">
        <f>HYPERLINK("https://www.suredividend.com/sure-analysis-WY/","Weyerhaeuser Co.")</f>
        <v>0</v>
      </c>
      <c r="C643" t="s">
        <v>897</v>
      </c>
      <c r="D643">
        <v>29.8</v>
      </c>
      <c r="E643">
        <v>30.41</v>
      </c>
      <c r="F643">
        <v>27.5</v>
      </c>
      <c r="G643">
        <v>1.105818181818182</v>
      </c>
      <c r="H643">
        <v>0.02499177902005919</v>
      </c>
      <c r="I643">
        <v>-0.01991610065294069</v>
      </c>
      <c r="J643">
        <v>0.068</v>
      </c>
      <c r="K643">
        <v>0.0759601621970134</v>
      </c>
      <c r="L643" t="s">
        <v>791</v>
      </c>
      <c r="M643" t="s">
        <v>648</v>
      </c>
      <c r="N643">
        <v>18.7716049382716</v>
      </c>
      <c r="O643">
        <v>1.62</v>
      </c>
      <c r="P643">
        <v>0.76</v>
      </c>
      <c r="Q643">
        <v>0.4691358024691358</v>
      </c>
      <c r="R643">
        <v>1</v>
      </c>
      <c r="S643">
        <v>0.1347612291333644</v>
      </c>
      <c r="T643" t="s">
        <v>930</v>
      </c>
      <c r="U643">
        <v>-0.068640662517763</v>
      </c>
      <c r="V643" t="s">
        <v>989</v>
      </c>
      <c r="W643" t="s">
        <v>1001</v>
      </c>
      <c r="X643">
        <v>22269.12136</v>
      </c>
      <c r="Y643" s="2">
        <v>45063</v>
      </c>
      <c r="Z643" t="s">
        <v>1013</v>
      </c>
    </row>
    <row r="644" spans="1:26">
      <c r="A644" s="1" t="s">
        <v>668</v>
      </c>
      <c r="B644">
        <f>HYPERLINK("https://www.suredividend.com/sure-analysis-PPRQF/","Choice Properties Real Estate Investment Trust")</f>
        <v>0</v>
      </c>
      <c r="C644" t="s">
        <v>897</v>
      </c>
      <c r="D644">
        <v>10.6</v>
      </c>
      <c r="E644">
        <v>10.05</v>
      </c>
      <c r="F644">
        <v>9.800000000000001</v>
      </c>
      <c r="G644">
        <v>1.025510204081633</v>
      </c>
      <c r="H644">
        <v>0.05472636815920398</v>
      </c>
      <c r="I644">
        <v>-0.005025380078758412</v>
      </c>
      <c r="J644">
        <v>0.033</v>
      </c>
      <c r="K644">
        <v>0.07496255874268165</v>
      </c>
      <c r="L644" t="s">
        <v>791</v>
      </c>
      <c r="M644" t="s">
        <v>589</v>
      </c>
      <c r="N644">
        <v>10.25510204081633</v>
      </c>
      <c r="O644">
        <v>0.98</v>
      </c>
      <c r="P644">
        <v>0.55</v>
      </c>
      <c r="Q644">
        <v>0.5612244897959184</v>
      </c>
      <c r="R644">
        <v>2</v>
      </c>
      <c r="S644">
        <v>0.01755457717558762</v>
      </c>
      <c r="T644" t="s">
        <v>934</v>
      </c>
      <c r="U644">
        <v>-0.04739336492891</v>
      </c>
      <c r="V644" t="s">
        <v>989</v>
      </c>
      <c r="W644" t="s">
        <v>1001</v>
      </c>
      <c r="X644">
        <v>3294.992719</v>
      </c>
      <c r="Y644" s="2">
        <v>45059</v>
      </c>
      <c r="Z644" t="s">
        <v>1013</v>
      </c>
    </row>
    <row r="645" spans="1:26">
      <c r="A645" s="1" t="s">
        <v>669</v>
      </c>
      <c r="B645">
        <f>HYPERLINK("https://www.suredividend.com/sure-analysis-JCI/","Johnson Controls International plc")</f>
        <v>0</v>
      </c>
      <c r="C645" t="s">
        <v>897</v>
      </c>
      <c r="D645">
        <v>62</v>
      </c>
      <c r="E645">
        <v>64.98999999999999</v>
      </c>
      <c r="F645">
        <v>60</v>
      </c>
      <c r="G645">
        <v>1.083166666666667</v>
      </c>
      <c r="H645">
        <v>0.02277273426681028</v>
      </c>
      <c r="I645">
        <v>-0.01585080248905635</v>
      </c>
      <c r="J645">
        <v>0.07000000000000001</v>
      </c>
      <c r="K645">
        <v>0.07396988431435592</v>
      </c>
      <c r="L645" t="s">
        <v>791</v>
      </c>
      <c r="M645" t="s">
        <v>648</v>
      </c>
      <c r="N645">
        <v>18.30704225352113</v>
      </c>
      <c r="O645">
        <v>3.55</v>
      </c>
      <c r="P645">
        <v>1.48</v>
      </c>
      <c r="Q645">
        <v>0.4169014084507042</v>
      </c>
      <c r="R645">
        <v>4</v>
      </c>
      <c r="S645">
        <v>0.05453043551466075</v>
      </c>
      <c r="T645" t="s">
        <v>953</v>
      </c>
      <c r="U645">
        <v>0.359922158633172</v>
      </c>
      <c r="V645" t="s">
        <v>988</v>
      </c>
      <c r="W645" t="s">
        <v>993</v>
      </c>
      <c r="X645">
        <v>44589.562897</v>
      </c>
      <c r="Y645" s="2">
        <v>45057</v>
      </c>
      <c r="Z645" t="s">
        <v>1010</v>
      </c>
    </row>
    <row r="646" spans="1:26">
      <c r="A646" s="1" t="s">
        <v>670</v>
      </c>
      <c r="B646">
        <f>HYPERLINK("https://www.suredividend.com/sure-analysis-ING/","ING Groep N.V.")</f>
        <v>0</v>
      </c>
      <c r="C646" t="s">
        <v>898</v>
      </c>
      <c r="D646">
        <v>12.89</v>
      </c>
      <c r="E646">
        <v>12.64</v>
      </c>
      <c r="F646">
        <v>13.5</v>
      </c>
      <c r="G646">
        <v>0.9362962962962963</v>
      </c>
      <c r="H646">
        <v>0.05933544303797468</v>
      </c>
      <c r="I646">
        <v>0.01325169498512113</v>
      </c>
      <c r="J646">
        <v>0.01</v>
      </c>
      <c r="K646">
        <v>0.07394879218414618</v>
      </c>
      <c r="L646" t="s">
        <v>791</v>
      </c>
      <c r="M646" t="s">
        <v>589</v>
      </c>
      <c r="N646">
        <v>8.426666666666668</v>
      </c>
      <c r="O646">
        <v>1.5</v>
      </c>
      <c r="P646">
        <v>0.75</v>
      </c>
      <c r="Q646">
        <v>0.5</v>
      </c>
      <c r="R646">
        <v>0</v>
      </c>
      <c r="S646">
        <v>0.01044613160468888</v>
      </c>
      <c r="T646" t="s">
        <v>968</v>
      </c>
      <c r="U646">
        <v>0.292539267015707</v>
      </c>
      <c r="V646" t="s">
        <v>988</v>
      </c>
      <c r="W646" t="s">
        <v>994</v>
      </c>
      <c r="X646">
        <v>45750.631301</v>
      </c>
      <c r="Y646" s="2">
        <v>45063</v>
      </c>
      <c r="Z646" t="s">
        <v>1012</v>
      </c>
    </row>
    <row r="647" spans="1:26">
      <c r="A647" s="1" t="s">
        <v>671</v>
      </c>
      <c r="B647">
        <f>HYPERLINK("https://www.suredividend.com/sure-analysis-ELS/","Equity Lifestyle Properties Inc.")</f>
        <v>0</v>
      </c>
      <c r="C647" t="s">
        <v>897</v>
      </c>
      <c r="D647">
        <v>68</v>
      </c>
      <c r="E647">
        <v>65.27</v>
      </c>
      <c r="F647">
        <v>60</v>
      </c>
      <c r="G647">
        <v>1.087833333333333</v>
      </c>
      <c r="H647">
        <v>0.02742454420101119</v>
      </c>
      <c r="I647">
        <v>-0.01669663011595812</v>
      </c>
      <c r="J647">
        <v>0.065</v>
      </c>
      <c r="K647">
        <v>0.07350202167825093</v>
      </c>
      <c r="L647" t="s">
        <v>791</v>
      </c>
      <c r="M647" t="s">
        <v>791</v>
      </c>
      <c r="N647">
        <v>22.90175438596491</v>
      </c>
      <c r="O647">
        <v>2.85</v>
      </c>
      <c r="P647">
        <v>1.79</v>
      </c>
      <c r="Q647">
        <v>0.6280701754385964</v>
      </c>
      <c r="R647">
        <v>19</v>
      </c>
      <c r="S647">
        <v>0.06478668246147556</v>
      </c>
      <c r="T647" t="s">
        <v>906</v>
      </c>
      <c r="U647">
        <v>-0.093746615608052</v>
      </c>
      <c r="V647" t="s">
        <v>989</v>
      </c>
      <c r="W647" t="s">
        <v>1001</v>
      </c>
      <c r="X647">
        <v>12153.904312</v>
      </c>
      <c r="Y647" s="2">
        <v>45043</v>
      </c>
      <c r="Z647" t="s">
        <v>1011</v>
      </c>
    </row>
    <row r="648" spans="1:26">
      <c r="A648" s="1" t="s">
        <v>672</v>
      </c>
      <c r="B648">
        <f>HYPERLINK("https://www.suredividend.com/sure-analysis-HEP/","Holly Energy Partners L.P.")</f>
        <v>0</v>
      </c>
      <c r="C648" t="s">
        <v>897</v>
      </c>
      <c r="D648">
        <v>17</v>
      </c>
      <c r="E648">
        <v>17.35</v>
      </c>
      <c r="F648">
        <v>16</v>
      </c>
      <c r="G648">
        <v>1.084375</v>
      </c>
      <c r="H648">
        <v>0.08069164265129682</v>
      </c>
      <c r="I648">
        <v>-0.01607023039594846</v>
      </c>
      <c r="J648">
        <v>0.02</v>
      </c>
      <c r="K648">
        <v>0.07289534106368611</v>
      </c>
      <c r="L648" t="s">
        <v>791</v>
      </c>
      <c r="M648" t="s">
        <v>900</v>
      </c>
      <c r="N648">
        <v>6.547169811320756</v>
      </c>
      <c r="O648">
        <v>2.65</v>
      </c>
      <c r="P648">
        <v>1.4</v>
      </c>
      <c r="Q648">
        <v>0.5283018867924528</v>
      </c>
      <c r="R648">
        <v>0</v>
      </c>
      <c r="S648">
        <v>0</v>
      </c>
      <c r="T648" t="s">
        <v>917</v>
      </c>
      <c r="U648">
        <v>0.170920674342327</v>
      </c>
      <c r="V648" t="s">
        <v>990</v>
      </c>
      <c r="W648" t="s">
        <v>1002</v>
      </c>
      <c r="X648">
        <v>2193.737487</v>
      </c>
      <c r="Y648" s="2">
        <v>45058</v>
      </c>
      <c r="Z648" t="s">
        <v>1007</v>
      </c>
    </row>
    <row r="649" spans="1:26">
      <c r="A649" s="1" t="s">
        <v>673</v>
      </c>
      <c r="B649">
        <f>HYPERLINK("https://www.suredividend.com/sure-analysis-APO/","Apollo Global Management Inc")</f>
        <v>0</v>
      </c>
      <c r="C649" t="s">
        <v>896</v>
      </c>
      <c r="D649">
        <v>63</v>
      </c>
      <c r="E649">
        <v>73</v>
      </c>
      <c r="F649">
        <v>66</v>
      </c>
      <c r="G649">
        <v>1.106060606060606</v>
      </c>
      <c r="H649">
        <v>0.02356164383561644</v>
      </c>
      <c r="I649">
        <v>-0.01995906700190775</v>
      </c>
      <c r="J649">
        <v>0.07000000000000001</v>
      </c>
      <c r="K649">
        <v>0.07036537551837552</v>
      </c>
      <c r="L649" t="s">
        <v>791</v>
      </c>
      <c r="M649" t="s">
        <v>791</v>
      </c>
      <c r="N649">
        <v>11.06060606060606</v>
      </c>
      <c r="O649">
        <v>6.6</v>
      </c>
      <c r="P649">
        <v>1.72</v>
      </c>
      <c r="Q649">
        <v>0.2606060606060606</v>
      </c>
      <c r="R649">
        <v>1</v>
      </c>
      <c r="S649">
        <v>0.05045837224621441</v>
      </c>
      <c r="T649" t="s">
        <v>929</v>
      </c>
      <c r="U649">
        <v>0.439612211855699</v>
      </c>
      <c r="V649" t="s">
        <v>988</v>
      </c>
      <c r="W649" t="s">
        <v>994</v>
      </c>
      <c r="X649">
        <v>41420.47448</v>
      </c>
      <c r="Y649" s="2">
        <v>45061</v>
      </c>
      <c r="Z649" t="s">
        <v>1004</v>
      </c>
    </row>
    <row r="650" spans="1:26">
      <c r="A650" s="1" t="s">
        <v>674</v>
      </c>
      <c r="B650">
        <f>HYPERLINK("https://www.suredividend.com/sure-analysis-TJX/","TJX Companies, Inc.")</f>
        <v>0</v>
      </c>
      <c r="C650" t="s">
        <v>897</v>
      </c>
      <c r="D650">
        <v>79</v>
      </c>
      <c r="E650">
        <v>82.06</v>
      </c>
      <c r="F650">
        <v>69</v>
      </c>
      <c r="G650">
        <v>1.189275362318841</v>
      </c>
      <c r="H650">
        <v>0.01620765293687546</v>
      </c>
      <c r="I650">
        <v>-0.03407475750262712</v>
      </c>
      <c r="J650">
        <v>0.09</v>
      </c>
      <c r="K650">
        <v>0.06954863925664534</v>
      </c>
      <c r="L650" t="s">
        <v>791</v>
      </c>
      <c r="M650" t="s">
        <v>648</v>
      </c>
      <c r="N650">
        <v>23.8546511627907</v>
      </c>
      <c r="O650">
        <v>3.44</v>
      </c>
      <c r="P650">
        <v>1.33</v>
      </c>
      <c r="Q650">
        <v>0.3866279069767442</v>
      </c>
      <c r="R650">
        <v>2</v>
      </c>
      <c r="S650">
        <v>0.09038644508539351</v>
      </c>
      <c r="T650" t="s">
        <v>910</v>
      </c>
      <c r="U650">
        <v>0.385285185416522</v>
      </c>
      <c r="V650" t="s">
        <v>988</v>
      </c>
      <c r="W650" t="s">
        <v>995</v>
      </c>
      <c r="X650">
        <v>94306.508602</v>
      </c>
      <c r="Y650" s="2">
        <v>45069</v>
      </c>
      <c r="Z650" t="s">
        <v>1018</v>
      </c>
    </row>
    <row r="651" spans="1:26">
      <c r="A651" s="1" t="s">
        <v>675</v>
      </c>
      <c r="B651">
        <f>HYPERLINK("https://www.suredividend.com/sure-analysis-CME/","CME Group Inc")</f>
        <v>0</v>
      </c>
      <c r="C651" t="s">
        <v>897</v>
      </c>
      <c r="D651">
        <v>183.5</v>
      </c>
      <c r="E651">
        <v>181.67</v>
      </c>
      <c r="F651">
        <v>170.8</v>
      </c>
      <c r="G651">
        <v>1.06364168618267</v>
      </c>
      <c r="H651">
        <v>0.0242197390873562</v>
      </c>
      <c r="I651">
        <v>-0.01226389253552551</v>
      </c>
      <c r="J651">
        <v>0.052</v>
      </c>
      <c r="K651">
        <v>0.06922972058193611</v>
      </c>
      <c r="L651" t="s">
        <v>791</v>
      </c>
      <c r="M651" t="s">
        <v>791</v>
      </c>
      <c r="N651">
        <v>21.2728337236534</v>
      </c>
      <c r="O651">
        <v>8.539999999999999</v>
      </c>
      <c r="P651">
        <v>4.4</v>
      </c>
      <c r="Q651">
        <v>0.5152224824355973</v>
      </c>
      <c r="R651">
        <v>18</v>
      </c>
      <c r="S651">
        <v>0.1468650377418641</v>
      </c>
      <c r="T651" t="s">
        <v>926</v>
      </c>
      <c r="U651">
        <v>-0.085838676466296</v>
      </c>
      <c r="V651" t="s">
        <v>988</v>
      </c>
      <c r="W651" t="s">
        <v>994</v>
      </c>
      <c r="X651">
        <v>65349.33594</v>
      </c>
      <c r="Y651" s="2">
        <v>45062</v>
      </c>
      <c r="Z651" t="s">
        <v>1013</v>
      </c>
    </row>
    <row r="652" spans="1:26">
      <c r="A652" s="1" t="s">
        <v>676</v>
      </c>
      <c r="B652">
        <f>HYPERLINK("https://www.suredividend.com/sure-analysis-EXPO/","Exponent Inc.")</f>
        <v>0</v>
      </c>
      <c r="C652" t="s">
        <v>897</v>
      </c>
      <c r="D652">
        <v>92</v>
      </c>
      <c r="E652">
        <v>94.16</v>
      </c>
      <c r="F652">
        <v>85</v>
      </c>
      <c r="G652">
        <v>1.107764705882353</v>
      </c>
      <c r="H652">
        <v>0.01104502973661852</v>
      </c>
      <c r="I652">
        <v>-0.02026077659303027</v>
      </c>
      <c r="J652">
        <v>0.08</v>
      </c>
      <c r="K652">
        <v>0.06906361352079404</v>
      </c>
      <c r="L652" t="s">
        <v>791</v>
      </c>
      <c r="M652" t="s">
        <v>648</v>
      </c>
      <c r="N652">
        <v>42.03571428571428</v>
      </c>
      <c r="O652">
        <v>2.24</v>
      </c>
      <c r="P652">
        <v>1.04</v>
      </c>
      <c r="Q652">
        <v>0.4642857142857142</v>
      </c>
      <c r="R652">
        <v>10</v>
      </c>
      <c r="S652">
        <v>0.08026826569151013</v>
      </c>
      <c r="T652" t="s">
        <v>926</v>
      </c>
      <c r="U652">
        <v>0.038480923868628</v>
      </c>
      <c r="V652" t="s">
        <v>988</v>
      </c>
      <c r="W652" t="s">
        <v>993</v>
      </c>
      <c r="X652">
        <v>4783.328</v>
      </c>
      <c r="Y652" s="2">
        <v>45050</v>
      </c>
      <c r="Z652" t="s">
        <v>1010</v>
      </c>
    </row>
    <row r="653" spans="1:26">
      <c r="A653" s="1" t="s">
        <v>677</v>
      </c>
      <c r="B653">
        <f>HYPERLINK("https://www.suredividend.com/sure-analysis-GOLD/","Barrick Gold Corp.")</f>
        <v>0</v>
      </c>
      <c r="C653" t="s">
        <v>898</v>
      </c>
      <c r="D653">
        <v>20</v>
      </c>
      <c r="E653">
        <v>16.46</v>
      </c>
      <c r="F653">
        <v>17</v>
      </c>
      <c r="G653">
        <v>0.9682352941176471</v>
      </c>
      <c r="H653">
        <v>0.02430133657351154</v>
      </c>
      <c r="I653">
        <v>0.006476914842309167</v>
      </c>
      <c r="J653">
        <v>0.04</v>
      </c>
      <c r="K653">
        <v>0.06735036191588706</v>
      </c>
      <c r="L653" t="s">
        <v>791</v>
      </c>
      <c r="M653" t="s">
        <v>648</v>
      </c>
      <c r="N653">
        <v>17.32631578947369</v>
      </c>
      <c r="O653">
        <v>0.95</v>
      </c>
      <c r="P653">
        <v>0.4</v>
      </c>
      <c r="Q653">
        <v>0.4210526315789474</v>
      </c>
      <c r="R653">
        <v>6</v>
      </c>
      <c r="S653">
        <v>0.01924487649145656</v>
      </c>
      <c r="T653" t="s">
        <v>934</v>
      </c>
      <c r="U653">
        <v>-0.109365192736402</v>
      </c>
      <c r="V653" t="s">
        <v>988</v>
      </c>
      <c r="W653" t="s">
        <v>992</v>
      </c>
      <c r="X653">
        <v>28894.008438</v>
      </c>
      <c r="Y653" s="2">
        <v>45054</v>
      </c>
      <c r="Z653" t="s">
        <v>1004</v>
      </c>
    </row>
    <row r="654" spans="1:26">
      <c r="A654" s="1" t="s">
        <v>678</v>
      </c>
      <c r="B654">
        <f>HYPERLINK("https://www.suredividend.com/sure-analysis-UBA/","Urstadt Biddle Properties, Inc.")</f>
        <v>0</v>
      </c>
      <c r="C654" t="s">
        <v>897</v>
      </c>
      <c r="D654">
        <v>20.8</v>
      </c>
      <c r="E654">
        <v>20.02</v>
      </c>
      <c r="F654">
        <v>18.7</v>
      </c>
      <c r="G654">
        <v>1.070588235294118</v>
      </c>
      <c r="H654">
        <v>0.04145854145854146</v>
      </c>
      <c r="I654">
        <v>-0.01354902436510141</v>
      </c>
      <c r="J654">
        <v>0.035</v>
      </c>
      <c r="K654">
        <v>0.06531559358647199</v>
      </c>
      <c r="L654" t="s">
        <v>791</v>
      </c>
      <c r="M654" t="s">
        <v>791</v>
      </c>
      <c r="N654">
        <v>12.83333333333333</v>
      </c>
      <c r="O654">
        <v>1.56</v>
      </c>
      <c r="P654">
        <v>0.83</v>
      </c>
      <c r="Q654">
        <v>0.532051282051282</v>
      </c>
      <c r="R654">
        <v>1</v>
      </c>
      <c r="S654">
        <v>0.08008105299262325</v>
      </c>
      <c r="T654" t="s">
        <v>932</v>
      </c>
      <c r="U654">
        <v>0.288056206088993</v>
      </c>
      <c r="V654" t="s">
        <v>989</v>
      </c>
      <c r="W654" t="s">
        <v>1001</v>
      </c>
      <c r="X654">
        <v>786.19512</v>
      </c>
      <c r="Y654" s="2">
        <v>45091</v>
      </c>
      <c r="Z654" t="s">
        <v>1013</v>
      </c>
    </row>
    <row r="655" spans="1:26">
      <c r="A655" s="1" t="s">
        <v>679</v>
      </c>
      <c r="B655">
        <f>HYPERLINK("https://www.suredividend.com/sure-analysis-SU/","Suncor Energy, Inc.")</f>
        <v>0</v>
      </c>
      <c r="C655" t="s">
        <v>897</v>
      </c>
      <c r="D655">
        <v>29</v>
      </c>
      <c r="E655">
        <v>28.43</v>
      </c>
      <c r="F655">
        <v>46</v>
      </c>
      <c r="G655">
        <v>0.6180434782608696</v>
      </c>
      <c r="H655">
        <v>0.05487161449173408</v>
      </c>
      <c r="I655">
        <v>0.101022500733505</v>
      </c>
      <c r="J655">
        <v>-0.08</v>
      </c>
      <c r="K655">
        <v>0.06366533071861102</v>
      </c>
      <c r="L655" t="s">
        <v>791</v>
      </c>
      <c r="M655" t="s">
        <v>900</v>
      </c>
      <c r="N655">
        <v>6.611627906976745</v>
      </c>
      <c r="O655">
        <v>4.3</v>
      </c>
      <c r="P655">
        <v>1.56</v>
      </c>
      <c r="Q655">
        <v>0.3627906976744186</v>
      </c>
      <c r="R655">
        <v>2</v>
      </c>
      <c r="S655">
        <v>0.02441897433224605</v>
      </c>
      <c r="T655" t="s">
        <v>918</v>
      </c>
      <c r="U655">
        <v>-0.132538796233576</v>
      </c>
      <c r="V655" t="s">
        <v>988</v>
      </c>
      <c r="W655" t="s">
        <v>1002</v>
      </c>
      <c r="X655">
        <v>37123.001298</v>
      </c>
      <c r="Y655" s="2">
        <v>45064</v>
      </c>
      <c r="Z655" t="s">
        <v>1007</v>
      </c>
    </row>
    <row r="656" spans="1:26">
      <c r="A656" s="1" t="s">
        <v>680</v>
      </c>
      <c r="B656">
        <f>HYPERLINK("https://www.suredividend.com/sure-analysis-SBS/","Companhia de Saneamento Basico do Estado de Sao Paulo.")</f>
        <v>0</v>
      </c>
      <c r="C656" t="s">
        <v>897</v>
      </c>
      <c r="D656">
        <v>10.69</v>
      </c>
      <c r="E656">
        <v>11.6</v>
      </c>
      <c r="F656">
        <v>11</v>
      </c>
      <c r="G656">
        <v>1.054545454545454</v>
      </c>
      <c r="H656">
        <v>0.02413793103448276</v>
      </c>
      <c r="I656">
        <v>-0.0105657512018339</v>
      </c>
      <c r="J656">
        <v>0.05</v>
      </c>
      <c r="K656">
        <v>0.06200875877052403</v>
      </c>
      <c r="L656" t="s">
        <v>791</v>
      </c>
      <c r="M656" t="s">
        <v>791</v>
      </c>
      <c r="N656">
        <v>11.6</v>
      </c>
      <c r="O656">
        <v>1</v>
      </c>
      <c r="P656">
        <v>0.28</v>
      </c>
      <c r="Q656">
        <v>0.28</v>
      </c>
      <c r="R656">
        <v>2</v>
      </c>
      <c r="S656">
        <v>0.05154749679728043</v>
      </c>
      <c r="T656" t="s">
        <v>975</v>
      </c>
      <c r="U656">
        <v>0.5134711983821511</v>
      </c>
      <c r="V656" t="s">
        <v>988</v>
      </c>
      <c r="W656" t="s">
        <v>999</v>
      </c>
      <c r="X656">
        <v>7928.71448</v>
      </c>
      <c r="Y656" s="2">
        <v>45072</v>
      </c>
      <c r="Z656" t="s">
        <v>1012</v>
      </c>
    </row>
    <row r="657" spans="1:26">
      <c r="A657" s="1" t="s">
        <v>681</v>
      </c>
      <c r="B657">
        <f>HYPERLINK("https://www.suredividend.com/sure-analysis-SSREY/","Swiss Re Ltd")</f>
        <v>0</v>
      </c>
      <c r="C657" t="s">
        <v>897</v>
      </c>
      <c r="D657">
        <v>25</v>
      </c>
      <c r="E657">
        <v>24.66</v>
      </c>
      <c r="F657">
        <v>25</v>
      </c>
      <c r="G657">
        <v>0.9864000000000001</v>
      </c>
      <c r="H657">
        <v>0.06488240064882402</v>
      </c>
      <c r="I657">
        <v>0.002742418996368068</v>
      </c>
      <c r="J657">
        <v>0</v>
      </c>
      <c r="K657">
        <v>0.05999587090744773</v>
      </c>
      <c r="L657" t="s">
        <v>791</v>
      </c>
      <c r="M657" t="s">
        <v>589</v>
      </c>
      <c r="N657">
        <v>8.220000000000001</v>
      </c>
      <c r="O657">
        <v>3</v>
      </c>
      <c r="P657">
        <v>1.6</v>
      </c>
      <c r="Q657">
        <v>0.5333333333333333</v>
      </c>
      <c r="R657">
        <v>0</v>
      </c>
      <c r="S657">
        <v>0</v>
      </c>
      <c r="T657" t="s">
        <v>945</v>
      </c>
      <c r="U657">
        <v>0.256240448293428</v>
      </c>
      <c r="V657" t="s">
        <v>988</v>
      </c>
      <c r="W657" t="s">
        <v>994</v>
      </c>
      <c r="X657">
        <v>31317.934264</v>
      </c>
      <c r="Y657" s="2">
        <v>45062</v>
      </c>
      <c r="Z657" t="s">
        <v>1012</v>
      </c>
    </row>
    <row r="658" spans="1:26">
      <c r="A658" s="1" t="s">
        <v>682</v>
      </c>
      <c r="B658">
        <f>HYPERLINK("https://www.suredividend.com/sure-analysis-FR/","First Industrial Realty Trust, Inc.")</f>
        <v>0</v>
      </c>
      <c r="C658" t="s">
        <v>897</v>
      </c>
      <c r="D658">
        <v>52</v>
      </c>
      <c r="E658">
        <v>50.09</v>
      </c>
      <c r="F658">
        <v>44</v>
      </c>
      <c r="G658">
        <v>1.138409090909091</v>
      </c>
      <c r="H658">
        <v>0.02555400279496906</v>
      </c>
      <c r="I658">
        <v>-0.02559314864186935</v>
      </c>
      <c r="J658">
        <v>0.06</v>
      </c>
      <c r="K658">
        <v>0.05838356976833681</v>
      </c>
      <c r="L658" t="s">
        <v>791</v>
      </c>
      <c r="M658" t="s">
        <v>648</v>
      </c>
      <c r="N658">
        <v>20.9581589958159</v>
      </c>
      <c r="O658">
        <v>2.39</v>
      </c>
      <c r="P658">
        <v>1.28</v>
      </c>
      <c r="Q658">
        <v>0.5355648535564853</v>
      </c>
      <c r="R658">
        <v>11</v>
      </c>
      <c r="S658">
        <v>0.05963727749054959</v>
      </c>
      <c r="T658" t="s">
        <v>906</v>
      </c>
      <c r="U658">
        <v>0.046618288343442</v>
      </c>
      <c r="V658" t="s">
        <v>989</v>
      </c>
      <c r="W658" t="s">
        <v>1001</v>
      </c>
      <c r="X658">
        <v>6624.060035</v>
      </c>
      <c r="Y658" s="2">
        <v>45043</v>
      </c>
      <c r="Z658" t="s">
        <v>1011</v>
      </c>
    </row>
    <row r="659" spans="1:26">
      <c r="A659" s="1" t="s">
        <v>683</v>
      </c>
      <c r="B659">
        <f>HYPERLINK("https://www.suredividend.com/sure-analysis-CNP/","Centerpoint Energy Inc.")</f>
        <v>0</v>
      </c>
      <c r="C659" t="s">
        <v>897</v>
      </c>
      <c r="D659">
        <v>29.9</v>
      </c>
      <c r="E659">
        <v>28.47</v>
      </c>
      <c r="F659">
        <v>23.8</v>
      </c>
      <c r="G659">
        <v>1.196218487394958</v>
      </c>
      <c r="H659">
        <v>0.02669476642079382</v>
      </c>
      <c r="I659">
        <v>-0.03519866000116911</v>
      </c>
      <c r="J659">
        <v>0.068</v>
      </c>
      <c r="K659">
        <v>0.05700241813202833</v>
      </c>
      <c r="L659" t="s">
        <v>791</v>
      </c>
      <c r="M659" t="s">
        <v>648</v>
      </c>
      <c r="N659">
        <v>19.10738255033557</v>
      </c>
      <c r="O659">
        <v>1.49</v>
      </c>
      <c r="P659">
        <v>0.76</v>
      </c>
      <c r="Q659">
        <v>0.5100671140939598</v>
      </c>
      <c r="R659">
        <v>3</v>
      </c>
      <c r="S659">
        <v>0.05642162229904302</v>
      </c>
      <c r="T659" t="s">
        <v>937</v>
      </c>
      <c r="U659">
        <v>0.011601257839287</v>
      </c>
      <c r="V659" t="s">
        <v>988</v>
      </c>
      <c r="W659" t="s">
        <v>999</v>
      </c>
      <c r="X659">
        <v>17965.402548</v>
      </c>
      <c r="Y659" s="2">
        <v>45059</v>
      </c>
      <c r="Z659" t="s">
        <v>1013</v>
      </c>
    </row>
    <row r="660" spans="1:26">
      <c r="A660" s="1" t="s">
        <v>684</v>
      </c>
      <c r="B660">
        <f>HYPERLINK("https://www.suredividend.com/sure-analysis-MDC/","M.D.C. Holdings, Inc.")</f>
        <v>0</v>
      </c>
      <c r="C660" t="s">
        <v>897</v>
      </c>
      <c r="D660">
        <v>41</v>
      </c>
      <c r="E660">
        <v>44.63</v>
      </c>
      <c r="F660">
        <v>35</v>
      </c>
      <c r="G660">
        <v>1.275142857142857</v>
      </c>
      <c r="H660">
        <v>0.04481290611696168</v>
      </c>
      <c r="I660">
        <v>-0.04744901269061486</v>
      </c>
      <c r="J660">
        <v>0.06</v>
      </c>
      <c r="K660">
        <v>0.05669033383068678</v>
      </c>
      <c r="L660" t="s">
        <v>791</v>
      </c>
      <c r="M660" t="s">
        <v>791</v>
      </c>
      <c r="N660">
        <v>12.75142857142857</v>
      </c>
      <c r="O660">
        <v>3.5</v>
      </c>
      <c r="P660">
        <v>2</v>
      </c>
      <c r="Q660">
        <v>0.5714285714285714</v>
      </c>
      <c r="R660">
        <v>6</v>
      </c>
      <c r="S660">
        <v>0.0602809527753625</v>
      </c>
      <c r="T660" t="s">
        <v>905</v>
      </c>
      <c r="U660">
        <v>0.500970266461739</v>
      </c>
      <c r="V660" t="s">
        <v>988</v>
      </c>
      <c r="W660" t="s">
        <v>994</v>
      </c>
      <c r="X660">
        <v>3263.240229</v>
      </c>
      <c r="Y660" s="2">
        <v>45056</v>
      </c>
      <c r="Z660" t="s">
        <v>1012</v>
      </c>
    </row>
    <row r="661" spans="1:26">
      <c r="A661" s="1" t="s">
        <v>685</v>
      </c>
      <c r="B661">
        <f>HYPERLINK("https://www.suredividend.com/sure-analysis-MPWR/","Monolithic Power System Inc")</f>
        <v>0</v>
      </c>
      <c r="C661" t="s">
        <v>896</v>
      </c>
      <c r="D661">
        <v>407</v>
      </c>
      <c r="E661">
        <v>506</v>
      </c>
      <c r="F661">
        <v>300</v>
      </c>
      <c r="G661">
        <v>1.686666666666667</v>
      </c>
      <c r="H661">
        <v>0.007905138339920948</v>
      </c>
      <c r="I661">
        <v>-0.09927099585256272</v>
      </c>
      <c r="J661">
        <v>0.16</v>
      </c>
      <c r="K661">
        <v>0.0564294905263012</v>
      </c>
      <c r="L661" t="s">
        <v>791</v>
      </c>
      <c r="M661" t="s">
        <v>648</v>
      </c>
      <c r="N661">
        <v>42.16666666666666</v>
      </c>
      <c r="O661">
        <v>12</v>
      </c>
      <c r="P661">
        <v>4</v>
      </c>
      <c r="Q661">
        <v>0.3333333333333333</v>
      </c>
      <c r="R661">
        <v>6</v>
      </c>
      <c r="S661">
        <v>0.1999209000665154</v>
      </c>
      <c r="T661" t="s">
        <v>906</v>
      </c>
      <c r="U661">
        <v>0.216287093751697</v>
      </c>
      <c r="V661" t="s">
        <v>988</v>
      </c>
      <c r="W661" t="s">
        <v>1000</v>
      </c>
      <c r="X661">
        <v>23984.4</v>
      </c>
      <c r="Y661" s="2">
        <v>45058</v>
      </c>
      <c r="Z661" t="s">
        <v>1012</v>
      </c>
    </row>
    <row r="662" spans="1:26">
      <c r="A662" s="1" t="s">
        <v>686</v>
      </c>
      <c r="B662">
        <f>HYPERLINK("https://www.suredividend.com/sure-analysis-SMFG/","Sumitomo Mitsui Financial Group Inc")</f>
        <v>0</v>
      </c>
      <c r="C662" t="s">
        <v>897</v>
      </c>
      <c r="D662">
        <v>8.33</v>
      </c>
      <c r="E662">
        <v>8.24</v>
      </c>
      <c r="F662">
        <v>8.359999999999999</v>
      </c>
      <c r="G662">
        <v>0.9856459330143542</v>
      </c>
      <c r="H662">
        <v>0.03883495145631068</v>
      </c>
      <c r="I662">
        <v>0.002895801391025854</v>
      </c>
      <c r="J662">
        <v>0.02</v>
      </c>
      <c r="K662">
        <v>0.05618786998512215</v>
      </c>
      <c r="L662" t="s">
        <v>791</v>
      </c>
      <c r="M662" t="s">
        <v>791</v>
      </c>
      <c r="N662">
        <v>9.363636363636363</v>
      </c>
      <c r="O662">
        <v>0.88</v>
      </c>
      <c r="P662">
        <v>0.32</v>
      </c>
      <c r="Q662">
        <v>0.3636363636363636</v>
      </c>
      <c r="R662">
        <v>0</v>
      </c>
      <c r="S662">
        <v>0</v>
      </c>
      <c r="T662" t="s">
        <v>906</v>
      </c>
      <c r="U662">
        <v>0.389521255965329</v>
      </c>
      <c r="V662" t="s">
        <v>988</v>
      </c>
      <c r="W662" t="s">
        <v>994</v>
      </c>
      <c r="X662">
        <v>56637.277193</v>
      </c>
      <c r="Y662" s="2">
        <v>45068</v>
      </c>
      <c r="Z662" t="s">
        <v>1004</v>
      </c>
    </row>
    <row r="663" spans="1:26">
      <c r="A663" s="1" t="s">
        <v>687</v>
      </c>
      <c r="B663">
        <f>HYPERLINK("https://www.suredividend.com/sure-analysis-PXD/","Pioneer Natural Resources Co.")</f>
        <v>0</v>
      </c>
      <c r="C663" t="s">
        <v>897</v>
      </c>
      <c r="D663">
        <v>208</v>
      </c>
      <c r="E663">
        <v>198.66</v>
      </c>
      <c r="F663">
        <v>375</v>
      </c>
      <c r="G663">
        <v>0.52976</v>
      </c>
      <c r="H663">
        <v>0.05023658512030605</v>
      </c>
      <c r="I663">
        <v>0.1354922314728522</v>
      </c>
      <c r="J663">
        <v>-0.1</v>
      </c>
      <c r="K663">
        <v>0.05383083485259443</v>
      </c>
      <c r="L663" t="s">
        <v>791</v>
      </c>
      <c r="M663" t="s">
        <v>589</v>
      </c>
      <c r="N663">
        <v>7.9464</v>
      </c>
      <c r="O663">
        <v>25</v>
      </c>
      <c r="P663">
        <v>9.98</v>
      </c>
      <c r="Q663">
        <v>0.3992</v>
      </c>
      <c r="R663">
        <v>5</v>
      </c>
      <c r="S663">
        <v>-0.1000944076348316</v>
      </c>
      <c r="T663" t="s">
        <v>912</v>
      </c>
      <c r="U663">
        <v>-0.030523905545133</v>
      </c>
      <c r="V663" t="s">
        <v>988</v>
      </c>
      <c r="W663" t="s">
        <v>1002</v>
      </c>
      <c r="X663">
        <v>46433.90178</v>
      </c>
      <c r="Y663" s="2">
        <v>45075</v>
      </c>
      <c r="Z663" t="s">
        <v>1009</v>
      </c>
    </row>
    <row r="664" spans="1:26">
      <c r="A664" s="1" t="s">
        <v>688</v>
      </c>
      <c r="B664">
        <f>HYPERLINK("https://www.suredividend.com/sure-analysis-SHEL/","Shell Plc")</f>
        <v>0</v>
      </c>
      <c r="C664" t="s">
        <v>897</v>
      </c>
      <c r="D664">
        <v>61</v>
      </c>
      <c r="E664">
        <v>59.6</v>
      </c>
      <c r="F664">
        <v>102</v>
      </c>
      <c r="G664">
        <v>0.5843137254901961</v>
      </c>
      <c r="H664">
        <v>0.03859060402684563</v>
      </c>
      <c r="I664">
        <v>0.1134501609971597</v>
      </c>
      <c r="J664">
        <v>-0.09</v>
      </c>
      <c r="K664">
        <v>0.05365705642210217</v>
      </c>
      <c r="L664" t="s">
        <v>791</v>
      </c>
      <c r="M664" t="s">
        <v>589</v>
      </c>
      <c r="N664">
        <v>7.011764705882353</v>
      </c>
      <c r="O664">
        <v>8.5</v>
      </c>
      <c r="P664">
        <v>2.3</v>
      </c>
      <c r="Q664">
        <v>0.2705882352941176</v>
      </c>
      <c r="R664">
        <v>3</v>
      </c>
      <c r="S664">
        <v>0.06014330757368569</v>
      </c>
      <c r="T664" t="s">
        <v>908</v>
      </c>
      <c r="U664">
        <v>0.226541872205038</v>
      </c>
      <c r="V664" t="s">
        <v>988</v>
      </c>
      <c r="W664" t="s">
        <v>1002</v>
      </c>
      <c r="X664">
        <v>203270.639222</v>
      </c>
      <c r="Y664" s="2">
        <v>45058</v>
      </c>
      <c r="Z664" t="s">
        <v>1007</v>
      </c>
    </row>
    <row r="665" spans="1:26">
      <c r="A665" s="1" t="s">
        <v>689</v>
      </c>
      <c r="B665">
        <f>HYPERLINK("https://www.suredividend.com/sure-analysis-TAP/","Molson Coors Beverage Company")</f>
        <v>0</v>
      </c>
      <c r="C665" t="s">
        <v>897</v>
      </c>
      <c r="D665">
        <v>65</v>
      </c>
      <c r="E665">
        <v>66.18000000000001</v>
      </c>
      <c r="F665">
        <v>59</v>
      </c>
      <c r="G665">
        <v>1.121694915254237</v>
      </c>
      <c r="H665">
        <v>0.0247809005741916</v>
      </c>
      <c r="I665">
        <v>-0.02270641114535299</v>
      </c>
      <c r="J665">
        <v>0.05</v>
      </c>
      <c r="K665">
        <v>0.05021805593648354</v>
      </c>
      <c r="L665" t="s">
        <v>791</v>
      </c>
      <c r="M665" t="s">
        <v>791</v>
      </c>
      <c r="N665">
        <v>15.75714285714286</v>
      </c>
      <c r="O665">
        <v>4.2</v>
      </c>
      <c r="P665">
        <v>1.64</v>
      </c>
      <c r="Q665">
        <v>0.3904761904761904</v>
      </c>
      <c r="R665">
        <v>3</v>
      </c>
      <c r="S665">
        <v>0.04048836820440749</v>
      </c>
      <c r="T665" t="s">
        <v>930</v>
      </c>
      <c r="U665">
        <v>0.221222477284302</v>
      </c>
      <c r="V665" t="s">
        <v>988</v>
      </c>
      <c r="W665" t="s">
        <v>997</v>
      </c>
      <c r="X665">
        <v>13431.018205</v>
      </c>
      <c r="Y665" s="2">
        <v>45057</v>
      </c>
      <c r="Z665" t="s">
        <v>1010</v>
      </c>
    </row>
    <row r="666" spans="1:26">
      <c r="A666" s="1" t="s">
        <v>690</v>
      </c>
      <c r="B666">
        <f>HYPERLINK("https://www.suredividend.com/sure-analysis-CWCO/","Consolidated Water Co. Ltd.")</f>
        <v>0</v>
      </c>
      <c r="C666" t="s">
        <v>897</v>
      </c>
      <c r="D666">
        <v>19.4</v>
      </c>
      <c r="E666">
        <v>23</v>
      </c>
      <c r="F666">
        <v>18.2</v>
      </c>
      <c r="G666">
        <v>1.263736263736264</v>
      </c>
      <c r="H666">
        <v>0.01478260869565218</v>
      </c>
      <c r="I666">
        <v>-0.04573562603590386</v>
      </c>
      <c r="J666">
        <v>0.078</v>
      </c>
      <c r="K666">
        <v>0.04869145313174128</v>
      </c>
      <c r="L666" t="s">
        <v>791</v>
      </c>
      <c r="M666" t="s">
        <v>648</v>
      </c>
      <c r="N666">
        <v>23.95833333333334</v>
      </c>
      <c r="O666">
        <v>0.96</v>
      </c>
      <c r="P666">
        <v>0.34</v>
      </c>
      <c r="Q666">
        <v>0.3541666666666667</v>
      </c>
      <c r="R666">
        <v>0</v>
      </c>
      <c r="S666">
        <v>0.1553772840444183</v>
      </c>
      <c r="T666" t="s">
        <v>924</v>
      </c>
      <c r="U666">
        <v>0.6580878642386491</v>
      </c>
      <c r="V666" t="s">
        <v>988</v>
      </c>
      <c r="W666" t="s">
        <v>999</v>
      </c>
      <c r="X666">
        <v>361.928943</v>
      </c>
      <c r="Y666" s="2">
        <v>45074</v>
      </c>
      <c r="Z666" t="s">
        <v>1013</v>
      </c>
    </row>
    <row r="667" spans="1:26">
      <c r="A667" s="1" t="s">
        <v>691</v>
      </c>
      <c r="B667">
        <f>HYPERLINK("https://www.suredividend.com/sure-analysis-PSO/","Pearson plc")</f>
        <v>0</v>
      </c>
      <c r="C667" t="s">
        <v>897</v>
      </c>
      <c r="D667">
        <v>10.4</v>
      </c>
      <c r="E667">
        <v>10.34</v>
      </c>
      <c r="F667">
        <v>10.1</v>
      </c>
      <c r="G667">
        <v>1.023762376237624</v>
      </c>
      <c r="H667">
        <v>0.02611218568665378</v>
      </c>
      <c r="I667">
        <v>-0.004685875912492143</v>
      </c>
      <c r="J667">
        <v>0.03</v>
      </c>
      <c r="K667">
        <v>0.04779342618934668</v>
      </c>
      <c r="L667" t="s">
        <v>791</v>
      </c>
      <c r="M667" t="s">
        <v>791</v>
      </c>
      <c r="N667">
        <v>15.43283582089552</v>
      </c>
      <c r="O667">
        <v>0.67</v>
      </c>
      <c r="P667">
        <v>0.27</v>
      </c>
      <c r="Q667">
        <v>0.4029850746268657</v>
      </c>
      <c r="R667">
        <v>0</v>
      </c>
      <c r="S667">
        <v>0</v>
      </c>
      <c r="T667" t="s">
        <v>973</v>
      </c>
      <c r="U667">
        <v>0.092584374141465</v>
      </c>
      <c r="V667" t="s">
        <v>988</v>
      </c>
      <c r="W667" t="s">
        <v>998</v>
      </c>
      <c r="X667">
        <v>7405.038181</v>
      </c>
      <c r="Y667" s="2">
        <v>45034</v>
      </c>
      <c r="Z667" t="s">
        <v>1008</v>
      </c>
    </row>
    <row r="668" spans="1:26">
      <c r="A668" s="1" t="s">
        <v>692</v>
      </c>
      <c r="B668">
        <f>HYPERLINK("https://www.suredividend.com/sure-analysis-CODI/","Compass Diversified Holdings")</f>
        <v>0</v>
      </c>
      <c r="C668" t="s">
        <v>897</v>
      </c>
      <c r="D668">
        <v>20</v>
      </c>
      <c r="E668">
        <v>20.65</v>
      </c>
      <c r="F668">
        <v>19</v>
      </c>
      <c r="G668">
        <v>1.086842105263158</v>
      </c>
      <c r="H668">
        <v>0.04842615012106538</v>
      </c>
      <c r="I668">
        <v>-0.01651733589853843</v>
      </c>
      <c r="J668">
        <v>0.02</v>
      </c>
      <c r="K668">
        <v>0.04697323007121401</v>
      </c>
      <c r="L668" t="s">
        <v>791</v>
      </c>
      <c r="M668" t="s">
        <v>589</v>
      </c>
      <c r="N668">
        <v>10.86842105263158</v>
      </c>
      <c r="O668">
        <v>1.9</v>
      </c>
      <c r="P668">
        <v>1</v>
      </c>
      <c r="Q668">
        <v>0.5263157894736842</v>
      </c>
      <c r="R668">
        <v>0</v>
      </c>
      <c r="S668">
        <v>0</v>
      </c>
      <c r="T668" t="s">
        <v>938</v>
      </c>
      <c r="U668">
        <v>-0.018498802235826</v>
      </c>
      <c r="V668" t="s">
        <v>988</v>
      </c>
      <c r="W668" t="s">
        <v>993</v>
      </c>
      <c r="X668">
        <v>1485.720604</v>
      </c>
      <c r="Y668" s="2">
        <v>45078</v>
      </c>
      <c r="Z668" t="s">
        <v>1008</v>
      </c>
    </row>
    <row r="669" spans="1:26">
      <c r="A669" s="1" t="s">
        <v>693</v>
      </c>
      <c r="B669">
        <f>HYPERLINK("https://www.suredividend.com/sure-analysis-PVL/","Permianville Royalty Trust")</f>
        <v>0</v>
      </c>
      <c r="C669" t="s">
        <v>897</v>
      </c>
      <c r="D669">
        <v>2.45</v>
      </c>
      <c r="E669">
        <v>2.47</v>
      </c>
      <c r="F669">
        <v>3.2</v>
      </c>
      <c r="G669">
        <v>0.771875</v>
      </c>
      <c r="H669">
        <v>0.06072874493927125</v>
      </c>
      <c r="I669">
        <v>0.05315090432336755</v>
      </c>
      <c r="J669">
        <v>-0.06</v>
      </c>
      <c r="K669">
        <v>0.04638308269543523</v>
      </c>
      <c r="L669" t="s">
        <v>791</v>
      </c>
      <c r="M669" t="s">
        <v>589</v>
      </c>
      <c r="N669">
        <v>7.264705882352941</v>
      </c>
      <c r="O669">
        <v>0.34</v>
      </c>
      <c r="P669">
        <v>0.15</v>
      </c>
      <c r="Q669">
        <v>0.4411764705882352</v>
      </c>
      <c r="R669">
        <v>0</v>
      </c>
      <c r="S669">
        <v>0</v>
      </c>
      <c r="T669" t="s">
        <v>934</v>
      </c>
      <c r="U669">
        <v>-0.24383897137609</v>
      </c>
      <c r="V669" t="s">
        <v>988</v>
      </c>
      <c r="W669" t="s">
        <v>1002</v>
      </c>
      <c r="X669">
        <v>81.51000000000001</v>
      </c>
      <c r="Y669" s="2">
        <v>45069</v>
      </c>
      <c r="Z669" t="s">
        <v>1007</v>
      </c>
    </row>
    <row r="670" spans="1:26">
      <c r="A670" s="1" t="s">
        <v>694</v>
      </c>
      <c r="B670">
        <f>HYPERLINK("https://www.suredividend.com/sure-analysis-SKT/","Tanger Factory Outlet Centers, Inc.")</f>
        <v>0</v>
      </c>
      <c r="C670" t="s">
        <v>897</v>
      </c>
      <c r="D670">
        <v>19</v>
      </c>
      <c r="E670">
        <v>20.48</v>
      </c>
      <c r="F670">
        <v>19</v>
      </c>
      <c r="G670">
        <v>1.077894736842105</v>
      </c>
      <c r="H670">
        <v>0.04296875</v>
      </c>
      <c r="I670">
        <v>-0.01488999535286761</v>
      </c>
      <c r="J670">
        <v>0.02</v>
      </c>
      <c r="K670">
        <v>0.0447953401502228</v>
      </c>
      <c r="L670" t="s">
        <v>791</v>
      </c>
      <c r="M670" t="s">
        <v>791</v>
      </c>
      <c r="N670">
        <v>11.01075268817204</v>
      </c>
      <c r="O670">
        <v>1.86</v>
      </c>
      <c r="P670">
        <v>0.88</v>
      </c>
      <c r="Q670">
        <v>0.4731182795698924</v>
      </c>
      <c r="R670">
        <v>3</v>
      </c>
      <c r="S670">
        <v>0.008929989071996269</v>
      </c>
      <c r="T670" t="s">
        <v>928</v>
      </c>
      <c r="U670">
        <v>0.450435201382446</v>
      </c>
      <c r="V670" t="s">
        <v>989</v>
      </c>
      <c r="W670" t="s">
        <v>1001</v>
      </c>
      <c r="X670">
        <v>2154.110587</v>
      </c>
      <c r="Y670" s="2">
        <v>45057</v>
      </c>
      <c r="Z670" t="s">
        <v>1010</v>
      </c>
    </row>
    <row r="671" spans="1:26">
      <c r="A671" s="1" t="s">
        <v>695</v>
      </c>
      <c r="B671">
        <f>HYPERLINK("https://www.suredividend.com/sure-analysis-FRFHF/","Fairfax Financial Holdings, Ltd.")</f>
        <v>0</v>
      </c>
      <c r="C671" t="s">
        <v>897</v>
      </c>
      <c r="D671">
        <v>701</v>
      </c>
      <c r="E671">
        <v>730.85</v>
      </c>
      <c r="F671">
        <v>740</v>
      </c>
      <c r="G671">
        <v>0.9876351351351351</v>
      </c>
      <c r="H671">
        <v>0.01368269822809058</v>
      </c>
      <c r="I671">
        <v>0.002491487782569246</v>
      </c>
      <c r="J671">
        <v>0.03</v>
      </c>
      <c r="K671">
        <v>0.04433154241185866</v>
      </c>
      <c r="L671" t="s">
        <v>791</v>
      </c>
      <c r="M671" t="s">
        <v>648</v>
      </c>
      <c r="N671">
        <v>22.8390625</v>
      </c>
      <c r="O671">
        <v>32</v>
      </c>
      <c r="P671">
        <v>10</v>
      </c>
      <c r="Q671">
        <v>0.3125</v>
      </c>
      <c r="R671">
        <v>0</v>
      </c>
      <c r="S671">
        <v>0</v>
      </c>
      <c r="T671" t="s">
        <v>984</v>
      </c>
      <c r="U671">
        <v>0.482559613765683</v>
      </c>
      <c r="V671" t="s">
        <v>988</v>
      </c>
      <c r="W671" t="s">
        <v>994</v>
      </c>
      <c r="X671">
        <v>17859.631626</v>
      </c>
      <c r="Y671" s="2">
        <v>45058</v>
      </c>
      <c r="Z671" t="s">
        <v>1007</v>
      </c>
    </row>
    <row r="672" spans="1:26">
      <c r="A672" s="1" t="s">
        <v>696</v>
      </c>
      <c r="B672">
        <f>HYPERLINK("https://www.suredividend.com/sure-analysis-STX/","Seagate Technology Holdings Plc")</f>
        <v>0</v>
      </c>
      <c r="C672" t="s">
        <v>897</v>
      </c>
      <c r="D672">
        <v>62</v>
      </c>
      <c r="E672">
        <v>60.32</v>
      </c>
      <c r="F672">
        <v>50</v>
      </c>
      <c r="G672">
        <v>1.2064</v>
      </c>
      <c r="H672">
        <v>0.04641909814323607</v>
      </c>
      <c r="I672">
        <v>-0.03683268970845188</v>
      </c>
      <c r="J672">
        <v>0.04</v>
      </c>
      <c r="K672">
        <v>0.04406119081176607</v>
      </c>
      <c r="L672" t="s">
        <v>791</v>
      </c>
      <c r="M672" t="s">
        <v>791</v>
      </c>
      <c r="N672">
        <v>12.064</v>
      </c>
      <c r="O672">
        <v>5</v>
      </c>
      <c r="P672">
        <v>2.8</v>
      </c>
      <c r="Q672">
        <v>0.5599999999999999</v>
      </c>
      <c r="R672">
        <v>3</v>
      </c>
      <c r="S672">
        <v>0</v>
      </c>
      <c r="T672" t="s">
        <v>933</v>
      </c>
      <c r="U672">
        <v>-0.156258611211745</v>
      </c>
      <c r="V672" t="s">
        <v>988</v>
      </c>
      <c r="W672" t="s">
        <v>1000</v>
      </c>
      <c r="X672">
        <v>12592.4032</v>
      </c>
      <c r="Y672" s="2">
        <v>45071</v>
      </c>
      <c r="Z672" t="s">
        <v>1008</v>
      </c>
    </row>
    <row r="673" spans="1:26">
      <c r="A673" s="1" t="s">
        <v>697</v>
      </c>
      <c r="B673">
        <f>HYPERLINK("https://www.suredividend.com/sure-analysis-TM/","Toyota Motor Corporation")</f>
        <v>0</v>
      </c>
      <c r="C673" t="s">
        <v>897</v>
      </c>
      <c r="D673">
        <v>138</v>
      </c>
      <c r="E673">
        <v>153.38</v>
      </c>
      <c r="F673">
        <v>153</v>
      </c>
      <c r="G673">
        <v>1.002483660130719</v>
      </c>
      <c r="H673">
        <v>0.02777415569174599</v>
      </c>
      <c r="I673">
        <v>-0.0004959931435681852</v>
      </c>
      <c r="J673">
        <v>0.02</v>
      </c>
      <c r="K673">
        <v>0.04299814030637661</v>
      </c>
      <c r="L673" t="s">
        <v>791</v>
      </c>
      <c r="M673" t="s">
        <v>791</v>
      </c>
      <c r="N673">
        <v>10.05770491803279</v>
      </c>
      <c r="O673">
        <v>15.25</v>
      </c>
      <c r="P673">
        <v>4.26</v>
      </c>
      <c r="Q673">
        <v>0.279344262295082</v>
      </c>
      <c r="R673">
        <v>0</v>
      </c>
      <c r="S673">
        <v>-0.01449889093109435</v>
      </c>
      <c r="T673" t="s">
        <v>906</v>
      </c>
      <c r="U673">
        <v>-0.005486746091131</v>
      </c>
      <c r="V673" t="s">
        <v>988</v>
      </c>
      <c r="W673" t="s">
        <v>995</v>
      </c>
      <c r="X673">
        <v>250239.277661</v>
      </c>
      <c r="Y673" s="2">
        <v>45077</v>
      </c>
      <c r="Z673" t="s">
        <v>1008</v>
      </c>
    </row>
    <row r="674" spans="1:26">
      <c r="A674" s="1" t="s">
        <v>698</v>
      </c>
      <c r="B674">
        <f>HYPERLINK("https://www.suredividend.com/sure-analysis-JJSF/","J&amp;J Snack Foods Corp.")</f>
        <v>0</v>
      </c>
      <c r="C674" t="s">
        <v>897</v>
      </c>
      <c r="D674">
        <v>163</v>
      </c>
      <c r="E674">
        <v>156.12</v>
      </c>
      <c r="F674">
        <v>125</v>
      </c>
      <c r="G674">
        <v>1.24896</v>
      </c>
      <c r="H674">
        <v>0.01793492185498334</v>
      </c>
      <c r="I674">
        <v>-0.04348828366427759</v>
      </c>
      <c r="J674">
        <v>0.07000000000000001</v>
      </c>
      <c r="K674">
        <v>0.04126397117127234</v>
      </c>
      <c r="L674" t="s">
        <v>791</v>
      </c>
      <c r="M674" t="s">
        <v>648</v>
      </c>
      <c r="N674">
        <v>40.03076923076923</v>
      </c>
      <c r="O674">
        <v>3.9</v>
      </c>
      <c r="P674">
        <v>2.8</v>
      </c>
      <c r="Q674">
        <v>0.717948717948718</v>
      </c>
      <c r="R674">
        <v>19</v>
      </c>
      <c r="S674">
        <v>0.04020579649530265</v>
      </c>
      <c r="T674" t="s">
        <v>953</v>
      </c>
      <c r="U674">
        <v>0.144652824569416</v>
      </c>
      <c r="V674" t="s">
        <v>988</v>
      </c>
      <c r="W674" t="s">
        <v>997</v>
      </c>
      <c r="X674">
        <v>3005.66611</v>
      </c>
      <c r="Y674" s="2">
        <v>45057</v>
      </c>
      <c r="Z674" t="s">
        <v>1006</v>
      </c>
    </row>
    <row r="675" spans="1:26">
      <c r="A675" s="1" t="s">
        <v>699</v>
      </c>
      <c r="B675">
        <f>HYPERLINK("https://www.suredividend.com/sure-analysis-FAF/","First American Financial Corp")</f>
        <v>0</v>
      </c>
      <c r="C675" t="s">
        <v>897</v>
      </c>
      <c r="D675">
        <v>56</v>
      </c>
      <c r="E675">
        <v>55.37</v>
      </c>
      <c r="F675">
        <v>39</v>
      </c>
      <c r="G675">
        <v>1.41974358974359</v>
      </c>
      <c r="H675">
        <v>0.03756546866534224</v>
      </c>
      <c r="I675">
        <v>-0.06769499284710334</v>
      </c>
      <c r="J675">
        <v>0.07000000000000001</v>
      </c>
      <c r="K675">
        <v>0.03650817087398472</v>
      </c>
      <c r="L675" t="s">
        <v>791</v>
      </c>
      <c r="M675" t="s">
        <v>791</v>
      </c>
      <c r="N675">
        <v>12.87674418604651</v>
      </c>
      <c r="O675">
        <v>4.3</v>
      </c>
      <c r="P675">
        <v>2.08</v>
      </c>
      <c r="Q675">
        <v>0.4837209302325582</v>
      </c>
      <c r="R675">
        <v>11</v>
      </c>
      <c r="S675">
        <v>0.03496752704080697</v>
      </c>
      <c r="T675" t="s">
        <v>951</v>
      </c>
      <c r="U675">
        <v>0.07600434521530701</v>
      </c>
      <c r="V675" t="s">
        <v>988</v>
      </c>
      <c r="W675" t="s">
        <v>994</v>
      </c>
      <c r="X675">
        <v>5714.991405</v>
      </c>
      <c r="Y675" s="2">
        <v>45064</v>
      </c>
      <c r="Z675" t="s">
        <v>1010</v>
      </c>
    </row>
    <row r="676" spans="1:26">
      <c r="A676" s="1" t="s">
        <v>700</v>
      </c>
      <c r="B676">
        <f>HYPERLINK("https://www.suredividend.com/sure-analysis-SCHL/","Scholastic Corp.")</f>
        <v>0</v>
      </c>
      <c r="C676" t="s">
        <v>898</v>
      </c>
      <c r="D676">
        <v>42</v>
      </c>
      <c r="E676">
        <v>37.14</v>
      </c>
      <c r="F676">
        <v>32</v>
      </c>
      <c r="G676">
        <v>1.160625</v>
      </c>
      <c r="H676">
        <v>0.02154011847065159</v>
      </c>
      <c r="I676">
        <v>-0.0293523313181675</v>
      </c>
      <c r="J676">
        <v>0.04</v>
      </c>
      <c r="K676">
        <v>0.03245752287744463</v>
      </c>
      <c r="L676" t="s">
        <v>791</v>
      </c>
      <c r="M676" t="s">
        <v>648</v>
      </c>
      <c r="N676">
        <v>19.54736842105263</v>
      </c>
      <c r="O676">
        <v>1.9</v>
      </c>
      <c r="P676">
        <v>0.8</v>
      </c>
      <c r="Q676">
        <v>0.4210526315789474</v>
      </c>
      <c r="R676">
        <v>1</v>
      </c>
      <c r="S676">
        <v>0.04978904632428516</v>
      </c>
      <c r="T676" t="s">
        <v>928</v>
      </c>
      <c r="U676">
        <v>0.06641705118744401</v>
      </c>
      <c r="V676" t="s">
        <v>988</v>
      </c>
      <c r="W676" t="s">
        <v>998</v>
      </c>
      <c r="X676">
        <v>1165.897246</v>
      </c>
      <c r="Y676" s="2">
        <v>45071</v>
      </c>
      <c r="Z676" t="s">
        <v>1008</v>
      </c>
    </row>
    <row r="677" spans="1:26">
      <c r="A677" s="1" t="s">
        <v>701</v>
      </c>
      <c r="B677">
        <f>HYPERLINK("https://www.suredividend.com/sure-analysis-PKX/","POSCO Holdings Inc")</f>
        <v>0</v>
      </c>
      <c r="C677" t="s">
        <v>898</v>
      </c>
      <c r="D677">
        <v>69</v>
      </c>
      <c r="E677">
        <v>74.61</v>
      </c>
      <c r="F677">
        <v>100</v>
      </c>
      <c r="G677">
        <v>0.7461</v>
      </c>
      <c r="H677">
        <v>0.1005227181342983</v>
      </c>
      <c r="I677">
        <v>0.06032888397409431</v>
      </c>
      <c r="J677">
        <v>-0.1</v>
      </c>
      <c r="K677">
        <v>0.03048089207285831</v>
      </c>
      <c r="L677" t="s">
        <v>791</v>
      </c>
      <c r="M677" t="s">
        <v>900</v>
      </c>
      <c r="N677">
        <v>2.9844</v>
      </c>
      <c r="O677">
        <v>25</v>
      </c>
      <c r="P677">
        <v>7.5</v>
      </c>
      <c r="Q677">
        <v>0.3</v>
      </c>
      <c r="R677">
        <v>0</v>
      </c>
      <c r="S677">
        <v>-0.09994615286451913</v>
      </c>
      <c r="T677" t="s">
        <v>906</v>
      </c>
      <c r="U677">
        <v>0.6462022174416681</v>
      </c>
      <c r="V677" t="s">
        <v>988</v>
      </c>
      <c r="W677" t="s">
        <v>992</v>
      </c>
      <c r="X677">
        <v>25239.437881</v>
      </c>
      <c r="Y677" s="2">
        <v>45063</v>
      </c>
      <c r="Z677" t="s">
        <v>1012</v>
      </c>
    </row>
    <row r="678" spans="1:26">
      <c r="A678" s="1" t="s">
        <v>702</v>
      </c>
      <c r="B678">
        <f>HYPERLINK("https://www.suredividend.com/sure-analysis-CMP/","Compass Minerals International Inc")</f>
        <v>0</v>
      </c>
      <c r="C678" t="s">
        <v>898</v>
      </c>
      <c r="D678">
        <v>33</v>
      </c>
      <c r="E678">
        <v>33.47</v>
      </c>
      <c r="F678">
        <v>28</v>
      </c>
      <c r="G678">
        <v>1.195357142857143</v>
      </c>
      <c r="H678">
        <v>0.0179265013444876</v>
      </c>
      <c r="I678">
        <v>-0.03505965770449015</v>
      </c>
      <c r="J678">
        <v>0.05</v>
      </c>
      <c r="K678">
        <v>0.02965456970754876</v>
      </c>
      <c r="L678" t="s">
        <v>791</v>
      </c>
      <c r="M678" t="s">
        <v>648</v>
      </c>
      <c r="N678">
        <v>27.89166666666667</v>
      </c>
      <c r="O678">
        <v>1.2</v>
      </c>
      <c r="P678">
        <v>0.6</v>
      </c>
      <c r="Q678">
        <v>0.5</v>
      </c>
      <c r="R678">
        <v>0</v>
      </c>
      <c r="S678">
        <v>0</v>
      </c>
      <c r="T678" t="s">
        <v>926</v>
      </c>
      <c r="U678">
        <v>-0.074419749399216</v>
      </c>
      <c r="V678" t="s">
        <v>988</v>
      </c>
      <c r="W678" t="s">
        <v>992</v>
      </c>
      <c r="X678">
        <v>1376.93381</v>
      </c>
      <c r="Y678" s="2">
        <v>45061</v>
      </c>
      <c r="Z678" t="s">
        <v>1012</v>
      </c>
    </row>
    <row r="679" spans="1:26">
      <c r="A679" s="1" t="s">
        <v>703</v>
      </c>
      <c r="B679">
        <f>HYPERLINK("https://www.suredividend.com/sure-analysis-ACN/","Accenture plc")</f>
        <v>0</v>
      </c>
      <c r="C679" t="s">
        <v>897</v>
      </c>
      <c r="D679">
        <v>275</v>
      </c>
      <c r="E679">
        <v>298.43</v>
      </c>
      <c r="F679">
        <v>219</v>
      </c>
      <c r="G679">
        <v>1.362694063926941</v>
      </c>
      <c r="H679">
        <v>0.0150118955869048</v>
      </c>
      <c r="I679">
        <v>-0.06001629025855004</v>
      </c>
      <c r="J679">
        <v>0.075</v>
      </c>
      <c r="K679">
        <v>0.02809864512492966</v>
      </c>
      <c r="L679" t="s">
        <v>791</v>
      </c>
      <c r="M679" t="s">
        <v>648</v>
      </c>
      <c r="N679">
        <v>27.25388127853882</v>
      </c>
      <c r="O679">
        <v>10.95</v>
      </c>
      <c r="P679">
        <v>4.48</v>
      </c>
      <c r="Q679">
        <v>0.4091324200913243</v>
      </c>
      <c r="R679">
        <v>12</v>
      </c>
      <c r="S679">
        <v>0.0799150058822331</v>
      </c>
      <c r="T679" t="s">
        <v>949</v>
      </c>
      <c r="U679">
        <v>0.012927098981947</v>
      </c>
      <c r="V679" t="s">
        <v>988</v>
      </c>
      <c r="W679" t="s">
        <v>1000</v>
      </c>
      <c r="X679">
        <v>198250.550181</v>
      </c>
      <c r="Y679" s="2">
        <v>45050</v>
      </c>
      <c r="Z679" t="s">
        <v>1008</v>
      </c>
    </row>
    <row r="680" spans="1:26">
      <c r="A680" s="1" t="s">
        <v>704</v>
      </c>
      <c r="B680">
        <f>HYPERLINK("https://www.suredividend.com/sure-analysis-AVGO/","Broadcom Inc")</f>
        <v>0</v>
      </c>
      <c r="C680" t="s">
        <v>897</v>
      </c>
      <c r="D680">
        <v>790</v>
      </c>
      <c r="E680">
        <v>822.15</v>
      </c>
      <c r="F680">
        <v>580</v>
      </c>
      <c r="G680">
        <v>1.4175</v>
      </c>
      <c r="H680">
        <v>0.02238034421942468</v>
      </c>
      <c r="I680">
        <v>-0.06740005289337503</v>
      </c>
      <c r="J680">
        <v>0.07000000000000001</v>
      </c>
      <c r="K680">
        <v>0.02497480925692752</v>
      </c>
      <c r="L680" t="s">
        <v>791</v>
      </c>
      <c r="M680" t="s">
        <v>648</v>
      </c>
      <c r="N680">
        <v>19.85869565217391</v>
      </c>
      <c r="O680">
        <v>41.4</v>
      </c>
      <c r="P680">
        <v>18.4</v>
      </c>
      <c r="Q680">
        <v>0.4444444444444444</v>
      </c>
      <c r="R680">
        <v>12</v>
      </c>
      <c r="S680">
        <v>0.08003485883245509</v>
      </c>
      <c r="T680" t="s">
        <v>939</v>
      </c>
      <c r="U680">
        <v>0.6715597971722851</v>
      </c>
      <c r="V680" t="s">
        <v>988</v>
      </c>
      <c r="W680" t="s">
        <v>1000</v>
      </c>
      <c r="X680">
        <v>339289.305721</v>
      </c>
      <c r="Y680" s="2">
        <v>45079</v>
      </c>
      <c r="Z680" t="s">
        <v>1008</v>
      </c>
    </row>
    <row r="681" spans="1:26">
      <c r="A681" s="1" t="s">
        <v>705</v>
      </c>
      <c r="B681">
        <f>HYPERLINK("https://www.suredividend.com/sure-analysis-CNQ/","Canadian Natural Resources Ltd.")</f>
        <v>0</v>
      </c>
      <c r="C681" t="s">
        <v>898</v>
      </c>
      <c r="D681">
        <v>57</v>
      </c>
      <c r="E681">
        <v>53.3</v>
      </c>
      <c r="F681">
        <v>66</v>
      </c>
      <c r="G681">
        <v>0.8075757575757575</v>
      </c>
      <c r="H681">
        <v>0.04971857410881801</v>
      </c>
      <c r="I681">
        <v>0.04367034924553481</v>
      </c>
      <c r="J681">
        <v>-0.07000000000000001</v>
      </c>
      <c r="K681">
        <v>0.02314246979312196</v>
      </c>
      <c r="L681" t="s">
        <v>791</v>
      </c>
      <c r="M681" t="s">
        <v>589</v>
      </c>
      <c r="N681">
        <v>9.69090909090909</v>
      </c>
      <c r="O681">
        <v>5.5</v>
      </c>
      <c r="P681">
        <v>2.65</v>
      </c>
      <c r="Q681">
        <v>0.4818181818181818</v>
      </c>
      <c r="R681">
        <v>7</v>
      </c>
      <c r="S681">
        <v>0.01465826477964405</v>
      </c>
      <c r="T681" t="s">
        <v>902</v>
      </c>
      <c r="U681">
        <v>0.133367355617929</v>
      </c>
      <c r="V681" t="s">
        <v>988</v>
      </c>
      <c r="W681" t="s">
        <v>1002</v>
      </c>
      <c r="X681">
        <v>58441.647607</v>
      </c>
      <c r="Y681" s="2">
        <v>45063</v>
      </c>
      <c r="Z681" t="s">
        <v>1007</v>
      </c>
    </row>
    <row r="682" spans="1:26">
      <c r="A682" s="1" t="s">
        <v>706</v>
      </c>
      <c r="B682">
        <f>HYPERLINK("https://www.suredividend.com/sure-analysis-PECO/","Phillips Edison &amp; Company Inc")</f>
        <v>0</v>
      </c>
      <c r="C682" t="s">
        <v>898</v>
      </c>
      <c r="D682">
        <v>31</v>
      </c>
      <c r="E682">
        <v>32.2</v>
      </c>
      <c r="F682">
        <v>25</v>
      </c>
      <c r="G682">
        <v>1.288</v>
      </c>
      <c r="H682">
        <v>0.03478260869565217</v>
      </c>
      <c r="I682">
        <v>-0.04935837301253376</v>
      </c>
      <c r="J682">
        <v>0.03</v>
      </c>
      <c r="K682">
        <v>0.01959905982106869</v>
      </c>
      <c r="L682" t="s">
        <v>791</v>
      </c>
      <c r="M682" t="s">
        <v>791</v>
      </c>
      <c r="N682">
        <v>14.24778761061947</v>
      </c>
      <c r="O682">
        <v>2.26</v>
      </c>
      <c r="P682">
        <v>1.12</v>
      </c>
      <c r="Q682">
        <v>0.4955752212389382</v>
      </c>
      <c r="R682">
        <v>2</v>
      </c>
      <c r="S682">
        <v>0.05008294028029181</v>
      </c>
      <c r="T682" t="s">
        <v>916</v>
      </c>
      <c r="U682">
        <v>0.007326580282677001</v>
      </c>
      <c r="V682" t="s">
        <v>989</v>
      </c>
      <c r="W682" t="s">
        <v>1001</v>
      </c>
      <c r="X682">
        <v>3777.06</v>
      </c>
      <c r="Y682" s="2">
        <v>45057</v>
      </c>
      <c r="Z682" t="s">
        <v>1012</v>
      </c>
    </row>
    <row r="683" spans="1:26">
      <c r="A683" s="1" t="s">
        <v>707</v>
      </c>
      <c r="B683">
        <f>HYPERLINK("https://www.suredividend.com/sure-analysis-ETN/","Eaton Corporation plc")</f>
        <v>0</v>
      </c>
      <c r="C683" t="s">
        <v>897</v>
      </c>
      <c r="D683">
        <v>172</v>
      </c>
      <c r="E683">
        <v>194.46</v>
      </c>
      <c r="F683">
        <v>143</v>
      </c>
      <c r="G683">
        <v>1.35986013986014</v>
      </c>
      <c r="H683">
        <v>0.01769001337035894</v>
      </c>
      <c r="I683">
        <v>-0.05962483460924661</v>
      </c>
      <c r="J683">
        <v>0.06</v>
      </c>
      <c r="K683">
        <v>0.01733713934963377</v>
      </c>
      <c r="L683" t="s">
        <v>791</v>
      </c>
      <c r="M683" t="s">
        <v>648</v>
      </c>
      <c r="N683">
        <v>23.15</v>
      </c>
      <c r="O683">
        <v>8.4</v>
      </c>
      <c r="P683">
        <v>3.44</v>
      </c>
      <c r="Q683">
        <v>0.4095238095238095</v>
      </c>
      <c r="R683">
        <v>14</v>
      </c>
      <c r="S683">
        <v>0.05983895403096029</v>
      </c>
      <c r="T683" t="s">
        <v>907</v>
      </c>
      <c r="U683">
        <v>0.5058029865170001</v>
      </c>
      <c r="V683" t="s">
        <v>988</v>
      </c>
      <c r="W683" t="s">
        <v>993</v>
      </c>
      <c r="X683">
        <v>77511.75599999999</v>
      </c>
      <c r="Y683" s="2">
        <v>45050</v>
      </c>
      <c r="Z683" t="s">
        <v>1003</v>
      </c>
    </row>
    <row r="684" spans="1:26">
      <c r="A684" s="1" t="s">
        <v>708</v>
      </c>
      <c r="B684">
        <f>HYPERLINK("https://www.suredividend.com/sure-analysis-RACE/","Ferrari N.V.")</f>
        <v>0</v>
      </c>
      <c r="C684" t="s">
        <v>898</v>
      </c>
      <c r="D684">
        <v>298</v>
      </c>
      <c r="E684">
        <v>307.52</v>
      </c>
      <c r="F684">
        <v>220</v>
      </c>
      <c r="G684">
        <v>1.397818181818182</v>
      </c>
      <c r="H684">
        <v>0.006503642039542144</v>
      </c>
      <c r="I684">
        <v>-0.06478844746068713</v>
      </c>
      <c r="J684">
        <v>0.075</v>
      </c>
      <c r="K684">
        <v>0.01317765102614432</v>
      </c>
      <c r="L684" t="s">
        <v>791</v>
      </c>
      <c r="M684" t="s">
        <v>648</v>
      </c>
      <c r="N684">
        <v>44.63280116110305</v>
      </c>
      <c r="O684">
        <v>6.89</v>
      </c>
      <c r="P684">
        <v>2</v>
      </c>
      <c r="Q684">
        <v>0.2902757619738752</v>
      </c>
      <c r="R684">
        <v>2</v>
      </c>
      <c r="S684">
        <v>0.07490573551556112</v>
      </c>
      <c r="T684" t="s">
        <v>960</v>
      </c>
      <c r="U684">
        <v>0.613714897424258</v>
      </c>
      <c r="V684" t="s">
        <v>988</v>
      </c>
      <c r="W684" t="s">
        <v>995</v>
      </c>
      <c r="X684">
        <v>56813.671133</v>
      </c>
      <c r="Y684" s="2">
        <v>45069</v>
      </c>
      <c r="Z684" t="s">
        <v>1003</v>
      </c>
    </row>
    <row r="685" spans="1:26">
      <c r="A685" s="1" t="s">
        <v>709</v>
      </c>
      <c r="B685">
        <f>HYPERLINK("https://www.suredividend.com/sure-analysis-WDFC/","WD-40 Co.")</f>
        <v>0</v>
      </c>
      <c r="C685" t="s">
        <v>898</v>
      </c>
      <c r="D685">
        <v>184</v>
      </c>
      <c r="E685">
        <v>184.12</v>
      </c>
      <c r="F685">
        <v>139</v>
      </c>
      <c r="G685">
        <v>1.324604316546763</v>
      </c>
      <c r="H685">
        <v>0.01803171844449272</v>
      </c>
      <c r="I685">
        <v>-0.05467146626821284</v>
      </c>
      <c r="J685">
        <v>0.05</v>
      </c>
      <c r="K685">
        <v>0.01269407556796009</v>
      </c>
      <c r="L685" t="s">
        <v>791</v>
      </c>
      <c r="M685" t="s">
        <v>648</v>
      </c>
      <c r="N685">
        <v>36.824</v>
      </c>
      <c r="O685">
        <v>5</v>
      </c>
      <c r="P685">
        <v>3.32</v>
      </c>
      <c r="Q685">
        <v>0.6639999999999999</v>
      </c>
      <c r="R685">
        <v>14</v>
      </c>
      <c r="S685">
        <v>0.04003668004870131</v>
      </c>
      <c r="T685" t="s">
        <v>911</v>
      </c>
      <c r="U685">
        <v>-0.086627516462234</v>
      </c>
      <c r="V685" t="s">
        <v>988</v>
      </c>
      <c r="W685" t="s">
        <v>995</v>
      </c>
      <c r="X685">
        <v>2499.032406</v>
      </c>
      <c r="Y685" s="2">
        <v>45049</v>
      </c>
      <c r="Z685" t="s">
        <v>1014</v>
      </c>
    </row>
    <row r="686" spans="1:26">
      <c r="A686" s="1" t="s">
        <v>710</v>
      </c>
      <c r="B686">
        <f>HYPERLINK("https://www.suredividend.com/sure-analysis-BAM/","Brookfield Asset Management Ltd")</f>
        <v>0</v>
      </c>
      <c r="C686" t="s">
        <v>898</v>
      </c>
      <c r="D686">
        <v>31</v>
      </c>
      <c r="E686">
        <v>31.65</v>
      </c>
      <c r="F686">
        <v>20</v>
      </c>
      <c r="G686">
        <v>1.5825</v>
      </c>
      <c r="H686">
        <v>0.04044233807266983</v>
      </c>
      <c r="I686">
        <v>-0.08771348312557237</v>
      </c>
      <c r="J686">
        <v>0.06</v>
      </c>
      <c r="K686">
        <v>0.01172486114242299</v>
      </c>
      <c r="L686" t="s">
        <v>791</v>
      </c>
      <c r="M686" t="s">
        <v>589</v>
      </c>
      <c r="N686">
        <v>22.60714285714286</v>
      </c>
      <c r="O686">
        <v>1.4</v>
      </c>
      <c r="P686">
        <v>1.28</v>
      </c>
      <c r="Q686">
        <v>0.9142857142857144</v>
      </c>
      <c r="R686">
        <v>11</v>
      </c>
      <c r="S686">
        <v>0.01953427031337696</v>
      </c>
      <c r="T686" t="s">
        <v>934</v>
      </c>
      <c r="U686">
        <v>-0.0109375</v>
      </c>
      <c r="V686" t="s">
        <v>988</v>
      </c>
      <c r="W686" t="s">
        <v>994</v>
      </c>
      <c r="X686">
        <v>13053.396334</v>
      </c>
      <c r="Y686" s="2">
        <v>45068</v>
      </c>
      <c r="Z686" t="s">
        <v>1004</v>
      </c>
    </row>
    <row r="687" spans="1:26">
      <c r="A687" s="1" t="s">
        <v>711</v>
      </c>
      <c r="B687">
        <f>HYPERLINK("https://www.suredividend.com/sure-analysis-LOGI/","Logitech International S.A.")</f>
        <v>0</v>
      </c>
      <c r="C687" t="s">
        <v>898</v>
      </c>
      <c r="D687">
        <v>62</v>
      </c>
      <c r="E687">
        <v>55.8</v>
      </c>
      <c r="F687">
        <v>45</v>
      </c>
      <c r="G687">
        <v>1.24</v>
      </c>
      <c r="H687">
        <v>0.01738351254480287</v>
      </c>
      <c r="I687">
        <v>-0.04210994805604396</v>
      </c>
      <c r="J687">
        <v>0.03</v>
      </c>
      <c r="K687">
        <v>0.01010081315722955</v>
      </c>
      <c r="L687" t="s">
        <v>791</v>
      </c>
      <c r="M687" t="s">
        <v>648</v>
      </c>
      <c r="N687">
        <v>18.6</v>
      </c>
      <c r="O687">
        <v>3</v>
      </c>
      <c r="P687">
        <v>0.97</v>
      </c>
      <c r="Q687">
        <v>0.3233333333333333</v>
      </c>
      <c r="R687">
        <v>8</v>
      </c>
      <c r="S687">
        <v>0.09969075201768862</v>
      </c>
      <c r="T687" t="s">
        <v>985</v>
      </c>
      <c r="U687">
        <v>0.01479638601545</v>
      </c>
      <c r="V687" t="s">
        <v>988</v>
      </c>
      <c r="W687" t="s">
        <v>1000</v>
      </c>
      <c r="X687">
        <v>9659.349396</v>
      </c>
      <c r="Y687" s="2">
        <v>45050</v>
      </c>
      <c r="Z687" t="s">
        <v>1003</v>
      </c>
    </row>
    <row r="688" spans="1:26">
      <c r="A688" s="1" t="s">
        <v>712</v>
      </c>
      <c r="B688">
        <f>HYPERLINK("https://www.suredividend.com/sure-analysis-NEWT/","NewtekOne Inc")</f>
        <v>0</v>
      </c>
      <c r="C688" t="s">
        <v>897</v>
      </c>
      <c r="D688">
        <v>10.88</v>
      </c>
      <c r="E688">
        <v>15.66</v>
      </c>
      <c r="F688">
        <v>11.1</v>
      </c>
      <c r="G688">
        <v>1.410810810810811</v>
      </c>
      <c r="H688">
        <v>0.04597701149425287</v>
      </c>
      <c r="I688">
        <v>-0.06651736335720415</v>
      </c>
      <c r="J688">
        <v>0</v>
      </c>
      <c r="K688">
        <v>-0.004895584499448158</v>
      </c>
      <c r="L688" t="s">
        <v>791</v>
      </c>
      <c r="M688" t="s">
        <v>589</v>
      </c>
      <c r="N688">
        <v>8.464864864864865</v>
      </c>
      <c r="O688">
        <v>1.85</v>
      </c>
      <c r="P688">
        <v>0.72</v>
      </c>
      <c r="Q688">
        <v>0.3891891891891892</v>
      </c>
      <c r="R688">
        <v>0</v>
      </c>
      <c r="S688">
        <v>0.05024607263868264</v>
      </c>
      <c r="T688" t="s">
        <v>957</v>
      </c>
      <c r="U688">
        <v>-0.08738599609545701</v>
      </c>
      <c r="V688" t="s">
        <v>991</v>
      </c>
      <c r="W688" t="s">
        <v>994</v>
      </c>
      <c r="X688">
        <v>385.371161</v>
      </c>
      <c r="Y688" s="2">
        <v>45061</v>
      </c>
      <c r="Z688" t="s">
        <v>1012</v>
      </c>
    </row>
    <row r="689" spans="1:26">
      <c r="A689" s="1" t="s">
        <v>713</v>
      </c>
      <c r="B689">
        <f>HYPERLINK("https://www.suredividend.com/sure-analysis-VLO/","Valero Energy Corp.")</f>
        <v>0</v>
      </c>
      <c r="C689" t="s">
        <v>898</v>
      </c>
      <c r="D689">
        <v>115</v>
      </c>
      <c r="E689">
        <v>111.3</v>
      </c>
      <c r="F689">
        <v>84</v>
      </c>
      <c r="G689">
        <v>1.325</v>
      </c>
      <c r="H689">
        <v>0.03665768194070081</v>
      </c>
      <c r="I689">
        <v>-0.05472793352068905</v>
      </c>
      <c r="J689">
        <v>0</v>
      </c>
      <c r="K689">
        <v>-0.01271834603744004</v>
      </c>
      <c r="L689" t="s">
        <v>791</v>
      </c>
      <c r="M689" t="s">
        <v>791</v>
      </c>
      <c r="N689">
        <v>14.26923076923077</v>
      </c>
      <c r="O689">
        <v>7.8</v>
      </c>
      <c r="P689">
        <v>4.08</v>
      </c>
      <c r="Q689">
        <v>0.5230769230769231</v>
      </c>
      <c r="R689">
        <v>1</v>
      </c>
      <c r="S689">
        <v>0</v>
      </c>
      <c r="T689" t="s">
        <v>936</v>
      </c>
      <c r="U689">
        <v>0.10593968107601</v>
      </c>
      <c r="V689" t="s">
        <v>988</v>
      </c>
      <c r="W689" t="s">
        <v>1002</v>
      </c>
      <c r="X689">
        <v>40236.836424</v>
      </c>
      <c r="Y689" s="2">
        <v>45044</v>
      </c>
      <c r="Z689" t="s">
        <v>1007</v>
      </c>
    </row>
    <row r="690" spans="1:26">
      <c r="A690" s="1" t="s">
        <v>714</v>
      </c>
      <c r="B690">
        <f>HYPERLINK("https://www.suredividend.com/sure-analysis-WPM/","Wheaton Precious Metals Corp")</f>
        <v>0</v>
      </c>
      <c r="C690" t="s">
        <v>898</v>
      </c>
      <c r="D690">
        <v>46</v>
      </c>
      <c r="E690">
        <v>42.6</v>
      </c>
      <c r="F690">
        <v>34</v>
      </c>
      <c r="G690">
        <v>1.252941176470588</v>
      </c>
      <c r="H690">
        <v>0.01408450704225352</v>
      </c>
      <c r="I690">
        <v>-0.04409691417719563</v>
      </c>
      <c r="J690">
        <v>0.01</v>
      </c>
      <c r="K690">
        <v>-0.01794703148206545</v>
      </c>
      <c r="L690" t="s">
        <v>791</v>
      </c>
      <c r="M690" t="s">
        <v>648</v>
      </c>
      <c r="N690">
        <v>34.91803278688525</v>
      </c>
      <c r="O690">
        <v>1.22</v>
      </c>
      <c r="P690">
        <v>0.6</v>
      </c>
      <c r="Q690">
        <v>0.4918032786885246</v>
      </c>
      <c r="R690">
        <v>3</v>
      </c>
      <c r="S690">
        <v>0.01924487649145656</v>
      </c>
      <c r="T690" t="s">
        <v>908</v>
      </c>
      <c r="U690">
        <v>0.132060429704627</v>
      </c>
      <c r="V690" t="s">
        <v>988</v>
      </c>
      <c r="W690" t="s">
        <v>992</v>
      </c>
      <c r="X690">
        <v>19290.773173</v>
      </c>
      <c r="Y690" s="2">
        <v>45070</v>
      </c>
      <c r="Z690" t="s">
        <v>1004</v>
      </c>
    </row>
    <row r="691" spans="1:26">
      <c r="A691" s="1" t="s">
        <v>715</v>
      </c>
      <c r="B691">
        <f>HYPERLINK("https://www.suredividend.com/sure-analysis-AZN/","Astrazeneca plc")</f>
        <v>0</v>
      </c>
      <c r="C691" t="s">
        <v>898</v>
      </c>
      <c r="D691">
        <v>73</v>
      </c>
      <c r="E691">
        <v>72.12</v>
      </c>
      <c r="F691">
        <v>47</v>
      </c>
      <c r="G691">
        <v>1.534468085106383</v>
      </c>
      <c r="H691">
        <v>0.02010537992235164</v>
      </c>
      <c r="I691">
        <v>-0.08207240068917554</v>
      </c>
      <c r="J691">
        <v>0.04</v>
      </c>
      <c r="K691">
        <v>-0.02228989417462102</v>
      </c>
      <c r="L691" t="s">
        <v>791</v>
      </c>
      <c r="M691" t="s">
        <v>648</v>
      </c>
      <c r="N691">
        <v>19.97783933518006</v>
      </c>
      <c r="O691">
        <v>3.61</v>
      </c>
      <c r="P691">
        <v>1.45</v>
      </c>
      <c r="Q691">
        <v>0.4016620498614958</v>
      </c>
      <c r="R691">
        <v>1</v>
      </c>
      <c r="S691">
        <v>0</v>
      </c>
      <c r="T691" t="s">
        <v>986</v>
      </c>
      <c r="U691">
        <v>0.101398281012333</v>
      </c>
      <c r="V691" t="s">
        <v>988</v>
      </c>
      <c r="W691" t="s">
        <v>996</v>
      </c>
      <c r="X691">
        <v>223553.243463</v>
      </c>
      <c r="Y691" s="2">
        <v>45047</v>
      </c>
      <c r="Z691" t="s">
        <v>1003</v>
      </c>
    </row>
    <row r="692" spans="1:26">
      <c r="A692" s="1" t="s">
        <v>716</v>
      </c>
      <c r="B692">
        <f>HYPERLINK("https://www.suredividend.com/sure-analysis-MLR/","Miller Industries Inc.")</f>
        <v>0</v>
      </c>
      <c r="C692" t="s">
        <v>898</v>
      </c>
      <c r="D692">
        <v>34.9</v>
      </c>
      <c r="E692">
        <v>35.07</v>
      </c>
      <c r="F692">
        <v>23.7</v>
      </c>
      <c r="G692">
        <v>1.479746835443038</v>
      </c>
      <c r="H692">
        <v>0.02053036783575706</v>
      </c>
      <c r="I692">
        <v>-0.07538163335439552</v>
      </c>
      <c r="J692">
        <v>0.03</v>
      </c>
      <c r="K692">
        <v>-0.02389957279286359</v>
      </c>
      <c r="L692" t="s">
        <v>791</v>
      </c>
      <c r="M692" t="s">
        <v>648</v>
      </c>
      <c r="N692">
        <v>19.26923076923077</v>
      </c>
      <c r="O692">
        <v>1.82</v>
      </c>
      <c r="P692">
        <v>0.72</v>
      </c>
      <c r="Q692">
        <v>0.3956043956043956</v>
      </c>
      <c r="R692">
        <v>0</v>
      </c>
      <c r="S692">
        <v>0</v>
      </c>
      <c r="T692" t="s">
        <v>918</v>
      </c>
      <c r="U692">
        <v>0.570772083523689</v>
      </c>
      <c r="V692" t="s">
        <v>988</v>
      </c>
      <c r="W692" t="s">
        <v>993</v>
      </c>
      <c r="X692">
        <v>401.237133</v>
      </c>
      <c r="Y692" s="2">
        <v>45062</v>
      </c>
      <c r="Z692" t="s">
        <v>1015</v>
      </c>
    </row>
    <row r="693" spans="1:26">
      <c r="A693" s="1" t="s">
        <v>717</v>
      </c>
      <c r="B693">
        <f>HYPERLINK("https://www.suredividend.com/sure-analysis-KLIC/","Kulicke &amp; Soffa Industries, Inc.")</f>
        <v>0</v>
      </c>
      <c r="C693" t="s">
        <v>898</v>
      </c>
      <c r="D693">
        <v>51</v>
      </c>
      <c r="E693">
        <v>55.75</v>
      </c>
      <c r="F693">
        <v>18</v>
      </c>
      <c r="G693">
        <v>3.097222222222222</v>
      </c>
      <c r="H693">
        <v>0.01363228699551569</v>
      </c>
      <c r="I693">
        <v>-0.202362567876738</v>
      </c>
      <c r="J693">
        <v>0.2</v>
      </c>
      <c r="K693">
        <v>-0.02617202239944505</v>
      </c>
      <c r="L693" t="s">
        <v>791</v>
      </c>
      <c r="M693" t="s">
        <v>648</v>
      </c>
      <c r="N693">
        <v>36.67763157894737</v>
      </c>
      <c r="O693">
        <v>1.52</v>
      </c>
      <c r="P693">
        <v>0.76</v>
      </c>
      <c r="Q693">
        <v>0.5</v>
      </c>
      <c r="R693">
        <v>3</v>
      </c>
      <c r="S693">
        <v>0.02021836907521135</v>
      </c>
      <c r="T693" t="s">
        <v>939</v>
      </c>
      <c r="U693">
        <v>0.3387105941194291</v>
      </c>
      <c r="V693" t="s">
        <v>988</v>
      </c>
      <c r="W693" t="s">
        <v>1000</v>
      </c>
      <c r="X693">
        <v>3198.619861</v>
      </c>
      <c r="Y693" s="2">
        <v>45074</v>
      </c>
      <c r="Z693" t="s">
        <v>1003</v>
      </c>
    </row>
    <row r="694" spans="1:26">
      <c r="A694" s="1" t="s">
        <v>718</v>
      </c>
      <c r="B694">
        <f>HYPERLINK("https://www.suredividend.com/sure-analysis-PARA/","Paramount Global")</f>
        <v>0</v>
      </c>
      <c r="C694" t="s">
        <v>898</v>
      </c>
      <c r="D694">
        <v>15</v>
      </c>
      <c r="E694">
        <v>15.36</v>
      </c>
      <c r="F694">
        <v>7</v>
      </c>
      <c r="G694">
        <v>2.194285714285714</v>
      </c>
      <c r="H694">
        <v>0.01106770833333333</v>
      </c>
      <c r="I694">
        <v>-0.1454423528928419</v>
      </c>
      <c r="J694">
        <v>0.02</v>
      </c>
      <c r="K694">
        <v>-0.1099699039261198</v>
      </c>
      <c r="L694" t="s">
        <v>791</v>
      </c>
      <c r="M694" t="s">
        <v>648</v>
      </c>
      <c r="N694">
        <v>23.27272727272727</v>
      </c>
      <c r="O694">
        <v>0.66</v>
      </c>
      <c r="P694">
        <v>0.17</v>
      </c>
      <c r="Q694">
        <v>0.2575757575757576</v>
      </c>
      <c r="R694">
        <v>0</v>
      </c>
      <c r="S694">
        <v>0</v>
      </c>
      <c r="T694" t="s">
        <v>916</v>
      </c>
      <c r="U694">
        <v>-0.3787061231423881</v>
      </c>
      <c r="V694" t="s">
        <v>988</v>
      </c>
      <c r="W694" t="s">
        <v>998</v>
      </c>
      <c r="X694">
        <v>10104.388356</v>
      </c>
      <c r="Y694" s="2">
        <v>45069</v>
      </c>
      <c r="Z694" t="s">
        <v>1011</v>
      </c>
    </row>
    <row r="695" spans="1:26">
      <c r="A695" s="1" t="s">
        <v>719</v>
      </c>
      <c r="B695">
        <f>HYPERLINK("https://www.suredividend.com/sure-analysis-HLI/","Houlihan Lokey Inc")</f>
        <v>0</v>
      </c>
      <c r="C695" t="s">
        <v>898</v>
      </c>
      <c r="D695">
        <v>89</v>
      </c>
      <c r="E695">
        <v>93.86</v>
      </c>
      <c r="F695">
        <v>52</v>
      </c>
      <c r="G695">
        <v>1.805</v>
      </c>
      <c r="H695">
        <v>0.02343916471340294</v>
      </c>
      <c r="I695">
        <v>-0.1114035809411669</v>
      </c>
      <c r="J695">
        <v>-0.05</v>
      </c>
      <c r="K695">
        <v>-0.1128971217859859</v>
      </c>
      <c r="L695" t="s">
        <v>791</v>
      </c>
      <c r="M695" t="s">
        <v>648</v>
      </c>
      <c r="N695">
        <v>23.465</v>
      </c>
      <c r="O695">
        <v>4</v>
      </c>
      <c r="P695">
        <v>2.2</v>
      </c>
      <c r="Q695">
        <v>0.55</v>
      </c>
      <c r="R695">
        <v>6</v>
      </c>
      <c r="S695">
        <v>0.009805797673485328</v>
      </c>
      <c r="T695" t="s">
        <v>930</v>
      </c>
      <c r="U695">
        <v>0.182301999685088</v>
      </c>
      <c r="V695" t="s">
        <v>988</v>
      </c>
      <c r="W695" t="s">
        <v>994</v>
      </c>
      <c r="X695">
        <v>4770.95899</v>
      </c>
      <c r="Y695" s="2">
        <v>45061</v>
      </c>
      <c r="Z695" t="s">
        <v>1009</v>
      </c>
    </row>
    <row r="696" spans="1:26">
      <c r="A696" s="1" t="s">
        <v>720</v>
      </c>
      <c r="B696">
        <f>HYPERLINK("https://www.suredividend.com/sure-analysis-SLG/","SL Green Realty Corp.")</f>
        <v>0</v>
      </c>
      <c r="C696" t="s">
        <v>896</v>
      </c>
      <c r="D696">
        <v>26</v>
      </c>
      <c r="E696">
        <v>23.55</v>
      </c>
      <c r="F696">
        <v>54</v>
      </c>
      <c r="G696">
        <v>0.4361111111111111</v>
      </c>
      <c r="H696">
        <v>0.1380042462845011</v>
      </c>
      <c r="I696">
        <v>0.1805396273077211</v>
      </c>
      <c r="J696">
        <v>0.05</v>
      </c>
      <c r="K696">
        <v>0.2945335455605445</v>
      </c>
      <c r="L696" t="s">
        <v>648</v>
      </c>
      <c r="M696" t="s">
        <v>900</v>
      </c>
      <c r="N696">
        <v>4.281818181818182</v>
      </c>
      <c r="O696">
        <v>5.5</v>
      </c>
      <c r="P696">
        <v>3.25</v>
      </c>
      <c r="Q696">
        <v>0.5909090909090909</v>
      </c>
      <c r="R696">
        <v>0</v>
      </c>
      <c r="S696">
        <v>0.009064926884643665</v>
      </c>
      <c r="T696" t="s">
        <v>934</v>
      </c>
      <c r="U696">
        <v>-0.4795706623706381</v>
      </c>
      <c r="V696" t="s">
        <v>989</v>
      </c>
      <c r="W696" t="s">
        <v>1001</v>
      </c>
      <c r="X696">
        <v>1516.043661</v>
      </c>
      <c r="Y696" s="2">
        <v>45036</v>
      </c>
      <c r="Z696" t="s">
        <v>1007</v>
      </c>
    </row>
    <row r="697" spans="1:26">
      <c r="A697" s="1" t="s">
        <v>721</v>
      </c>
      <c r="B697">
        <f>HYPERLINK("https://www.suredividend.com/sure-analysis-BDN/","Brandywine Realty Trust")</f>
        <v>0</v>
      </c>
      <c r="C697" t="s">
        <v>896</v>
      </c>
      <c r="D697">
        <v>4.5</v>
      </c>
      <c r="E697">
        <v>4.1</v>
      </c>
      <c r="F697">
        <v>9.699999999999999</v>
      </c>
      <c r="G697">
        <v>0.422680412371134</v>
      </c>
      <c r="H697">
        <v>0.1853658536585366</v>
      </c>
      <c r="I697">
        <v>0.1879483960870103</v>
      </c>
      <c r="J697">
        <v>0.02</v>
      </c>
      <c r="K697">
        <v>0.2875799924681337</v>
      </c>
      <c r="L697" t="s">
        <v>648</v>
      </c>
      <c r="M697" t="s">
        <v>900</v>
      </c>
      <c r="N697">
        <v>3.53448275862069</v>
      </c>
      <c r="O697">
        <v>1.16</v>
      </c>
      <c r="P697">
        <v>0.76</v>
      </c>
      <c r="Q697">
        <v>0.6551724137931035</v>
      </c>
      <c r="R697">
        <v>0</v>
      </c>
      <c r="S697">
        <v>0</v>
      </c>
      <c r="T697" t="s">
        <v>959</v>
      </c>
      <c r="U697">
        <v>-0.539201582449199</v>
      </c>
      <c r="V697" t="s">
        <v>989</v>
      </c>
      <c r="W697" t="s">
        <v>1001</v>
      </c>
      <c r="X697">
        <v>704.8512500000001</v>
      </c>
      <c r="Y697" s="2">
        <v>45036</v>
      </c>
      <c r="Z697" t="s">
        <v>1007</v>
      </c>
    </row>
    <row r="698" spans="1:26">
      <c r="A698" s="1" t="s">
        <v>722</v>
      </c>
      <c r="B698">
        <f>HYPERLINK("https://www.suredividend.com/sure-analysis-IEP/","Icahn Enterprises L P")</f>
        <v>0</v>
      </c>
      <c r="C698" t="s">
        <v>896</v>
      </c>
      <c r="D698">
        <v>36</v>
      </c>
      <c r="E698">
        <v>27.43</v>
      </c>
      <c r="F698">
        <v>48</v>
      </c>
      <c r="G698">
        <v>0.5714583333333333</v>
      </c>
      <c r="H698">
        <v>0.2916514764855997</v>
      </c>
      <c r="I698">
        <v>0.1184152648038403</v>
      </c>
      <c r="J698">
        <v>0</v>
      </c>
      <c r="K698">
        <v>0.262558101256573</v>
      </c>
      <c r="L698" t="s">
        <v>648</v>
      </c>
      <c r="M698" t="s">
        <v>589</v>
      </c>
      <c r="N698">
        <v>3.42875</v>
      </c>
      <c r="O698">
        <v>8</v>
      </c>
      <c r="P698">
        <v>8</v>
      </c>
      <c r="Q698">
        <v>1</v>
      </c>
      <c r="R698">
        <v>0</v>
      </c>
      <c r="S698">
        <v>0</v>
      </c>
      <c r="T698" t="s">
        <v>972</v>
      </c>
      <c r="U698">
        <v>-0.280658552767878</v>
      </c>
      <c r="V698" t="s">
        <v>990</v>
      </c>
      <c r="W698" t="s">
        <v>993</v>
      </c>
      <c r="X698">
        <v>10127.08534</v>
      </c>
      <c r="Y698" s="2">
        <v>45061</v>
      </c>
      <c r="Z698" t="s">
        <v>1012</v>
      </c>
    </row>
    <row r="699" spans="1:26">
      <c r="A699" s="1" t="s">
        <v>723</v>
      </c>
      <c r="B699">
        <f>HYPERLINK("https://www.suredividend.com/sure-analysis-HGTXU/","Hugoton Royalty Trust")</f>
        <v>0</v>
      </c>
      <c r="C699" t="s">
        <v>897</v>
      </c>
      <c r="D699">
        <v>1.27</v>
      </c>
      <c r="E699">
        <v>0.8184</v>
      </c>
      <c r="F699">
        <v>1.95</v>
      </c>
      <c r="G699">
        <v>0.4196923076923077</v>
      </c>
      <c r="H699">
        <v>0.3176930596285435</v>
      </c>
      <c r="I699">
        <v>0.1896351784437618</v>
      </c>
      <c r="J699">
        <v>-0.05</v>
      </c>
      <c r="K699">
        <v>0.2622714039324767</v>
      </c>
      <c r="L699" t="s">
        <v>648</v>
      </c>
      <c r="M699" t="s">
        <v>589</v>
      </c>
      <c r="N699">
        <v>3.147692307692308</v>
      </c>
      <c r="O699">
        <v>0.26</v>
      </c>
      <c r="P699">
        <v>0.26</v>
      </c>
      <c r="Q699">
        <v>1</v>
      </c>
      <c r="R699">
        <v>1</v>
      </c>
      <c r="S699">
        <v>-0.05111991994525078</v>
      </c>
      <c r="T699" t="s">
        <v>934</v>
      </c>
      <c r="U699">
        <v>-0.526936416184971</v>
      </c>
      <c r="V699" t="s">
        <v>988</v>
      </c>
      <c r="W699" t="s">
        <v>1002</v>
      </c>
      <c r="X699">
        <v>32.736</v>
      </c>
      <c r="Y699" s="2">
        <v>45069</v>
      </c>
      <c r="Z699" t="s">
        <v>1007</v>
      </c>
    </row>
    <row r="700" spans="1:26">
      <c r="A700" s="1" t="s">
        <v>724</v>
      </c>
      <c r="B700">
        <f>HYPERLINK("https://www.suredividend.com/sure-analysis-IIPR/","Innovative Industrial Properties Inc")</f>
        <v>0</v>
      </c>
      <c r="C700" t="s">
        <v>896</v>
      </c>
      <c r="D700">
        <v>70</v>
      </c>
      <c r="E700">
        <v>70.59</v>
      </c>
      <c r="F700">
        <v>85</v>
      </c>
      <c r="G700">
        <v>0.8304705882352942</v>
      </c>
      <c r="H700">
        <v>0.1019974500637484</v>
      </c>
      <c r="I700">
        <v>0.03785133611420677</v>
      </c>
      <c r="J700">
        <v>0.15</v>
      </c>
      <c r="K700">
        <v>0.2468715887443091</v>
      </c>
      <c r="L700" t="s">
        <v>648</v>
      </c>
      <c r="M700" t="s">
        <v>589</v>
      </c>
      <c r="N700">
        <v>8.304705882352941</v>
      </c>
      <c r="O700">
        <v>8.5</v>
      </c>
      <c r="P700">
        <v>7.2</v>
      </c>
      <c r="Q700">
        <v>0.8470588235294118</v>
      </c>
      <c r="R700">
        <v>6</v>
      </c>
      <c r="S700">
        <v>0.05001765894316224</v>
      </c>
      <c r="T700" t="s">
        <v>906</v>
      </c>
      <c r="U700">
        <v>-0.36127820365263</v>
      </c>
      <c r="V700" t="s">
        <v>989</v>
      </c>
      <c r="W700" t="s">
        <v>1001</v>
      </c>
      <c r="X700">
        <v>1978.990579</v>
      </c>
      <c r="Y700" s="2">
        <v>45069</v>
      </c>
      <c r="Z700" t="s">
        <v>1012</v>
      </c>
    </row>
    <row r="701" spans="1:26">
      <c r="A701" s="1" t="s">
        <v>725</v>
      </c>
      <c r="B701">
        <f>HYPERLINK("https://www.suredividend.com/sure-analysis-AAT/","American Assets Trust Inc")</f>
        <v>0</v>
      </c>
      <c r="C701" t="s">
        <v>896</v>
      </c>
      <c r="D701">
        <v>17</v>
      </c>
      <c r="E701">
        <v>18.08</v>
      </c>
      <c r="F701">
        <v>38</v>
      </c>
      <c r="G701">
        <v>0.4757894736842105</v>
      </c>
      <c r="H701">
        <v>0.07300884955752214</v>
      </c>
      <c r="I701">
        <v>0.1601577194888688</v>
      </c>
      <c r="J701">
        <v>0.03</v>
      </c>
      <c r="K701">
        <v>0.2327432650551247</v>
      </c>
      <c r="L701" t="s">
        <v>648</v>
      </c>
      <c r="M701" t="s">
        <v>589</v>
      </c>
      <c r="N701">
        <v>8.035555555555554</v>
      </c>
      <c r="O701">
        <v>2.25</v>
      </c>
      <c r="P701">
        <v>1.32</v>
      </c>
      <c r="Q701">
        <v>0.5866666666666667</v>
      </c>
      <c r="R701">
        <v>3</v>
      </c>
      <c r="S701">
        <v>0.03922410156720635</v>
      </c>
      <c r="T701" t="s">
        <v>951</v>
      </c>
      <c r="U701">
        <v>-0.372609984107044</v>
      </c>
      <c r="V701" t="s">
        <v>989</v>
      </c>
      <c r="W701" t="s">
        <v>1001</v>
      </c>
      <c r="X701">
        <v>1097.760106</v>
      </c>
      <c r="Y701" s="2">
        <v>45042</v>
      </c>
      <c r="Z701" t="s">
        <v>1007</v>
      </c>
    </row>
    <row r="702" spans="1:26">
      <c r="A702" s="1" t="s">
        <v>726</v>
      </c>
      <c r="B702">
        <f>HYPERLINK("https://www.suredividend.com/sure-analysis-ARR/","ARMOUR Residential REIT Inc")</f>
        <v>0</v>
      </c>
      <c r="C702" t="s">
        <v>896</v>
      </c>
      <c r="D702">
        <v>5.8</v>
      </c>
      <c r="E702">
        <v>5.09</v>
      </c>
      <c r="F702">
        <v>7.8</v>
      </c>
      <c r="G702">
        <v>0.6525641025641026</v>
      </c>
      <c r="H702">
        <v>0.1886051080550098</v>
      </c>
      <c r="I702">
        <v>0.08911907414941278</v>
      </c>
      <c r="J702">
        <v>0</v>
      </c>
      <c r="K702">
        <v>0.2075704608356161</v>
      </c>
      <c r="L702" t="s">
        <v>648</v>
      </c>
      <c r="M702" t="s">
        <v>589</v>
      </c>
      <c r="N702">
        <v>4.544642857142857</v>
      </c>
      <c r="O702">
        <v>1.12</v>
      </c>
      <c r="P702">
        <v>0.96</v>
      </c>
      <c r="Q702">
        <v>0.857142857142857</v>
      </c>
      <c r="R702">
        <v>0</v>
      </c>
      <c r="S702">
        <v>0.03131030647754507</v>
      </c>
      <c r="T702" t="s">
        <v>916</v>
      </c>
      <c r="U702">
        <v>-0.09391911136428301</v>
      </c>
      <c r="V702" t="s">
        <v>989</v>
      </c>
      <c r="W702" t="s">
        <v>1001</v>
      </c>
      <c r="X702">
        <v>995.1590169999999</v>
      </c>
      <c r="Y702" s="2">
        <v>45059</v>
      </c>
      <c r="Z702" t="s">
        <v>1013</v>
      </c>
    </row>
    <row r="703" spans="1:26">
      <c r="A703" s="1" t="s">
        <v>727</v>
      </c>
      <c r="B703">
        <f>HYPERLINK("https://www.suredividend.com/sure-analysis-PBR/","Petroleo Brasileiro S.A. Petrobras")</f>
        <v>0</v>
      </c>
      <c r="C703" t="s">
        <v>898</v>
      </c>
      <c r="D703">
        <v>13</v>
      </c>
      <c r="E703">
        <v>14.09</v>
      </c>
      <c r="F703">
        <v>24</v>
      </c>
      <c r="G703">
        <v>0.5870833333333333</v>
      </c>
      <c r="H703">
        <v>0.14194464158978</v>
      </c>
      <c r="I703">
        <v>0.1123976166964531</v>
      </c>
      <c r="J703">
        <v>0.01</v>
      </c>
      <c r="K703">
        <v>0.2011192591442921</v>
      </c>
      <c r="L703" t="s">
        <v>648</v>
      </c>
      <c r="M703" t="s">
        <v>900</v>
      </c>
      <c r="N703">
        <v>4.776271186440677</v>
      </c>
      <c r="O703">
        <v>2.95</v>
      </c>
      <c r="P703">
        <v>2</v>
      </c>
      <c r="Q703">
        <v>0.6779661016949152</v>
      </c>
      <c r="R703">
        <v>0</v>
      </c>
      <c r="S703">
        <v>0</v>
      </c>
      <c r="U703">
        <v>0.593206540175037</v>
      </c>
      <c r="V703" t="s">
        <v>988</v>
      </c>
      <c r="W703" t="s">
        <v>1002</v>
      </c>
      <c r="X703">
        <v>87724.95899499999</v>
      </c>
      <c r="Y703" s="2">
        <v>45084</v>
      </c>
      <c r="Z703" t="s">
        <v>1016</v>
      </c>
    </row>
    <row r="704" spans="1:26">
      <c r="A704" s="1" t="s">
        <v>728</v>
      </c>
      <c r="B704">
        <f>HYPERLINK("https://www.suredividend.com/sure-analysis-CLPR/","Clipper Realty Inc")</f>
        <v>0</v>
      </c>
      <c r="C704" t="s">
        <v>896</v>
      </c>
      <c r="D704">
        <v>5.4</v>
      </c>
      <c r="E704">
        <v>5.7</v>
      </c>
      <c r="F704">
        <v>10.2</v>
      </c>
      <c r="G704">
        <v>0.5588235294117647</v>
      </c>
      <c r="H704">
        <v>0.06666666666666667</v>
      </c>
      <c r="I704">
        <v>0.1234275325950922</v>
      </c>
      <c r="J704">
        <v>0.028</v>
      </c>
      <c r="K704">
        <v>0.1911806797217874</v>
      </c>
      <c r="L704" t="s">
        <v>648</v>
      </c>
      <c r="M704" t="s">
        <v>589</v>
      </c>
      <c r="N704">
        <v>10.75471698113208</v>
      </c>
      <c r="O704">
        <v>0.53</v>
      </c>
      <c r="P704">
        <v>0.38</v>
      </c>
      <c r="Q704">
        <v>0.7169811320754716</v>
      </c>
      <c r="R704">
        <v>0</v>
      </c>
      <c r="S704">
        <v>0.01031145931793609</v>
      </c>
      <c r="T704" t="s">
        <v>931</v>
      </c>
      <c r="U704">
        <v>-0.229386077575134</v>
      </c>
      <c r="V704" t="s">
        <v>989</v>
      </c>
      <c r="W704" t="s">
        <v>1001</v>
      </c>
      <c r="X704">
        <v>91.5604</v>
      </c>
      <c r="Y704" s="2">
        <v>45080</v>
      </c>
      <c r="Z704" t="s">
        <v>1013</v>
      </c>
    </row>
    <row r="705" spans="1:26">
      <c r="A705" s="1" t="s">
        <v>729</v>
      </c>
      <c r="B705">
        <f>HYPERLINK("https://www.suredividend.com/sure-analysis-MED/","Medifast Inc")</f>
        <v>0</v>
      </c>
      <c r="C705" t="s">
        <v>896</v>
      </c>
      <c r="D705">
        <v>84</v>
      </c>
      <c r="E705">
        <v>86.63</v>
      </c>
      <c r="F705">
        <v>144</v>
      </c>
      <c r="G705">
        <v>0.6015972222222222</v>
      </c>
      <c r="H705">
        <v>0.07618607872561468</v>
      </c>
      <c r="I705">
        <v>0.1069776067326751</v>
      </c>
      <c r="J705">
        <v>0.03</v>
      </c>
      <c r="K705">
        <v>0.1882547964828118</v>
      </c>
      <c r="L705" t="s">
        <v>648</v>
      </c>
      <c r="M705" t="s">
        <v>589</v>
      </c>
      <c r="N705">
        <v>9.023958333333333</v>
      </c>
      <c r="O705">
        <v>9.6</v>
      </c>
      <c r="P705">
        <v>6.6</v>
      </c>
      <c r="Q705">
        <v>0.6875</v>
      </c>
      <c r="R705">
        <v>7</v>
      </c>
      <c r="S705">
        <v>0.04991376879974663</v>
      </c>
      <c r="T705" t="s">
        <v>958</v>
      </c>
      <c r="U705">
        <v>-0.50939092895616</v>
      </c>
      <c r="V705" t="s">
        <v>988</v>
      </c>
      <c r="W705" t="s">
        <v>995</v>
      </c>
      <c r="X705">
        <v>961.121398</v>
      </c>
      <c r="Y705" s="2">
        <v>45049</v>
      </c>
      <c r="Z705" t="s">
        <v>1015</v>
      </c>
    </row>
    <row r="706" spans="1:26">
      <c r="A706" s="1" t="s">
        <v>730</v>
      </c>
      <c r="B706">
        <f>HYPERLINK("https://www.suredividend.com/sure-analysis-GNL/","Global Net Lease Inc")</f>
        <v>0</v>
      </c>
      <c r="C706" t="s">
        <v>896</v>
      </c>
      <c r="D706">
        <v>10.6</v>
      </c>
      <c r="E706">
        <v>9.51</v>
      </c>
      <c r="F706">
        <v>13.4</v>
      </c>
      <c r="G706">
        <v>0.7097014925373134</v>
      </c>
      <c r="H706">
        <v>0.1682439537329127</v>
      </c>
      <c r="I706">
        <v>0.07098862027237418</v>
      </c>
      <c r="J706">
        <v>0.002</v>
      </c>
      <c r="K706">
        <v>0.1839708517886176</v>
      </c>
      <c r="L706" t="s">
        <v>648</v>
      </c>
      <c r="M706" t="s">
        <v>589</v>
      </c>
      <c r="N706">
        <v>5.660714285714286</v>
      </c>
      <c r="O706">
        <v>1.68</v>
      </c>
      <c r="P706">
        <v>1.6</v>
      </c>
      <c r="Q706">
        <v>0.9523809523809524</v>
      </c>
      <c r="R706">
        <v>0</v>
      </c>
      <c r="S706">
        <v>0.02383625553960966</v>
      </c>
      <c r="T706" t="s">
        <v>949</v>
      </c>
      <c r="U706">
        <v>-0.250697300619297</v>
      </c>
      <c r="V706" t="s">
        <v>989</v>
      </c>
      <c r="W706" t="s">
        <v>1001</v>
      </c>
      <c r="X706">
        <v>987.58167</v>
      </c>
      <c r="Y706" s="2">
        <v>45067</v>
      </c>
      <c r="Z706" t="s">
        <v>1013</v>
      </c>
    </row>
    <row r="707" spans="1:26">
      <c r="A707" s="1" t="s">
        <v>731</v>
      </c>
      <c r="B707">
        <f>HYPERLINK("https://www.suredividend.com/sure-analysis-CHCT/","Community Healthcare Trust Inc")</f>
        <v>0</v>
      </c>
      <c r="C707" t="s">
        <v>896</v>
      </c>
      <c r="D707">
        <v>37</v>
      </c>
      <c r="E707">
        <v>31.65</v>
      </c>
      <c r="F707">
        <v>42</v>
      </c>
      <c r="G707">
        <v>0.7535714285714286</v>
      </c>
      <c r="H707">
        <v>0.05687203791469195</v>
      </c>
      <c r="I707">
        <v>0.0582179286532527</v>
      </c>
      <c r="J707">
        <v>0.08</v>
      </c>
      <c r="K707">
        <v>0.1762825963576777</v>
      </c>
      <c r="L707" t="s">
        <v>648</v>
      </c>
      <c r="M707" t="s">
        <v>791</v>
      </c>
      <c r="N707">
        <v>13.24267782426778</v>
      </c>
      <c r="O707">
        <v>2.39</v>
      </c>
      <c r="P707">
        <v>1.8</v>
      </c>
      <c r="Q707">
        <v>0.7531380753138075</v>
      </c>
      <c r="R707">
        <v>7</v>
      </c>
      <c r="S707">
        <v>0.02027234317185655</v>
      </c>
      <c r="T707" t="s">
        <v>943</v>
      </c>
      <c r="U707">
        <v>-0.07860530245909</v>
      </c>
      <c r="V707" t="s">
        <v>989</v>
      </c>
      <c r="W707" t="s">
        <v>1001</v>
      </c>
      <c r="X707">
        <v>832.535051</v>
      </c>
      <c r="Y707" s="2">
        <v>45057</v>
      </c>
      <c r="Z707" t="s">
        <v>1010</v>
      </c>
    </row>
    <row r="708" spans="1:26">
      <c r="A708" s="1" t="s">
        <v>732</v>
      </c>
      <c r="B708">
        <f>HYPERLINK("https://www.suredividend.com/sure-analysis-UMH/","UMH Properties Inc")</f>
        <v>0</v>
      </c>
      <c r="C708" t="s">
        <v>896</v>
      </c>
      <c r="D708">
        <v>16</v>
      </c>
      <c r="E708">
        <v>15.26</v>
      </c>
      <c r="F708">
        <v>22.1</v>
      </c>
      <c r="G708">
        <v>0.6904977375565611</v>
      </c>
      <c r="H708">
        <v>0.05373525557011796</v>
      </c>
      <c r="I708">
        <v>0.07688058709336021</v>
      </c>
      <c r="J708">
        <v>0.06</v>
      </c>
      <c r="K708">
        <v>0.1751562128367898</v>
      </c>
      <c r="L708" t="s">
        <v>648</v>
      </c>
      <c r="M708" t="s">
        <v>791</v>
      </c>
      <c r="N708">
        <v>16.76923076923077</v>
      </c>
      <c r="O708">
        <v>0.91</v>
      </c>
      <c r="P708">
        <v>0.82</v>
      </c>
      <c r="Q708">
        <v>0.901098901098901</v>
      </c>
      <c r="R708">
        <v>3</v>
      </c>
      <c r="S708">
        <v>0.04048836820440749</v>
      </c>
      <c r="T708" t="s">
        <v>931</v>
      </c>
      <c r="U708">
        <v>-0.06542628442642501</v>
      </c>
      <c r="V708" t="s">
        <v>989</v>
      </c>
      <c r="W708" t="s">
        <v>1001</v>
      </c>
      <c r="X708">
        <v>927.50425</v>
      </c>
      <c r="Y708" s="2">
        <v>45067</v>
      </c>
      <c r="Z708" t="s">
        <v>1013</v>
      </c>
    </row>
    <row r="709" spans="1:26">
      <c r="A709" s="1" t="s">
        <v>733</v>
      </c>
      <c r="B709">
        <f>HYPERLINK("https://www.suredividend.com/sure-analysis-PEAK/","Healthpeak Properties Inc.")</f>
        <v>0</v>
      </c>
      <c r="C709" t="s">
        <v>896</v>
      </c>
      <c r="D709">
        <v>22</v>
      </c>
      <c r="E709">
        <v>19.27</v>
      </c>
      <c r="F709">
        <v>27</v>
      </c>
      <c r="G709">
        <v>0.7137037037037037</v>
      </c>
      <c r="H709">
        <v>0.06227296315516347</v>
      </c>
      <c r="I709">
        <v>0.06978476786876064</v>
      </c>
      <c r="J709">
        <v>0.06</v>
      </c>
      <c r="K709">
        <v>0.1738524194075599</v>
      </c>
      <c r="L709" t="s">
        <v>648</v>
      </c>
      <c r="M709" t="s">
        <v>589</v>
      </c>
      <c r="N709">
        <v>11.13872832369942</v>
      </c>
      <c r="O709">
        <v>1.73</v>
      </c>
      <c r="P709">
        <v>1.2</v>
      </c>
      <c r="Q709">
        <v>0.6936416184971098</v>
      </c>
      <c r="R709">
        <v>0</v>
      </c>
      <c r="S709">
        <v>0.04283618904063879</v>
      </c>
      <c r="T709" t="s">
        <v>907</v>
      </c>
      <c r="U709">
        <v>-0.246559274319674</v>
      </c>
      <c r="V709" t="s">
        <v>989</v>
      </c>
      <c r="W709" t="s">
        <v>1001</v>
      </c>
      <c r="X709">
        <v>10540.606869</v>
      </c>
      <c r="Y709" s="2">
        <v>45049</v>
      </c>
      <c r="Z709" t="s">
        <v>1007</v>
      </c>
    </row>
    <row r="710" spans="1:26">
      <c r="A710" s="1" t="s">
        <v>734</v>
      </c>
      <c r="B710">
        <f>HYPERLINK("https://www.suredividend.com/sure-analysis-WEN/","Wendy`s Co")</f>
        <v>0</v>
      </c>
      <c r="C710" t="s">
        <v>896</v>
      </c>
      <c r="D710">
        <v>23</v>
      </c>
      <c r="E710">
        <v>21.41</v>
      </c>
      <c r="F710">
        <v>25</v>
      </c>
      <c r="G710">
        <v>0.8564000000000001</v>
      </c>
      <c r="H710">
        <v>0.04670714619336758</v>
      </c>
      <c r="I710">
        <v>0.03148915994522272</v>
      </c>
      <c r="J710">
        <v>0.1</v>
      </c>
      <c r="K710">
        <v>0.1665030478124796</v>
      </c>
      <c r="L710" t="s">
        <v>648</v>
      </c>
      <c r="M710" t="s">
        <v>791</v>
      </c>
      <c r="N710">
        <v>21.8469387755102</v>
      </c>
      <c r="O710">
        <v>0.98</v>
      </c>
      <c r="P710">
        <v>1</v>
      </c>
      <c r="Q710">
        <v>1.020408163265306</v>
      </c>
      <c r="R710">
        <v>3</v>
      </c>
      <c r="S710">
        <v>0.0602809527753625</v>
      </c>
      <c r="T710" t="s">
        <v>912</v>
      </c>
      <c r="U710">
        <v>0.171879276182552</v>
      </c>
      <c r="V710" t="s">
        <v>988</v>
      </c>
      <c r="W710" t="s">
        <v>995</v>
      </c>
      <c r="X710">
        <v>4511.868529</v>
      </c>
      <c r="Y710" s="2">
        <v>45062</v>
      </c>
      <c r="Z710" t="s">
        <v>1010</v>
      </c>
    </row>
    <row r="711" spans="1:26">
      <c r="A711" s="1" t="s">
        <v>735</v>
      </c>
      <c r="B711">
        <f>HYPERLINK("https://www.suredividend.com/sure-analysis-ERIC/","Telefonaktiebolaget L M Ericsson")</f>
        <v>0</v>
      </c>
      <c r="C711" t="s">
        <v>897</v>
      </c>
      <c r="D711">
        <v>5.4</v>
      </c>
      <c r="E711">
        <v>5.04</v>
      </c>
      <c r="F711">
        <v>5.9</v>
      </c>
      <c r="G711">
        <v>0.8542372881355932</v>
      </c>
      <c r="H711">
        <v>0.05158730158730159</v>
      </c>
      <c r="I711">
        <v>0.03201092553874285</v>
      </c>
      <c r="J711">
        <v>0.09</v>
      </c>
      <c r="K711">
        <v>0.161125947296739</v>
      </c>
      <c r="L711" t="s">
        <v>648</v>
      </c>
      <c r="M711" t="s">
        <v>589</v>
      </c>
      <c r="N711">
        <v>12</v>
      </c>
      <c r="O711">
        <v>0.42</v>
      </c>
      <c r="P711">
        <v>0.26</v>
      </c>
      <c r="Q711">
        <v>0.6190476190476191</v>
      </c>
      <c r="R711">
        <v>4</v>
      </c>
      <c r="S711">
        <v>0.06125302037503699</v>
      </c>
      <c r="T711" t="s">
        <v>906</v>
      </c>
      <c r="U711">
        <v>-0.31134369961468</v>
      </c>
      <c r="V711" t="s">
        <v>988</v>
      </c>
      <c r="W711" t="s">
        <v>1000</v>
      </c>
      <c r="X711">
        <v>15535.27459</v>
      </c>
      <c r="Y711" s="2">
        <v>45035</v>
      </c>
      <c r="Z711" t="s">
        <v>1007</v>
      </c>
    </row>
    <row r="712" spans="1:26">
      <c r="A712" s="1" t="s">
        <v>736</v>
      </c>
      <c r="B712">
        <f>HYPERLINK("https://www.suredividend.com/sure-analysis-SFL/","SFL Corporation Ltd")</f>
        <v>0</v>
      </c>
      <c r="C712" t="s">
        <v>896</v>
      </c>
      <c r="D712">
        <v>8.720000000000001</v>
      </c>
      <c r="E712">
        <v>9.08</v>
      </c>
      <c r="F712">
        <v>11.9</v>
      </c>
      <c r="G712">
        <v>0.7630252100840336</v>
      </c>
      <c r="H712">
        <v>0.105726872246696</v>
      </c>
      <c r="I712">
        <v>0.0555825994787138</v>
      </c>
      <c r="J712">
        <v>0.03</v>
      </c>
      <c r="K712">
        <v>0.1595806307285776</v>
      </c>
      <c r="L712" t="s">
        <v>648</v>
      </c>
      <c r="M712" t="s">
        <v>900</v>
      </c>
      <c r="N712">
        <v>6.485714285714286</v>
      </c>
      <c r="O712">
        <v>1.4</v>
      </c>
      <c r="P712">
        <v>0.96</v>
      </c>
      <c r="Q712">
        <v>0.6857142857142857</v>
      </c>
      <c r="R712">
        <v>2</v>
      </c>
      <c r="S712">
        <v>0.02946206823925857</v>
      </c>
      <c r="T712" t="s">
        <v>902</v>
      </c>
      <c r="U712">
        <v>0.076530914695595</v>
      </c>
      <c r="V712" t="s">
        <v>988</v>
      </c>
      <c r="W712" t="s">
        <v>993</v>
      </c>
      <c r="X712">
        <v>1258.144531</v>
      </c>
      <c r="Y712" s="2">
        <v>45068</v>
      </c>
      <c r="Z712" t="s">
        <v>1012</v>
      </c>
    </row>
    <row r="713" spans="1:26">
      <c r="A713" s="1" t="s">
        <v>737</v>
      </c>
      <c r="B713">
        <f>HYPERLINK("https://www.suredividend.com/sure-analysis-HR/","Healthcare Realty Trust Inc")</f>
        <v>0</v>
      </c>
      <c r="C713" t="s">
        <v>896</v>
      </c>
      <c r="D713">
        <v>18</v>
      </c>
      <c r="E713">
        <v>18.13</v>
      </c>
      <c r="F713">
        <v>27</v>
      </c>
      <c r="G713">
        <v>0.6714814814814815</v>
      </c>
      <c r="H713">
        <v>0.06839492553778269</v>
      </c>
      <c r="I713">
        <v>0.08291206421787023</v>
      </c>
      <c r="J713">
        <v>0.03</v>
      </c>
      <c r="K713">
        <v>0.157553109522123</v>
      </c>
      <c r="L713" t="s">
        <v>648</v>
      </c>
      <c r="M713" t="s">
        <v>589</v>
      </c>
      <c r="N713">
        <v>11.05487804878049</v>
      </c>
      <c r="O713">
        <v>1.64</v>
      </c>
      <c r="P713">
        <v>1.24</v>
      </c>
      <c r="Q713">
        <v>0.7560975609756098</v>
      </c>
      <c r="R713">
        <v>2</v>
      </c>
      <c r="S713">
        <v>0.009495374682843893</v>
      </c>
      <c r="T713" t="s">
        <v>954</v>
      </c>
      <c r="U713">
        <v>-0.216921070135883</v>
      </c>
      <c r="V713" t="s">
        <v>989</v>
      </c>
      <c r="W713" t="s">
        <v>1001</v>
      </c>
      <c r="X713">
        <v>6904.211068</v>
      </c>
      <c r="Y713" s="2">
        <v>45072</v>
      </c>
      <c r="Z713" t="s">
        <v>1010</v>
      </c>
    </row>
    <row r="714" spans="1:26">
      <c r="A714" s="1" t="s">
        <v>738</v>
      </c>
      <c r="B714">
        <f>HYPERLINK("https://www.suredividend.com/sure-analysis-TWO/","Two Harbors Investment Corp")</f>
        <v>0</v>
      </c>
      <c r="C714" t="s">
        <v>896</v>
      </c>
      <c r="D714">
        <v>11.9</v>
      </c>
      <c r="E714">
        <v>13.17</v>
      </c>
      <c r="F714">
        <v>14.8</v>
      </c>
      <c r="G714">
        <v>0.8898648648648648</v>
      </c>
      <c r="H714">
        <v>0.1822323462414578</v>
      </c>
      <c r="I714">
        <v>0.02361157462662811</v>
      </c>
      <c r="J714">
        <v>0.006</v>
      </c>
      <c r="K714">
        <v>0.1565225537607147</v>
      </c>
      <c r="L714" t="s">
        <v>648</v>
      </c>
      <c r="M714" t="s">
        <v>589</v>
      </c>
      <c r="N714">
        <v>4.754512635379061</v>
      </c>
      <c r="O714">
        <v>2.77</v>
      </c>
      <c r="P714">
        <v>2.4</v>
      </c>
      <c r="Q714">
        <v>0.8664259927797834</v>
      </c>
      <c r="R714">
        <v>1</v>
      </c>
      <c r="S714">
        <v>0</v>
      </c>
      <c r="T714" t="s">
        <v>957</v>
      </c>
      <c r="U714">
        <v>-0.236096610287464</v>
      </c>
      <c r="V714" t="s">
        <v>989</v>
      </c>
      <c r="W714" t="s">
        <v>1001</v>
      </c>
      <c r="X714">
        <v>1273.076496</v>
      </c>
      <c r="Y714" s="2">
        <v>45063</v>
      </c>
      <c r="Z714" t="s">
        <v>1013</v>
      </c>
    </row>
    <row r="715" spans="1:26">
      <c r="A715" s="1" t="s">
        <v>739</v>
      </c>
      <c r="B715">
        <f>HYPERLINK("https://www.suredividend.com/sure-analysis-KREF/","KKR Real Estate Finance Trust Inc")</f>
        <v>0</v>
      </c>
      <c r="C715" t="s">
        <v>896</v>
      </c>
      <c r="D715">
        <v>10.52</v>
      </c>
      <c r="E715">
        <v>11.91</v>
      </c>
      <c r="F715">
        <v>14.88</v>
      </c>
      <c r="G715">
        <v>0.8004032258064516</v>
      </c>
      <c r="H715">
        <v>0.144416456759026</v>
      </c>
      <c r="I715">
        <v>0.04553417724371389</v>
      </c>
      <c r="J715">
        <v>0.015</v>
      </c>
      <c r="K715">
        <v>0.1564063841900123</v>
      </c>
      <c r="L715" t="s">
        <v>648</v>
      </c>
      <c r="M715" t="s">
        <v>589</v>
      </c>
      <c r="N715">
        <v>6.805714285714286</v>
      </c>
      <c r="O715">
        <v>1.75</v>
      </c>
      <c r="P715">
        <v>1.72</v>
      </c>
      <c r="Q715">
        <v>0.9828571428571429</v>
      </c>
      <c r="R715">
        <v>0</v>
      </c>
      <c r="S715">
        <v>0</v>
      </c>
      <c r="T715" t="s">
        <v>906</v>
      </c>
      <c r="U715">
        <v>-0.245409734277785</v>
      </c>
      <c r="V715" t="s">
        <v>989</v>
      </c>
      <c r="W715" t="s">
        <v>1001</v>
      </c>
      <c r="X715">
        <v>822.9215809999999</v>
      </c>
      <c r="Y715" s="2">
        <v>45041</v>
      </c>
      <c r="Z715" t="s">
        <v>1012</v>
      </c>
    </row>
    <row r="716" spans="1:26">
      <c r="A716" s="1" t="s">
        <v>740</v>
      </c>
      <c r="B716">
        <f>HYPERLINK("https://www.suredividend.com/sure-analysis-WASH/","Washington Trust Bancorp, Inc.")</f>
        <v>0</v>
      </c>
      <c r="C716" t="s">
        <v>896</v>
      </c>
      <c r="D716">
        <v>29</v>
      </c>
      <c r="E716">
        <v>26.91</v>
      </c>
      <c r="F716">
        <v>33</v>
      </c>
      <c r="G716">
        <v>0.8154545454545454</v>
      </c>
      <c r="H716">
        <v>0.08324043106651803</v>
      </c>
      <c r="I716">
        <v>0.04164575523623237</v>
      </c>
      <c r="J716">
        <v>0.05</v>
      </c>
      <c r="K716">
        <v>0.1541811862950699</v>
      </c>
      <c r="L716" t="s">
        <v>648</v>
      </c>
      <c r="M716" t="s">
        <v>589</v>
      </c>
      <c r="N716">
        <v>9.92988929889299</v>
      </c>
      <c r="O716">
        <v>2.71</v>
      </c>
      <c r="P716">
        <v>2.24</v>
      </c>
      <c r="Q716">
        <v>0.826568265682657</v>
      </c>
      <c r="R716">
        <v>13</v>
      </c>
      <c r="S716">
        <v>0.05008294028029181</v>
      </c>
      <c r="T716" t="s">
        <v>924</v>
      </c>
      <c r="U716">
        <v>-0.4222110572184961</v>
      </c>
      <c r="V716" t="s">
        <v>988</v>
      </c>
      <c r="W716" t="s">
        <v>994</v>
      </c>
      <c r="X716">
        <v>457.987641</v>
      </c>
      <c r="Y716" s="2">
        <v>45042</v>
      </c>
      <c r="Z716" t="s">
        <v>1003</v>
      </c>
    </row>
    <row r="717" spans="1:26">
      <c r="A717" s="1" t="s">
        <v>741</v>
      </c>
      <c r="B717">
        <f>HYPERLINK("https://www.suredividend.com/sure-analysis-JHG/","Janus Henderson Group plc")</f>
        <v>0</v>
      </c>
      <c r="C717" t="s">
        <v>896</v>
      </c>
      <c r="D717">
        <v>27</v>
      </c>
      <c r="E717">
        <v>26.39</v>
      </c>
      <c r="F717">
        <v>39</v>
      </c>
      <c r="G717">
        <v>0.6766666666666666</v>
      </c>
      <c r="H717">
        <v>0.06062902614626753</v>
      </c>
      <c r="I717">
        <v>0.08124731835079424</v>
      </c>
      <c r="J717">
        <v>0.03</v>
      </c>
      <c r="K717">
        <v>0.1537344615953793</v>
      </c>
      <c r="L717" t="s">
        <v>648</v>
      </c>
      <c r="M717" t="s">
        <v>589</v>
      </c>
      <c r="N717">
        <v>10.15</v>
      </c>
      <c r="O717">
        <v>2.6</v>
      </c>
      <c r="P717">
        <v>1.6</v>
      </c>
      <c r="Q717">
        <v>0.6153846153846154</v>
      </c>
      <c r="R717">
        <v>2</v>
      </c>
      <c r="S717">
        <v>0.02946206823925857</v>
      </c>
      <c r="T717" t="s">
        <v>931</v>
      </c>
      <c r="U717">
        <v>0.09673638845829301</v>
      </c>
      <c r="V717" t="s">
        <v>988</v>
      </c>
      <c r="W717" t="s">
        <v>994</v>
      </c>
      <c r="X717">
        <v>4371.712113</v>
      </c>
      <c r="Y717" s="2">
        <v>45069</v>
      </c>
      <c r="Z717" t="s">
        <v>1009</v>
      </c>
    </row>
    <row r="718" spans="1:26">
      <c r="A718" s="1" t="s">
        <v>742</v>
      </c>
      <c r="B718">
        <f>HYPERLINK("https://www.suredividend.com/sure-analysis-HAS/","Hasbro, Inc.")</f>
        <v>0</v>
      </c>
      <c r="C718" t="s">
        <v>896</v>
      </c>
      <c r="D718">
        <v>59</v>
      </c>
      <c r="E718">
        <v>60</v>
      </c>
      <c r="F718">
        <v>75</v>
      </c>
      <c r="G718">
        <v>0.8</v>
      </c>
      <c r="H718">
        <v>0.04666666666666666</v>
      </c>
      <c r="I718">
        <v>0.04563955259127317</v>
      </c>
      <c r="J718">
        <v>0.07000000000000001</v>
      </c>
      <c r="K718">
        <v>0.1514167354603393</v>
      </c>
      <c r="L718" t="s">
        <v>648</v>
      </c>
      <c r="M718" t="s">
        <v>791</v>
      </c>
      <c r="N718">
        <v>13.63636363636363</v>
      </c>
      <c r="O718">
        <v>4.4</v>
      </c>
      <c r="P718">
        <v>2.8</v>
      </c>
      <c r="Q718">
        <v>0.6363636363636362</v>
      </c>
      <c r="R718">
        <v>1</v>
      </c>
      <c r="S718">
        <v>0.04978904632428516</v>
      </c>
      <c r="T718" t="s">
        <v>917</v>
      </c>
      <c r="U718">
        <v>-0.269147423927382</v>
      </c>
      <c r="V718" t="s">
        <v>988</v>
      </c>
      <c r="W718" t="s">
        <v>995</v>
      </c>
      <c r="X718">
        <v>8316.52686</v>
      </c>
      <c r="Y718" s="2">
        <v>45055</v>
      </c>
      <c r="Z718" t="s">
        <v>1004</v>
      </c>
    </row>
    <row r="719" spans="1:26">
      <c r="A719" s="1" t="s">
        <v>743</v>
      </c>
      <c r="B719">
        <f>HYPERLINK("https://www.suredividend.com/sure-analysis-CTO/","CTO Realty Growth Inc")</f>
        <v>0</v>
      </c>
      <c r="C719" t="s">
        <v>896</v>
      </c>
      <c r="D719">
        <v>16</v>
      </c>
      <c r="E719">
        <v>16.12</v>
      </c>
      <c r="F719">
        <v>19</v>
      </c>
      <c r="G719">
        <v>0.848421052631579</v>
      </c>
      <c r="H719">
        <v>0.09429280397022333</v>
      </c>
      <c r="I719">
        <v>0.03342202358697999</v>
      </c>
      <c r="J719">
        <v>0.05</v>
      </c>
      <c r="K719">
        <v>0.1492888103959684</v>
      </c>
      <c r="L719" t="s">
        <v>648</v>
      </c>
      <c r="M719" t="s">
        <v>589</v>
      </c>
      <c r="N719">
        <v>9.652694610778443</v>
      </c>
      <c r="O719">
        <v>1.67</v>
      </c>
      <c r="P719">
        <v>1.52</v>
      </c>
      <c r="Q719">
        <v>0.9101796407185629</v>
      </c>
      <c r="R719">
        <v>9</v>
      </c>
      <c r="S719">
        <v>0.02021836907521135</v>
      </c>
      <c r="T719" t="s">
        <v>951</v>
      </c>
      <c r="U719">
        <v>-0.133584873208853</v>
      </c>
      <c r="V719" t="s">
        <v>989</v>
      </c>
      <c r="W719" t="s">
        <v>1001</v>
      </c>
      <c r="X719">
        <v>365.947035</v>
      </c>
      <c r="Y719" s="2">
        <v>45077</v>
      </c>
      <c r="Z719" t="s">
        <v>1010</v>
      </c>
    </row>
    <row r="720" spans="1:26">
      <c r="A720" s="1" t="s">
        <v>744</v>
      </c>
      <c r="B720">
        <f>HYPERLINK("https://www.suredividend.com/sure-analysis-CIM/","Chimera Investment Corp")</f>
        <v>0</v>
      </c>
      <c r="C720" t="s">
        <v>897</v>
      </c>
      <c r="D720">
        <v>5</v>
      </c>
      <c r="E720">
        <v>5.48</v>
      </c>
      <c r="F720">
        <v>5.5</v>
      </c>
      <c r="G720">
        <v>0.9963636363636365</v>
      </c>
      <c r="H720">
        <v>0.1313868613138686</v>
      </c>
      <c r="I720">
        <v>0.0007288637478843896</v>
      </c>
      <c r="J720">
        <v>0.06</v>
      </c>
      <c r="K720">
        <v>0.1487033999352807</v>
      </c>
      <c r="L720" t="s">
        <v>648</v>
      </c>
      <c r="M720" t="s">
        <v>589</v>
      </c>
      <c r="N720">
        <v>7.611111111111112</v>
      </c>
      <c r="O720">
        <v>0.72</v>
      </c>
      <c r="P720">
        <v>0.72</v>
      </c>
      <c r="Q720">
        <v>1</v>
      </c>
      <c r="R720">
        <v>0</v>
      </c>
      <c r="S720">
        <v>0</v>
      </c>
      <c r="T720" t="s">
        <v>906</v>
      </c>
      <c r="U720">
        <v>-0.303091577327585</v>
      </c>
      <c r="V720" t="s">
        <v>989</v>
      </c>
      <c r="W720" t="s">
        <v>1001</v>
      </c>
      <c r="X720">
        <v>1271.886979</v>
      </c>
      <c r="Y720" s="2">
        <v>45058</v>
      </c>
      <c r="Z720" t="s">
        <v>1007</v>
      </c>
    </row>
    <row r="721" spans="1:26">
      <c r="A721" s="1" t="s">
        <v>745</v>
      </c>
      <c r="B721">
        <f>HYPERLINK("https://www.suredividend.com/sure-analysis-BXP/","Boston Properties, Inc.")</f>
        <v>0</v>
      </c>
      <c r="C721" t="s">
        <v>896</v>
      </c>
      <c r="D721">
        <v>49.4</v>
      </c>
      <c r="E721">
        <v>51.5</v>
      </c>
      <c r="F721">
        <v>71.59999999999999</v>
      </c>
      <c r="G721">
        <v>0.7192737430167598</v>
      </c>
      <c r="H721">
        <v>0.07611650485436892</v>
      </c>
      <c r="I721">
        <v>0.06812273383813716</v>
      </c>
      <c r="J721">
        <v>0.027</v>
      </c>
      <c r="K721">
        <v>0.147578481878063</v>
      </c>
      <c r="L721" t="s">
        <v>648</v>
      </c>
      <c r="M721" t="s">
        <v>900</v>
      </c>
      <c r="N721">
        <v>7.192737430167598</v>
      </c>
      <c r="O721">
        <v>7.16</v>
      </c>
      <c r="P721">
        <v>3.92</v>
      </c>
      <c r="Q721">
        <v>0.5474860335195531</v>
      </c>
      <c r="R721">
        <v>0</v>
      </c>
      <c r="S721">
        <v>0.01820270163581017</v>
      </c>
      <c r="T721" t="s">
        <v>906</v>
      </c>
      <c r="U721">
        <v>-0.407284303277084</v>
      </c>
      <c r="V721" t="s">
        <v>989</v>
      </c>
      <c r="W721" t="s">
        <v>1001</v>
      </c>
      <c r="X721">
        <v>8077.027632</v>
      </c>
      <c r="Y721" s="2">
        <v>45062</v>
      </c>
      <c r="Z721" t="s">
        <v>1013</v>
      </c>
    </row>
    <row r="722" spans="1:26">
      <c r="A722" s="1" t="s">
        <v>746</v>
      </c>
      <c r="B722">
        <f>HYPERLINK("https://www.suredividend.com/sure-analysis-NSA/","National Storage Affiliates Trust")</f>
        <v>0</v>
      </c>
      <c r="C722" t="s">
        <v>896</v>
      </c>
      <c r="D722">
        <v>36</v>
      </c>
      <c r="E722">
        <v>33.82</v>
      </c>
      <c r="F722">
        <v>42</v>
      </c>
      <c r="G722">
        <v>0.8052380952380952</v>
      </c>
      <c r="H722">
        <v>0.06505026611472502</v>
      </c>
      <c r="I722">
        <v>0.04427561635923905</v>
      </c>
      <c r="J722">
        <v>0.05</v>
      </c>
      <c r="K722">
        <v>0.1456186603853169</v>
      </c>
      <c r="L722" t="s">
        <v>648</v>
      </c>
      <c r="M722" t="s">
        <v>589</v>
      </c>
      <c r="N722">
        <v>11.99290780141844</v>
      </c>
      <c r="O722">
        <v>2.82</v>
      </c>
      <c r="P722">
        <v>2.2</v>
      </c>
      <c r="Q722">
        <v>0.7801418439716313</v>
      </c>
      <c r="R722">
        <v>7</v>
      </c>
      <c r="S722">
        <v>0.05970486933121499</v>
      </c>
      <c r="T722" t="s">
        <v>916</v>
      </c>
      <c r="U722">
        <v>-0.293985516474019</v>
      </c>
      <c r="V722" t="s">
        <v>989</v>
      </c>
      <c r="W722" t="s">
        <v>1001</v>
      </c>
      <c r="X722">
        <v>2986.423288</v>
      </c>
      <c r="Y722" s="2">
        <v>45049</v>
      </c>
      <c r="Z722" t="s">
        <v>1012</v>
      </c>
    </row>
    <row r="723" spans="1:26">
      <c r="A723" s="1" t="s">
        <v>747</v>
      </c>
      <c r="B723">
        <f>HYPERLINK("https://www.suredividend.com/sure-analysis-GECC/","Great Elm Capital Corp")</f>
        <v>0</v>
      </c>
      <c r="C723" t="s">
        <v>896</v>
      </c>
      <c r="D723">
        <v>8</v>
      </c>
      <c r="E723">
        <v>7.61</v>
      </c>
      <c r="F723">
        <v>10.1</v>
      </c>
      <c r="G723">
        <v>0.7534653465346535</v>
      </c>
      <c r="H723">
        <v>0.1839684625492772</v>
      </c>
      <c r="I723">
        <v>0.05824772473936579</v>
      </c>
      <c r="J723">
        <v>-0.034</v>
      </c>
      <c r="K723">
        <v>0.1435739050884102</v>
      </c>
      <c r="L723" t="s">
        <v>648</v>
      </c>
      <c r="M723" t="s">
        <v>589</v>
      </c>
      <c r="N723">
        <v>5.435714285714286</v>
      </c>
      <c r="O723">
        <v>1.4</v>
      </c>
      <c r="P723">
        <v>1.4</v>
      </c>
      <c r="Q723">
        <v>1</v>
      </c>
      <c r="R723">
        <v>0</v>
      </c>
      <c r="S723">
        <v>-0.03035973390442093</v>
      </c>
      <c r="T723" t="s">
        <v>916</v>
      </c>
      <c r="U723">
        <v>-0.246460045549064</v>
      </c>
      <c r="V723" t="s">
        <v>991</v>
      </c>
      <c r="W723" t="s">
        <v>994</v>
      </c>
      <c r="X723">
        <v>57.8509</v>
      </c>
      <c r="Y723" s="2">
        <v>45080</v>
      </c>
      <c r="Z723" t="s">
        <v>1013</v>
      </c>
    </row>
    <row r="724" spans="1:26">
      <c r="A724" s="1" t="s">
        <v>748</v>
      </c>
      <c r="B724">
        <f>HYPERLINK("https://www.suredividend.com/sure-analysis-SBRA/","Sabra Healthcare REIT Inc")</f>
        <v>0</v>
      </c>
      <c r="C724" t="s">
        <v>896</v>
      </c>
      <c r="D724">
        <v>11.6</v>
      </c>
      <c r="E724">
        <v>11.43</v>
      </c>
      <c r="F724">
        <v>12.9</v>
      </c>
      <c r="G724">
        <v>0.8860465116279069</v>
      </c>
      <c r="H724">
        <v>0.1049868766404199</v>
      </c>
      <c r="I724">
        <v>0.0244922937557237</v>
      </c>
      <c r="J724">
        <v>0.036</v>
      </c>
      <c r="K724">
        <v>0.1394468198876111</v>
      </c>
      <c r="L724" t="s">
        <v>648</v>
      </c>
      <c r="M724" t="s">
        <v>589</v>
      </c>
      <c r="N724">
        <v>8.164285714285715</v>
      </c>
      <c r="O724">
        <v>1.4</v>
      </c>
      <c r="P724">
        <v>1.2</v>
      </c>
      <c r="Q724">
        <v>0.8571428571428572</v>
      </c>
      <c r="R724">
        <v>0</v>
      </c>
      <c r="S724">
        <v>0.02983277847878951</v>
      </c>
      <c r="T724" t="s">
        <v>954</v>
      </c>
      <c r="U724">
        <v>-0.122598275901774</v>
      </c>
      <c r="V724" t="s">
        <v>989</v>
      </c>
      <c r="W724" t="s">
        <v>1001</v>
      </c>
      <c r="X724">
        <v>2642.560542</v>
      </c>
      <c r="Y724" s="2">
        <v>45067</v>
      </c>
      <c r="Z724" t="s">
        <v>1013</v>
      </c>
    </row>
    <row r="725" spans="1:26">
      <c r="A725" s="1" t="s">
        <v>749</v>
      </c>
      <c r="B725">
        <f>HYPERLINK("https://www.suredividend.com/sure-analysis-OXSQ/","Oxford Square Capital Corp")</f>
        <v>0</v>
      </c>
      <c r="C725" t="s">
        <v>896</v>
      </c>
      <c r="D725">
        <v>3.01</v>
      </c>
      <c r="E725">
        <v>2.64</v>
      </c>
      <c r="F725">
        <v>3.6</v>
      </c>
      <c r="G725">
        <v>0.7333333333333334</v>
      </c>
      <c r="H725">
        <v>0.1590909090909091</v>
      </c>
      <c r="I725">
        <v>0.06399531281508364</v>
      </c>
      <c r="J725">
        <v>-0.03</v>
      </c>
      <c r="K725">
        <v>0.1394049186900468</v>
      </c>
      <c r="L725" t="s">
        <v>648</v>
      </c>
      <c r="M725" t="s">
        <v>589</v>
      </c>
      <c r="N725">
        <v>5.500000000000001</v>
      </c>
      <c r="O725">
        <v>0.48</v>
      </c>
      <c r="P725">
        <v>0.42</v>
      </c>
      <c r="Q725">
        <v>0.875</v>
      </c>
      <c r="R725">
        <v>0</v>
      </c>
      <c r="S725">
        <v>-0.01981768775006343</v>
      </c>
      <c r="T725" t="s">
        <v>902</v>
      </c>
      <c r="U725">
        <v>-0.138662316476345</v>
      </c>
      <c r="V725" t="s">
        <v>991</v>
      </c>
      <c r="W725" t="s">
        <v>994</v>
      </c>
      <c r="X725">
        <v>131.739091</v>
      </c>
      <c r="Y725" s="2">
        <v>45056</v>
      </c>
      <c r="Z725" t="s">
        <v>1012</v>
      </c>
    </row>
    <row r="726" spans="1:26">
      <c r="A726" s="1" t="s">
        <v>750</v>
      </c>
      <c r="B726">
        <f>HYPERLINK("https://www.suredividend.com/sure-analysis-HRZN/","Horizon Technology Finance Corp")</f>
        <v>0</v>
      </c>
      <c r="C726" t="s">
        <v>896</v>
      </c>
      <c r="D726">
        <v>11.62</v>
      </c>
      <c r="E726">
        <v>11.66</v>
      </c>
      <c r="F726">
        <v>15.77</v>
      </c>
      <c r="G726">
        <v>0.7393785668991757</v>
      </c>
      <c r="H726">
        <v>0.1132075471698113</v>
      </c>
      <c r="I726">
        <v>0.06224972806163009</v>
      </c>
      <c r="J726">
        <v>0</v>
      </c>
      <c r="K726">
        <v>0.1391829773354059</v>
      </c>
      <c r="L726" t="s">
        <v>648</v>
      </c>
      <c r="M726" t="s">
        <v>589</v>
      </c>
      <c r="N726">
        <v>7.024096385542169</v>
      </c>
      <c r="O726">
        <v>1.66</v>
      </c>
      <c r="P726">
        <v>1.32</v>
      </c>
      <c r="Q726">
        <v>0.7951807228915664</v>
      </c>
      <c r="R726">
        <v>2</v>
      </c>
      <c r="S726">
        <v>0</v>
      </c>
      <c r="T726" t="s">
        <v>902</v>
      </c>
      <c r="U726">
        <v>0.115191858908144</v>
      </c>
      <c r="V726" t="s">
        <v>991</v>
      </c>
      <c r="W726" t="s">
        <v>994</v>
      </c>
      <c r="X726">
        <v>334.13542</v>
      </c>
      <c r="Y726" s="2">
        <v>45057</v>
      </c>
      <c r="Z726" t="s">
        <v>1012</v>
      </c>
    </row>
    <row r="727" spans="1:26">
      <c r="A727" s="1" t="s">
        <v>751</v>
      </c>
      <c r="B727">
        <f>HYPERLINK("https://www.suredividend.com/sure-analysis-AGNC/","AGNC Investment Corp")</f>
        <v>0</v>
      </c>
      <c r="C727" t="s">
        <v>896</v>
      </c>
      <c r="D727">
        <v>9.34</v>
      </c>
      <c r="E727">
        <v>9.94</v>
      </c>
      <c r="F727">
        <v>14.5</v>
      </c>
      <c r="G727">
        <v>0.6855172413793104</v>
      </c>
      <c r="H727">
        <v>0.1448692152917505</v>
      </c>
      <c r="I727">
        <v>0.07844083393151369</v>
      </c>
      <c r="J727">
        <v>-0.042</v>
      </c>
      <c r="K727">
        <v>0.1371461443550406</v>
      </c>
      <c r="L727" t="s">
        <v>648</v>
      </c>
      <c r="M727" t="s">
        <v>900</v>
      </c>
      <c r="N727">
        <v>4.107438016528926</v>
      </c>
      <c r="O727">
        <v>2.42</v>
      </c>
      <c r="P727">
        <v>1.44</v>
      </c>
      <c r="Q727">
        <v>0.5950413223140496</v>
      </c>
      <c r="R727">
        <v>1</v>
      </c>
      <c r="S727">
        <v>0</v>
      </c>
      <c r="T727" t="s">
        <v>934</v>
      </c>
      <c r="U727">
        <v>-0.013781265812737</v>
      </c>
      <c r="V727" t="s">
        <v>989</v>
      </c>
      <c r="W727" t="s">
        <v>1001</v>
      </c>
      <c r="X727">
        <v>5921.37728</v>
      </c>
      <c r="Y727" s="2">
        <v>45062</v>
      </c>
      <c r="Z727" t="s">
        <v>1013</v>
      </c>
    </row>
    <row r="728" spans="1:26">
      <c r="A728" s="1" t="s">
        <v>752</v>
      </c>
      <c r="B728">
        <f>HYPERLINK("https://www.suredividend.com/sure-analysis-LTC/","LTC Properties, Inc.")</f>
        <v>0</v>
      </c>
      <c r="C728" t="s">
        <v>896</v>
      </c>
      <c r="D728">
        <v>32</v>
      </c>
      <c r="E728">
        <v>32.31</v>
      </c>
      <c r="F728">
        <v>41</v>
      </c>
      <c r="G728">
        <v>0.7880487804878049</v>
      </c>
      <c r="H728">
        <v>0.07056638811513462</v>
      </c>
      <c r="I728">
        <v>0.04879203324710923</v>
      </c>
      <c r="J728">
        <v>0.04</v>
      </c>
      <c r="K728">
        <v>0.1365807191484381</v>
      </c>
      <c r="L728" t="s">
        <v>648</v>
      </c>
      <c r="M728" t="s">
        <v>589</v>
      </c>
      <c r="N728">
        <v>11.96666666666667</v>
      </c>
      <c r="O728">
        <v>2.7</v>
      </c>
      <c r="P728">
        <v>2.28</v>
      </c>
      <c r="Q728">
        <v>0.8444444444444443</v>
      </c>
      <c r="R728">
        <v>0</v>
      </c>
      <c r="S728">
        <v>0</v>
      </c>
      <c r="T728" t="s">
        <v>939</v>
      </c>
      <c r="U728">
        <v>-0.116887376491328</v>
      </c>
      <c r="V728" t="s">
        <v>989</v>
      </c>
      <c r="W728" t="s">
        <v>1001</v>
      </c>
      <c r="X728">
        <v>1337.511739</v>
      </c>
      <c r="Y728" s="2">
        <v>45049</v>
      </c>
      <c r="Z728" t="s">
        <v>1007</v>
      </c>
    </row>
    <row r="729" spans="1:26">
      <c r="A729" s="1" t="s">
        <v>753</v>
      </c>
      <c r="B729">
        <f>HYPERLINK("https://www.suredividend.com/sure-analysis-NTST/","Netstreit Corp")</f>
        <v>0</v>
      </c>
      <c r="C729" t="s">
        <v>896</v>
      </c>
      <c r="D729">
        <v>18</v>
      </c>
      <c r="E729">
        <v>17.26</v>
      </c>
      <c r="F729">
        <v>22</v>
      </c>
      <c r="G729">
        <v>0.7845454545454547</v>
      </c>
      <c r="H729">
        <v>0.04634994206257242</v>
      </c>
      <c r="I729">
        <v>0.04972702432955933</v>
      </c>
      <c r="J729">
        <v>0.05</v>
      </c>
      <c r="K729">
        <v>0.1364389328836815</v>
      </c>
      <c r="L729" t="s">
        <v>648</v>
      </c>
      <c r="M729" t="s">
        <v>791</v>
      </c>
      <c r="N729">
        <v>14.38333333333333</v>
      </c>
      <c r="O729">
        <v>1.2</v>
      </c>
      <c r="P729">
        <v>0.8</v>
      </c>
      <c r="Q729">
        <v>0.6666666666666667</v>
      </c>
      <c r="R729">
        <v>0</v>
      </c>
      <c r="S729">
        <v>0.04978904632428516</v>
      </c>
      <c r="T729" t="s">
        <v>912</v>
      </c>
      <c r="U729">
        <v>-0.05176818314169</v>
      </c>
      <c r="V729" t="s">
        <v>989</v>
      </c>
      <c r="W729" t="s">
        <v>1001</v>
      </c>
      <c r="X729">
        <v>1050.486163</v>
      </c>
      <c r="Y729" s="2">
        <v>45050</v>
      </c>
      <c r="Z729" t="s">
        <v>1010</v>
      </c>
    </row>
    <row r="730" spans="1:26">
      <c r="A730" s="1" t="s">
        <v>754</v>
      </c>
      <c r="B730">
        <f>HYPERLINK("https://www.suredividend.com/sure-analysis-TPVG/","TriplePoint Venture Growth BDC Corp")</f>
        <v>0</v>
      </c>
      <c r="C730" t="s">
        <v>896</v>
      </c>
      <c r="D730">
        <v>9.98</v>
      </c>
      <c r="E730">
        <v>11.25</v>
      </c>
      <c r="F730">
        <v>13.25</v>
      </c>
      <c r="G730">
        <v>0.8490566037735849</v>
      </c>
      <c r="H730">
        <v>0.1422222222222222</v>
      </c>
      <c r="I730">
        <v>0.03326726610994291</v>
      </c>
      <c r="J730">
        <v>0</v>
      </c>
      <c r="K730">
        <v>0.1356415724960776</v>
      </c>
      <c r="L730" t="s">
        <v>648</v>
      </c>
      <c r="M730" t="s">
        <v>589</v>
      </c>
      <c r="N730">
        <v>5.921052631578948</v>
      </c>
      <c r="O730">
        <v>1.9</v>
      </c>
      <c r="P730">
        <v>1.6</v>
      </c>
      <c r="Q730">
        <v>0.8421052631578948</v>
      </c>
      <c r="R730">
        <v>2</v>
      </c>
      <c r="S730">
        <v>0</v>
      </c>
      <c r="T730" t="s">
        <v>916</v>
      </c>
      <c r="U730">
        <v>-0.002571149924638</v>
      </c>
      <c r="V730" t="s">
        <v>991</v>
      </c>
      <c r="W730" t="s">
        <v>994</v>
      </c>
      <c r="X730">
        <v>398.220233</v>
      </c>
      <c r="Y730" s="2">
        <v>45058</v>
      </c>
      <c r="Z730" t="s">
        <v>1012</v>
      </c>
    </row>
    <row r="731" spans="1:26">
      <c r="A731" s="1" t="s">
        <v>755</v>
      </c>
      <c r="B731">
        <f>HYPERLINK("https://www.suredividend.com/sure-analysis-NWBI/","Northwest Bancshares Inc")</f>
        <v>0</v>
      </c>
      <c r="C731" t="s">
        <v>896</v>
      </c>
      <c r="D731">
        <v>10</v>
      </c>
      <c r="E731">
        <v>10.51</v>
      </c>
      <c r="F731">
        <v>14</v>
      </c>
      <c r="G731">
        <v>0.7507142857142857</v>
      </c>
      <c r="H731">
        <v>0.07611798287345387</v>
      </c>
      <c r="I731">
        <v>0.05902219933591901</v>
      </c>
      <c r="J731">
        <v>0.02</v>
      </c>
      <c r="K731">
        <v>0.1338265028609644</v>
      </c>
      <c r="L731" t="s">
        <v>648</v>
      </c>
      <c r="M731" t="s">
        <v>589</v>
      </c>
      <c r="N731">
        <v>10.00952380952381</v>
      </c>
      <c r="O731">
        <v>1.05</v>
      </c>
      <c r="P731">
        <v>0.8</v>
      </c>
      <c r="Q731">
        <v>0.7619047619047619</v>
      </c>
      <c r="R731">
        <v>13</v>
      </c>
      <c r="S731">
        <v>0.01924487649145656</v>
      </c>
      <c r="T731" t="s">
        <v>950</v>
      </c>
      <c r="U731">
        <v>-0.116984809786261</v>
      </c>
      <c r="V731" t="s">
        <v>988</v>
      </c>
      <c r="W731" t="s">
        <v>994</v>
      </c>
      <c r="X731">
        <v>1335.436387</v>
      </c>
      <c r="Y731" s="2">
        <v>45057</v>
      </c>
      <c r="Z731" t="s">
        <v>1011</v>
      </c>
    </row>
    <row r="732" spans="1:26">
      <c r="A732" s="1" t="s">
        <v>756</v>
      </c>
      <c r="B732">
        <f>HYPERLINK("https://www.suredividend.com/sure-analysis-GSBD/","Goldman Sachs BDC Inc")</f>
        <v>0</v>
      </c>
      <c r="C732" t="s">
        <v>896</v>
      </c>
      <c r="D732">
        <v>13.08</v>
      </c>
      <c r="E732">
        <v>13.88</v>
      </c>
      <c r="F732">
        <v>16.77</v>
      </c>
      <c r="G732">
        <v>0.8276684555754323</v>
      </c>
      <c r="H732">
        <v>0.1296829971181556</v>
      </c>
      <c r="I732">
        <v>0.03855313082929657</v>
      </c>
      <c r="J732">
        <v>0</v>
      </c>
      <c r="K732">
        <v>0.1317356343167027</v>
      </c>
      <c r="L732" t="s">
        <v>648</v>
      </c>
      <c r="M732" t="s">
        <v>589</v>
      </c>
      <c r="N732">
        <v>6.455813953488373</v>
      </c>
      <c r="O732">
        <v>2.15</v>
      </c>
      <c r="P732">
        <v>1.8</v>
      </c>
      <c r="Q732">
        <v>0.8372093023255814</v>
      </c>
      <c r="R732">
        <v>0</v>
      </c>
      <c r="S732">
        <v>0</v>
      </c>
      <c r="T732" t="s">
        <v>906</v>
      </c>
      <c r="U732">
        <v>-0.102094681140106</v>
      </c>
      <c r="V732" t="s">
        <v>991</v>
      </c>
      <c r="W732" t="s">
        <v>994</v>
      </c>
      <c r="X732">
        <v>1519.348439</v>
      </c>
      <c r="Y732" s="2">
        <v>45059</v>
      </c>
      <c r="Z732" t="s">
        <v>1012</v>
      </c>
    </row>
    <row r="733" spans="1:26">
      <c r="A733" s="1" t="s">
        <v>757</v>
      </c>
      <c r="B733">
        <f>HYPERLINK("https://www.suredividend.com/sure-analysis-CSWC/","Capital Southwest Corp.")</f>
        <v>0</v>
      </c>
      <c r="C733" t="s">
        <v>896</v>
      </c>
      <c r="D733">
        <v>18.05</v>
      </c>
      <c r="E733">
        <v>18.86</v>
      </c>
      <c r="F733">
        <v>20</v>
      </c>
      <c r="G733">
        <v>0.9429999999999999</v>
      </c>
      <c r="H733">
        <v>0.1145281018027572</v>
      </c>
      <c r="I733">
        <v>0.01180695755940842</v>
      </c>
      <c r="J733">
        <v>0.03</v>
      </c>
      <c r="K733">
        <v>0.1315390532578065</v>
      </c>
      <c r="L733" t="s">
        <v>648</v>
      </c>
      <c r="M733" t="s">
        <v>589</v>
      </c>
      <c r="N733">
        <v>7.544</v>
      </c>
      <c r="O733">
        <v>2.5</v>
      </c>
      <c r="P733">
        <v>2.16</v>
      </c>
      <c r="Q733">
        <v>0.8640000000000001</v>
      </c>
      <c r="R733">
        <v>8</v>
      </c>
      <c r="S733">
        <v>0.02966808427901979</v>
      </c>
      <c r="T733" t="s">
        <v>916</v>
      </c>
      <c r="U733">
        <v>0.22389648145985</v>
      </c>
      <c r="V733" t="s">
        <v>991</v>
      </c>
      <c r="W733" t="s">
        <v>994</v>
      </c>
      <c r="X733">
        <v>718.854237</v>
      </c>
      <c r="Y733" s="2">
        <v>45070</v>
      </c>
      <c r="Z733" t="s">
        <v>1012</v>
      </c>
    </row>
    <row r="734" spans="1:26">
      <c r="A734" s="1" t="s">
        <v>758</v>
      </c>
      <c r="B734">
        <f>HYPERLINK("https://www.suredividend.com/sure-analysis-GOOD/","Gladstone Commercial Corp")</f>
        <v>0</v>
      </c>
      <c r="C734" t="s">
        <v>896</v>
      </c>
      <c r="D734">
        <v>11</v>
      </c>
      <c r="E734">
        <v>11.84</v>
      </c>
      <c r="F734">
        <v>15</v>
      </c>
      <c r="G734">
        <v>0.7893333333333333</v>
      </c>
      <c r="H734">
        <v>0.1013513513513513</v>
      </c>
      <c r="I734">
        <v>0.04845045217420085</v>
      </c>
      <c r="J734">
        <v>0.01</v>
      </c>
      <c r="K734">
        <v>0.1294889732471574</v>
      </c>
      <c r="L734" t="s">
        <v>648</v>
      </c>
      <c r="M734" t="s">
        <v>589</v>
      </c>
      <c r="N734">
        <v>8.457142857142857</v>
      </c>
      <c r="O734">
        <v>1.4</v>
      </c>
      <c r="P734">
        <v>1.2</v>
      </c>
      <c r="Q734">
        <v>0.8571428571428572</v>
      </c>
      <c r="R734">
        <v>0</v>
      </c>
      <c r="S734">
        <v>0</v>
      </c>
      <c r="T734" t="s">
        <v>933</v>
      </c>
      <c r="U734">
        <v>-0.310529564538858</v>
      </c>
      <c r="V734" t="s">
        <v>989</v>
      </c>
      <c r="W734" t="s">
        <v>1001</v>
      </c>
      <c r="X734">
        <v>473.585496</v>
      </c>
      <c r="Y734" s="2">
        <v>45062</v>
      </c>
      <c r="Z734" t="s">
        <v>1004</v>
      </c>
    </row>
    <row r="735" spans="1:26">
      <c r="A735" s="1" t="s">
        <v>759</v>
      </c>
      <c r="B735">
        <f>HYPERLINK("https://www.suredividend.com/sure-analysis-OWL/","Blue Owl Capital Inc")</f>
        <v>0</v>
      </c>
      <c r="C735" t="s">
        <v>896</v>
      </c>
      <c r="D735">
        <v>10.1</v>
      </c>
      <c r="E735">
        <v>11.02</v>
      </c>
      <c r="F735">
        <v>10.5</v>
      </c>
      <c r="G735">
        <v>1.04952380952381</v>
      </c>
      <c r="H735">
        <v>0.05081669691470055</v>
      </c>
      <c r="I735">
        <v>-0.009620731093777257</v>
      </c>
      <c r="J735">
        <v>0.091</v>
      </c>
      <c r="K735">
        <v>0.1293838042013078</v>
      </c>
      <c r="L735" t="s">
        <v>648</v>
      </c>
      <c r="M735" t="s">
        <v>791</v>
      </c>
      <c r="N735">
        <v>15.74285714285714</v>
      </c>
      <c r="O735">
        <v>0.7</v>
      </c>
      <c r="P735">
        <v>0.5600000000000001</v>
      </c>
      <c r="Q735">
        <v>0.8000000000000002</v>
      </c>
      <c r="R735">
        <v>2</v>
      </c>
      <c r="S735">
        <v>0.1229551070568209</v>
      </c>
      <c r="T735" t="s">
        <v>908</v>
      </c>
      <c r="U735">
        <v>0.06033927007861101</v>
      </c>
      <c r="V735" t="s">
        <v>988</v>
      </c>
      <c r="W735" t="s">
        <v>994</v>
      </c>
      <c r="X735">
        <v>4913.511931</v>
      </c>
      <c r="Y735" s="2">
        <v>45063</v>
      </c>
      <c r="Z735" t="s">
        <v>1013</v>
      </c>
    </row>
    <row r="736" spans="1:26">
      <c r="A736" s="1" t="s">
        <v>760</v>
      </c>
      <c r="B736">
        <f>HYPERLINK("https://www.suredividend.com/sure-analysis-TRP/","TC Energy Corporation")</f>
        <v>0</v>
      </c>
      <c r="C736" t="s">
        <v>896</v>
      </c>
      <c r="D736">
        <v>41</v>
      </c>
      <c r="E736">
        <v>39.26</v>
      </c>
      <c r="F736">
        <v>49</v>
      </c>
      <c r="G736">
        <v>0.8012244897959183</v>
      </c>
      <c r="H736">
        <v>0.07030056036678553</v>
      </c>
      <c r="I736">
        <v>0.04531975248476772</v>
      </c>
      <c r="J736">
        <v>0.03</v>
      </c>
      <c r="K736">
        <v>0.1293573299007555</v>
      </c>
      <c r="L736" t="s">
        <v>648</v>
      </c>
      <c r="M736" t="s">
        <v>589</v>
      </c>
      <c r="N736">
        <v>11.71940298507463</v>
      </c>
      <c r="O736">
        <v>3.35</v>
      </c>
      <c r="P736">
        <v>2.76</v>
      </c>
      <c r="Q736">
        <v>0.8238805970149253</v>
      </c>
      <c r="R736">
        <v>1</v>
      </c>
      <c r="S736">
        <v>0.03512536867191596</v>
      </c>
      <c r="T736" t="s">
        <v>906</v>
      </c>
      <c r="U736">
        <v>-0.192901811962157</v>
      </c>
      <c r="V736" t="s">
        <v>988</v>
      </c>
      <c r="W736" t="s">
        <v>1002</v>
      </c>
      <c r="X736">
        <v>40417.054545</v>
      </c>
      <c r="Y736" s="2">
        <v>45051</v>
      </c>
      <c r="Z736" t="s">
        <v>1007</v>
      </c>
    </row>
    <row r="737" spans="1:26">
      <c r="A737" s="1" t="s">
        <v>761</v>
      </c>
      <c r="B737">
        <f>HYPERLINK("https://www.suredividend.com/sure-analysis-PSEC/","Prospect Capital Corp")</f>
        <v>0</v>
      </c>
      <c r="C737" t="s">
        <v>896</v>
      </c>
      <c r="D737">
        <v>6.08</v>
      </c>
      <c r="E737">
        <v>6.1</v>
      </c>
      <c r="F737">
        <v>7.91</v>
      </c>
      <c r="G737">
        <v>0.7711757269279392</v>
      </c>
      <c r="H737">
        <v>0.1180327868852459</v>
      </c>
      <c r="I737">
        <v>0.05334182659368825</v>
      </c>
      <c r="J737">
        <v>-0.01</v>
      </c>
      <c r="K737">
        <v>0.1276470767459037</v>
      </c>
      <c r="L737" t="s">
        <v>648</v>
      </c>
      <c r="M737" t="s">
        <v>589</v>
      </c>
      <c r="N737">
        <v>6.559139784946236</v>
      </c>
      <c r="O737">
        <v>0.93</v>
      </c>
      <c r="P737">
        <v>0.72</v>
      </c>
      <c r="Q737">
        <v>0.7741935483870968</v>
      </c>
      <c r="R737">
        <v>0</v>
      </c>
      <c r="S737">
        <v>0</v>
      </c>
      <c r="T737" t="s">
        <v>946</v>
      </c>
      <c r="U737">
        <v>-0.05111532837631801</v>
      </c>
      <c r="V737" t="s">
        <v>991</v>
      </c>
      <c r="W737" t="s">
        <v>994</v>
      </c>
      <c r="X737">
        <v>2453.233334</v>
      </c>
      <c r="Y737" s="2">
        <v>45061</v>
      </c>
      <c r="Z737" t="s">
        <v>1004</v>
      </c>
    </row>
    <row r="738" spans="1:26">
      <c r="A738" s="1" t="s">
        <v>762</v>
      </c>
      <c r="B738">
        <f>HYPERLINK("https://www.suredividend.com/sure-analysis-MPW/","Medical Properties Trust Inc")</f>
        <v>0</v>
      </c>
      <c r="C738" t="s">
        <v>896</v>
      </c>
      <c r="D738">
        <v>7.6</v>
      </c>
      <c r="E738">
        <v>8.68</v>
      </c>
      <c r="F738">
        <v>11.9</v>
      </c>
      <c r="G738">
        <v>0.7294117647058823</v>
      </c>
      <c r="H738">
        <v>0.1336405529953917</v>
      </c>
      <c r="I738">
        <v>0.06513694131438919</v>
      </c>
      <c r="J738">
        <v>-0.025</v>
      </c>
      <c r="K738">
        <v>0.1272051640143492</v>
      </c>
      <c r="L738" t="s">
        <v>648</v>
      </c>
      <c r="M738" t="s">
        <v>900</v>
      </c>
      <c r="N738">
        <v>5.105882352941176</v>
      </c>
      <c r="O738">
        <v>1.7</v>
      </c>
      <c r="P738">
        <v>1.16</v>
      </c>
      <c r="Q738">
        <v>0.6823529411764706</v>
      </c>
      <c r="R738">
        <v>9</v>
      </c>
      <c r="S738">
        <v>-0.02924775819909686</v>
      </c>
      <c r="T738" t="s">
        <v>916</v>
      </c>
      <c r="U738">
        <v>-0.373931608519723</v>
      </c>
      <c r="V738" t="s">
        <v>989</v>
      </c>
      <c r="W738" t="s">
        <v>1001</v>
      </c>
      <c r="X738">
        <v>5193.244</v>
      </c>
      <c r="Y738" s="2">
        <v>45063</v>
      </c>
      <c r="Z738" t="s">
        <v>1013</v>
      </c>
    </row>
    <row r="739" spans="1:26">
      <c r="A739" s="1" t="s">
        <v>763</v>
      </c>
      <c r="B739">
        <f>HYPERLINK("https://www.suredividend.com/sure-analysis-EFC/","Ellington Financial Inc")</f>
        <v>0</v>
      </c>
      <c r="C739" t="s">
        <v>896</v>
      </c>
      <c r="D739">
        <v>12.98</v>
      </c>
      <c r="E739">
        <v>13.3</v>
      </c>
      <c r="F739">
        <v>14.4</v>
      </c>
      <c r="G739">
        <v>0.9236111111111112</v>
      </c>
      <c r="H739">
        <v>0.1353383458646616</v>
      </c>
      <c r="I739">
        <v>0.01601979706926571</v>
      </c>
      <c r="J739">
        <v>0.01</v>
      </c>
      <c r="K739">
        <v>0.1265682151155636</v>
      </c>
      <c r="L739" t="s">
        <v>648</v>
      </c>
      <c r="M739" t="s">
        <v>589</v>
      </c>
      <c r="N739">
        <v>7.388888888888889</v>
      </c>
      <c r="O739">
        <v>1.8</v>
      </c>
      <c r="P739">
        <v>1.8</v>
      </c>
      <c r="Q739">
        <v>1</v>
      </c>
      <c r="R739">
        <v>1</v>
      </c>
      <c r="S739">
        <v>0</v>
      </c>
      <c r="T739" t="s">
        <v>934</v>
      </c>
      <c r="U739">
        <v>0.000888005899971</v>
      </c>
      <c r="V739" t="s">
        <v>989</v>
      </c>
      <c r="W739" t="s">
        <v>994</v>
      </c>
      <c r="X739">
        <v>893.251142</v>
      </c>
      <c r="Y739" s="2">
        <v>45069</v>
      </c>
      <c r="Z739" t="s">
        <v>1012</v>
      </c>
    </row>
    <row r="740" spans="1:26">
      <c r="A740" s="1" t="s">
        <v>764</v>
      </c>
      <c r="B740">
        <f>HYPERLINK("https://www.suredividend.com/sure-analysis-PHG/","Koninklijke Philips N.V.")</f>
        <v>0</v>
      </c>
      <c r="C740" t="s">
        <v>896</v>
      </c>
      <c r="D740">
        <v>22</v>
      </c>
      <c r="E740">
        <v>20.33</v>
      </c>
      <c r="F740">
        <v>19</v>
      </c>
      <c r="G740">
        <v>1.07</v>
      </c>
      <c r="H740">
        <v>0.04476143630103296</v>
      </c>
      <c r="I740">
        <v>-0.01344058740792065</v>
      </c>
      <c r="J740">
        <v>0.11</v>
      </c>
      <c r="K740">
        <v>0.1262096898655773</v>
      </c>
      <c r="L740" t="s">
        <v>648</v>
      </c>
      <c r="M740" t="s">
        <v>791</v>
      </c>
      <c r="N740">
        <v>19.36190476190476</v>
      </c>
      <c r="O740">
        <v>1.05</v>
      </c>
      <c r="P740">
        <v>0.91</v>
      </c>
      <c r="Q740">
        <v>0.8666666666666667</v>
      </c>
      <c r="R740">
        <v>0</v>
      </c>
      <c r="S740">
        <v>0.01904114973592153</v>
      </c>
      <c r="T740" t="s">
        <v>943</v>
      </c>
      <c r="U740">
        <v>-0.020840256806677</v>
      </c>
      <c r="V740" t="s">
        <v>988</v>
      </c>
      <c r="W740" t="s">
        <v>996</v>
      </c>
      <c r="X740">
        <v>18879.454907</v>
      </c>
      <c r="Y740" s="2">
        <v>45042</v>
      </c>
      <c r="Z740" t="s">
        <v>1007</v>
      </c>
    </row>
    <row r="741" spans="1:26">
      <c r="A741" s="1" t="s">
        <v>765</v>
      </c>
      <c r="B741">
        <f>HYPERLINK("https://www.suredividend.com/sure-analysis-XRX/","Xerox Holdings Corp")</f>
        <v>0</v>
      </c>
      <c r="C741" t="s">
        <v>896</v>
      </c>
      <c r="D741">
        <v>16</v>
      </c>
      <c r="E741">
        <v>14.19</v>
      </c>
      <c r="F741">
        <v>17</v>
      </c>
      <c r="G741">
        <v>0.8347058823529412</v>
      </c>
      <c r="H741">
        <v>0.07047216349541931</v>
      </c>
      <c r="I741">
        <v>0.03679598133053208</v>
      </c>
      <c r="J741">
        <v>0.04</v>
      </c>
      <c r="K741">
        <v>0.1259860427807264</v>
      </c>
      <c r="L741" t="s">
        <v>648</v>
      </c>
      <c r="M741" t="s">
        <v>589</v>
      </c>
      <c r="N741">
        <v>8.202312138728324</v>
      </c>
      <c r="O741">
        <v>1.73</v>
      </c>
      <c r="P741">
        <v>1</v>
      </c>
      <c r="Q741">
        <v>0.5780346820809249</v>
      </c>
      <c r="R741">
        <v>0</v>
      </c>
      <c r="S741">
        <v>0</v>
      </c>
      <c r="T741" t="s">
        <v>906</v>
      </c>
      <c r="U741">
        <v>-0.038285586483134</v>
      </c>
      <c r="V741" t="s">
        <v>988</v>
      </c>
      <c r="W741" t="s">
        <v>1000</v>
      </c>
      <c r="X741">
        <v>2227.240604</v>
      </c>
      <c r="Y741" s="2">
        <v>45047</v>
      </c>
      <c r="Z741" t="s">
        <v>1004</v>
      </c>
    </row>
    <row r="742" spans="1:26">
      <c r="A742" s="1" t="s">
        <v>766</v>
      </c>
      <c r="B742">
        <f>HYPERLINK("https://www.suredividend.com/sure-analysis-APLE/","Apple Hospitality REIT Inc")</f>
        <v>0</v>
      </c>
      <c r="C742" t="s">
        <v>896</v>
      </c>
      <c r="D742">
        <v>14.8</v>
      </c>
      <c r="E742">
        <v>14.36</v>
      </c>
      <c r="F742">
        <v>19.4</v>
      </c>
      <c r="G742">
        <v>0.7402061855670103</v>
      </c>
      <c r="H742">
        <v>0.06685236768802229</v>
      </c>
      <c r="I742">
        <v>0.06201208315437845</v>
      </c>
      <c r="J742">
        <v>0.014</v>
      </c>
      <c r="K742">
        <v>0.124879533986358</v>
      </c>
      <c r="L742" t="s">
        <v>648</v>
      </c>
      <c r="M742" t="s">
        <v>589</v>
      </c>
      <c r="N742">
        <v>8.547619047619047</v>
      </c>
      <c r="O742">
        <v>1.68</v>
      </c>
      <c r="P742">
        <v>0.96</v>
      </c>
      <c r="Q742">
        <v>0.5714285714285714</v>
      </c>
      <c r="R742">
        <v>2</v>
      </c>
      <c r="S742">
        <v>0.01808400232019891</v>
      </c>
      <c r="T742" t="s">
        <v>934</v>
      </c>
      <c r="U742">
        <v>0.007620303970136</v>
      </c>
      <c r="V742" t="s">
        <v>989</v>
      </c>
      <c r="W742" t="s">
        <v>1001</v>
      </c>
      <c r="X742">
        <v>3288.631692</v>
      </c>
      <c r="Y742" s="2">
        <v>45080</v>
      </c>
      <c r="Z742" t="s">
        <v>1013</v>
      </c>
    </row>
    <row r="743" spans="1:26">
      <c r="A743" s="1" t="s">
        <v>767</v>
      </c>
      <c r="B743">
        <f>HYPERLINK("https://www.suredividend.com/sure-analysis-AB/","AllianceBernstein Holding Lp")</f>
        <v>0</v>
      </c>
      <c r="C743" t="s">
        <v>896</v>
      </c>
      <c r="D743">
        <v>34.8</v>
      </c>
      <c r="E743">
        <v>31.77</v>
      </c>
      <c r="F743">
        <v>28</v>
      </c>
      <c r="G743">
        <v>1.134642857142857</v>
      </c>
      <c r="H743">
        <v>0.0853005980484734</v>
      </c>
      <c r="I743">
        <v>-0.02494713371282875</v>
      </c>
      <c r="J743">
        <v>0.073</v>
      </c>
      <c r="K743">
        <v>0.1239753833197754</v>
      </c>
      <c r="L743" t="s">
        <v>648</v>
      </c>
      <c r="M743" t="s">
        <v>589</v>
      </c>
      <c r="N743">
        <v>11.34642857142857</v>
      </c>
      <c r="O743">
        <v>2.8</v>
      </c>
      <c r="P743">
        <v>2.71</v>
      </c>
      <c r="Q743">
        <v>0.9678571428571429</v>
      </c>
      <c r="R743">
        <v>1</v>
      </c>
      <c r="S743">
        <v>0.07989804821682145</v>
      </c>
      <c r="T743" t="s">
        <v>907</v>
      </c>
      <c r="U743">
        <v>-0.209390755570597</v>
      </c>
      <c r="V743" t="s">
        <v>990</v>
      </c>
      <c r="W743" t="s">
        <v>994</v>
      </c>
      <c r="X743">
        <v>3605.139478</v>
      </c>
      <c r="Y743" s="2">
        <v>45062</v>
      </c>
      <c r="Z743" t="s">
        <v>1013</v>
      </c>
    </row>
    <row r="744" spans="1:26">
      <c r="A744" s="1" t="s">
        <v>768</v>
      </c>
      <c r="B744">
        <f>HYPERLINK("https://www.suredividend.com/sure-analysis-NYMT/","New York Mortgage Trust Inc")</f>
        <v>0</v>
      </c>
      <c r="C744" t="s">
        <v>897</v>
      </c>
      <c r="D744">
        <v>9.699999999999999</v>
      </c>
      <c r="E744">
        <v>9.65</v>
      </c>
      <c r="F744">
        <v>7.2</v>
      </c>
      <c r="G744">
        <v>1.340277777777778</v>
      </c>
      <c r="H744">
        <v>0.1658031088082902</v>
      </c>
      <c r="I744">
        <v>-0.0568928516837236</v>
      </c>
      <c r="J744">
        <v>0.05</v>
      </c>
      <c r="K744">
        <v>0.1223952187077491</v>
      </c>
      <c r="L744" t="s">
        <v>648</v>
      </c>
      <c r="M744" t="s">
        <v>589</v>
      </c>
      <c r="N744">
        <v>10.72222222222222</v>
      </c>
      <c r="O744">
        <v>0.9</v>
      </c>
      <c r="P744">
        <v>1.6</v>
      </c>
      <c r="Q744">
        <v>1.777777777777778</v>
      </c>
      <c r="R744">
        <v>0</v>
      </c>
      <c r="S744">
        <v>0</v>
      </c>
      <c r="T744" t="s">
        <v>902</v>
      </c>
      <c r="U744">
        <v>0.039691432511635</v>
      </c>
      <c r="V744" t="s">
        <v>989</v>
      </c>
      <c r="W744" t="s">
        <v>1001</v>
      </c>
      <c r="X744">
        <v>879.887926</v>
      </c>
      <c r="Y744" s="2">
        <v>45058</v>
      </c>
      <c r="Z744" t="s">
        <v>1004</v>
      </c>
    </row>
    <row r="745" spans="1:26">
      <c r="A745" s="1" t="s">
        <v>769</v>
      </c>
      <c r="B745">
        <f>HYPERLINK("https://www.suredividend.com/sure-analysis-OLP/","One Liberty Properties, Inc.")</f>
        <v>0</v>
      </c>
      <c r="C745" t="s">
        <v>896</v>
      </c>
      <c r="D745">
        <v>20</v>
      </c>
      <c r="E745">
        <v>20.29</v>
      </c>
      <c r="F745">
        <v>24</v>
      </c>
      <c r="G745">
        <v>0.8454166666666666</v>
      </c>
      <c r="H745">
        <v>0.08871365204534254</v>
      </c>
      <c r="I745">
        <v>0.03415548311801153</v>
      </c>
      <c r="J745">
        <v>0.02</v>
      </c>
      <c r="K745">
        <v>0.1200518023110431</v>
      </c>
      <c r="L745" t="s">
        <v>648</v>
      </c>
      <c r="M745" t="s">
        <v>589</v>
      </c>
      <c r="N745">
        <v>10.73544973544974</v>
      </c>
      <c r="O745">
        <v>1.89</v>
      </c>
      <c r="P745">
        <v>1.8</v>
      </c>
      <c r="Q745">
        <v>0.9523809523809524</v>
      </c>
      <c r="R745">
        <v>0</v>
      </c>
      <c r="S745">
        <v>0.009805797673485328</v>
      </c>
      <c r="T745" t="s">
        <v>904</v>
      </c>
      <c r="U745">
        <v>-0.15422740403253</v>
      </c>
      <c r="V745" t="s">
        <v>989</v>
      </c>
      <c r="W745" t="s">
        <v>1001</v>
      </c>
      <c r="X745">
        <v>432.710546</v>
      </c>
      <c r="Y745" s="2">
        <v>45077</v>
      </c>
      <c r="Z745" t="s">
        <v>1010</v>
      </c>
    </row>
    <row r="746" spans="1:26">
      <c r="A746" s="1" t="s">
        <v>770</v>
      </c>
      <c r="B746">
        <f>HYPERLINK("https://www.suredividend.com/sure-analysis-MAIN/","Main Street Capital Corporation")</f>
        <v>0</v>
      </c>
      <c r="C746" t="s">
        <v>896</v>
      </c>
      <c r="D746">
        <v>39</v>
      </c>
      <c r="E746">
        <v>38.2</v>
      </c>
      <c r="F746">
        <v>53</v>
      </c>
      <c r="G746">
        <v>0.7207547169811321</v>
      </c>
      <c r="H746">
        <v>0.07225130890052354</v>
      </c>
      <c r="I746">
        <v>0.06768342663344873</v>
      </c>
      <c r="J746">
        <v>0</v>
      </c>
      <c r="K746">
        <v>0.1196530015903385</v>
      </c>
      <c r="L746" t="s">
        <v>648</v>
      </c>
      <c r="M746" t="s">
        <v>589</v>
      </c>
      <c r="N746">
        <v>9.720101781170484</v>
      </c>
      <c r="O746">
        <v>3.93</v>
      </c>
      <c r="P746">
        <v>2.76</v>
      </c>
      <c r="Q746">
        <v>0.7022900763358778</v>
      </c>
      <c r="R746">
        <v>7</v>
      </c>
      <c r="S746">
        <v>0.009945138895525618</v>
      </c>
      <c r="T746" t="s">
        <v>933</v>
      </c>
      <c r="U746">
        <v>0.07378475394306601</v>
      </c>
      <c r="V746" t="s">
        <v>991</v>
      </c>
      <c r="W746" t="s">
        <v>994</v>
      </c>
      <c r="X746">
        <v>3073.827787</v>
      </c>
      <c r="Y746" s="2">
        <v>45072</v>
      </c>
      <c r="Z746" t="s">
        <v>1010</v>
      </c>
    </row>
    <row r="747" spans="1:26">
      <c r="A747" s="1" t="s">
        <v>771</v>
      </c>
      <c r="B747">
        <f>HYPERLINK("https://www.suredividend.com/sure-analysis-GLAD/","Gladstone Capital Corp.")</f>
        <v>0</v>
      </c>
      <c r="C747" t="s">
        <v>896</v>
      </c>
      <c r="D747">
        <v>9.42</v>
      </c>
      <c r="E747">
        <v>9.43</v>
      </c>
      <c r="F747">
        <v>11.03</v>
      </c>
      <c r="G747">
        <v>0.8549410698096102</v>
      </c>
      <c r="H747">
        <v>0.1018027571580064</v>
      </c>
      <c r="I747">
        <v>0.03184096068896958</v>
      </c>
      <c r="J747">
        <v>0.01</v>
      </c>
      <c r="K747">
        <v>0.1189567437521712</v>
      </c>
      <c r="L747" t="s">
        <v>648</v>
      </c>
      <c r="M747" t="s">
        <v>589</v>
      </c>
      <c r="N747">
        <v>8.980952380952381</v>
      </c>
      <c r="O747">
        <v>1.05</v>
      </c>
      <c r="P747">
        <v>0.96</v>
      </c>
      <c r="Q747">
        <v>0.9142857142857143</v>
      </c>
      <c r="R747">
        <v>2</v>
      </c>
      <c r="S747">
        <v>0.01020619660890776</v>
      </c>
      <c r="T747" t="s">
        <v>933</v>
      </c>
      <c r="U747">
        <v>0.065404300030504</v>
      </c>
      <c r="V747" t="s">
        <v>991</v>
      </c>
      <c r="W747" t="s">
        <v>994</v>
      </c>
      <c r="X747">
        <v>353.10718</v>
      </c>
      <c r="Y747" s="2">
        <v>45054</v>
      </c>
      <c r="Z747" t="s">
        <v>1004</v>
      </c>
    </row>
    <row r="748" spans="1:26">
      <c r="A748" s="1" t="s">
        <v>772</v>
      </c>
      <c r="B748">
        <f>HYPERLINK("https://www.suredividend.com/sure-analysis-EPR/","EPR Properties")</f>
        <v>0</v>
      </c>
      <c r="C748" t="s">
        <v>896</v>
      </c>
      <c r="D748">
        <v>42</v>
      </c>
      <c r="E748">
        <v>43.69</v>
      </c>
      <c r="F748">
        <v>54</v>
      </c>
      <c r="G748">
        <v>0.8090740740740741</v>
      </c>
      <c r="H748">
        <v>0.07553215838864728</v>
      </c>
      <c r="I748">
        <v>0.04328350996880825</v>
      </c>
      <c r="J748">
        <v>0.02</v>
      </c>
      <c r="K748">
        <v>0.1189222150626963</v>
      </c>
      <c r="L748" t="s">
        <v>648</v>
      </c>
      <c r="M748" t="s">
        <v>589</v>
      </c>
      <c r="N748">
        <v>8.916326530612244</v>
      </c>
      <c r="O748">
        <v>4.9</v>
      </c>
      <c r="P748">
        <v>3.3</v>
      </c>
      <c r="Q748">
        <v>0.6734693877551019</v>
      </c>
      <c r="R748">
        <v>1</v>
      </c>
      <c r="S748">
        <v>0.01009705984991127</v>
      </c>
      <c r="T748" t="s">
        <v>934</v>
      </c>
      <c r="U748">
        <v>-0.012271436580998</v>
      </c>
      <c r="V748" t="s">
        <v>989</v>
      </c>
      <c r="W748" t="s">
        <v>1001</v>
      </c>
      <c r="X748">
        <v>3288.949908</v>
      </c>
      <c r="Y748" s="2">
        <v>45055</v>
      </c>
      <c r="Z748" t="s">
        <v>1004</v>
      </c>
    </row>
    <row r="749" spans="1:26">
      <c r="A749" s="1" t="s">
        <v>773</v>
      </c>
      <c r="B749">
        <f>HYPERLINK("https://www.suredividend.com/sure-analysis-GLPI/","Gaming and Leisure Properties Inc")</f>
        <v>0</v>
      </c>
      <c r="C749" t="s">
        <v>897</v>
      </c>
      <c r="D749">
        <v>49.1</v>
      </c>
      <c r="E749">
        <v>47.22</v>
      </c>
      <c r="F749">
        <v>51.4</v>
      </c>
      <c r="G749">
        <v>0.9186770428015564</v>
      </c>
      <c r="H749">
        <v>0.06099110546378653</v>
      </c>
      <c r="I749">
        <v>0.01710883610616265</v>
      </c>
      <c r="J749">
        <v>0.053</v>
      </c>
      <c r="K749">
        <v>0.1187517626950885</v>
      </c>
      <c r="L749" t="s">
        <v>648</v>
      </c>
      <c r="M749" t="s">
        <v>589</v>
      </c>
      <c r="N749">
        <v>12.86648501362398</v>
      </c>
      <c r="O749">
        <v>3.67</v>
      </c>
      <c r="P749">
        <v>2.88</v>
      </c>
      <c r="Q749">
        <v>0.784741144414169</v>
      </c>
      <c r="R749">
        <v>9</v>
      </c>
      <c r="S749">
        <v>0.03976480118430525</v>
      </c>
      <c r="T749" t="s">
        <v>902</v>
      </c>
      <c r="U749">
        <v>0.078333310496965</v>
      </c>
      <c r="V749" t="s">
        <v>989</v>
      </c>
      <c r="W749" t="s">
        <v>1001</v>
      </c>
      <c r="X749">
        <v>12388.437335</v>
      </c>
      <c r="Y749" s="2">
        <v>45063</v>
      </c>
      <c r="Z749" t="s">
        <v>1013</v>
      </c>
    </row>
    <row r="750" spans="1:26">
      <c r="A750" s="1" t="s">
        <v>774</v>
      </c>
      <c r="B750">
        <f>HYPERLINK("https://www.suredividend.com/sure-analysis-MRCC/","Monroe Capital Corp")</f>
        <v>0</v>
      </c>
      <c r="C750" t="s">
        <v>896</v>
      </c>
      <c r="D750">
        <v>7.89</v>
      </c>
      <c r="E750">
        <v>7.78</v>
      </c>
      <c r="F750">
        <v>8.630000000000001</v>
      </c>
      <c r="G750">
        <v>0.9015063731170335</v>
      </c>
      <c r="H750">
        <v>0.1285347043701799</v>
      </c>
      <c r="I750">
        <v>0.02095415220607055</v>
      </c>
      <c r="J750">
        <v>0</v>
      </c>
      <c r="K750">
        <v>0.1186732461987181</v>
      </c>
      <c r="L750" t="s">
        <v>648</v>
      </c>
      <c r="M750" t="s">
        <v>589</v>
      </c>
      <c r="N750">
        <v>6.765217391304349</v>
      </c>
      <c r="O750">
        <v>1.15</v>
      </c>
      <c r="P750">
        <v>1</v>
      </c>
      <c r="Q750">
        <v>0.8695652173913044</v>
      </c>
      <c r="R750">
        <v>0</v>
      </c>
      <c r="S750">
        <v>0</v>
      </c>
      <c r="T750" t="s">
        <v>916</v>
      </c>
      <c r="U750">
        <v>0.041150886584141</v>
      </c>
      <c r="V750" t="s">
        <v>991</v>
      </c>
      <c r="W750" t="s">
        <v>994</v>
      </c>
      <c r="X750">
        <v>168.564125</v>
      </c>
      <c r="Y750" s="2">
        <v>45061</v>
      </c>
      <c r="Z750" t="s">
        <v>1012</v>
      </c>
    </row>
    <row r="751" spans="1:26">
      <c r="A751" s="1" t="s">
        <v>775</v>
      </c>
      <c r="B751">
        <f>HYPERLINK("https://www.suredividend.com/sure-analysis-ACRE/","Ares Commercial Real Estate Corp")</f>
        <v>0</v>
      </c>
      <c r="C751" t="s">
        <v>896</v>
      </c>
      <c r="D751">
        <v>7.78</v>
      </c>
      <c r="E751">
        <v>9.960000000000001</v>
      </c>
      <c r="F751">
        <v>10.8</v>
      </c>
      <c r="G751">
        <v>0.9222222222222223</v>
      </c>
      <c r="H751">
        <v>0.1325301204819277</v>
      </c>
      <c r="I751">
        <v>0.01632564293957728</v>
      </c>
      <c r="J751">
        <v>0</v>
      </c>
      <c r="K751">
        <v>0.118041648726279</v>
      </c>
      <c r="L751" t="s">
        <v>648</v>
      </c>
      <c r="M751" t="s">
        <v>589</v>
      </c>
      <c r="N751">
        <v>7.377777777777778</v>
      </c>
      <c r="O751">
        <v>1.35</v>
      </c>
      <c r="P751">
        <v>1.32</v>
      </c>
      <c r="Q751">
        <v>0.9777777777777777</v>
      </c>
      <c r="R751">
        <v>0</v>
      </c>
      <c r="S751">
        <v>0</v>
      </c>
      <c r="T751" t="s">
        <v>906</v>
      </c>
      <c r="U751">
        <v>-0.197602474864655</v>
      </c>
      <c r="V751" t="s">
        <v>989</v>
      </c>
      <c r="W751" t="s">
        <v>1001</v>
      </c>
      <c r="X751">
        <v>544.53549</v>
      </c>
      <c r="Y751" s="2">
        <v>45056</v>
      </c>
      <c r="Z751" t="s">
        <v>1012</v>
      </c>
    </row>
    <row r="752" spans="1:26">
      <c r="A752" s="1" t="s">
        <v>776</v>
      </c>
      <c r="B752">
        <f>HYPERLINK("https://www.suredividend.com/sure-analysis-EQR/","Equity Residential Properties Trust")</f>
        <v>0</v>
      </c>
      <c r="C752" t="s">
        <v>896</v>
      </c>
      <c r="D752">
        <v>63</v>
      </c>
      <c r="E752">
        <v>62.36</v>
      </c>
      <c r="F752">
        <v>83</v>
      </c>
      <c r="G752">
        <v>0.7513253012048192</v>
      </c>
      <c r="H752">
        <v>0.04249518922386145</v>
      </c>
      <c r="I752">
        <v>0.05884989326152001</v>
      </c>
      <c r="J752">
        <v>0.026</v>
      </c>
      <c r="K752">
        <v>0.1174382222871728</v>
      </c>
      <c r="L752" t="s">
        <v>648</v>
      </c>
      <c r="M752" t="s">
        <v>791</v>
      </c>
      <c r="N752">
        <v>16.54111405835544</v>
      </c>
      <c r="O752">
        <v>3.77</v>
      </c>
      <c r="P752">
        <v>2.65</v>
      </c>
      <c r="Q752">
        <v>0.7029177718832891</v>
      </c>
      <c r="R752">
        <v>3</v>
      </c>
      <c r="S752">
        <v>0.02512087219852699</v>
      </c>
      <c r="T752" t="s">
        <v>904</v>
      </c>
      <c r="U752">
        <v>-0.09446149065346501</v>
      </c>
      <c r="V752" t="s">
        <v>989</v>
      </c>
      <c r="W752" t="s">
        <v>1001</v>
      </c>
      <c r="X752">
        <v>23628.495159</v>
      </c>
      <c r="Y752" s="2">
        <v>45062</v>
      </c>
      <c r="Z752" t="s">
        <v>1013</v>
      </c>
    </row>
    <row r="753" spans="1:26">
      <c r="A753" s="1" t="s">
        <v>777</v>
      </c>
      <c r="B753">
        <f>HYPERLINK("https://www.suredividend.com/sure-analysis-VICI/","VICI Properties Inc")</f>
        <v>0</v>
      </c>
      <c r="C753" t="s">
        <v>897</v>
      </c>
      <c r="D753">
        <v>32</v>
      </c>
      <c r="E753">
        <v>30.63</v>
      </c>
      <c r="F753">
        <v>33</v>
      </c>
      <c r="G753">
        <v>0.9281818181818181</v>
      </c>
      <c r="H753">
        <v>0.05093046033300686</v>
      </c>
      <c r="I753">
        <v>0.01501716951028387</v>
      </c>
      <c r="J753">
        <v>0.06</v>
      </c>
      <c r="K753">
        <v>0.1173712373956297</v>
      </c>
      <c r="L753" t="s">
        <v>648</v>
      </c>
      <c r="M753" t="s">
        <v>791</v>
      </c>
      <c r="N753">
        <v>14.44811320754717</v>
      </c>
      <c r="O753">
        <v>2.12</v>
      </c>
      <c r="P753">
        <v>1.56</v>
      </c>
      <c r="Q753">
        <v>0.7358490566037735</v>
      </c>
      <c r="R753">
        <v>4</v>
      </c>
      <c r="S753">
        <v>0.05511819868320456</v>
      </c>
      <c r="T753" t="s">
        <v>939</v>
      </c>
      <c r="U753">
        <v>0.060411978535571</v>
      </c>
      <c r="V753" t="s">
        <v>989</v>
      </c>
      <c r="W753" t="s">
        <v>1001</v>
      </c>
      <c r="X753">
        <v>30759.824949</v>
      </c>
      <c r="Y753" s="2">
        <v>45051</v>
      </c>
      <c r="Z753" t="s">
        <v>1007</v>
      </c>
    </row>
    <row r="754" spans="1:26">
      <c r="A754" s="1" t="s">
        <v>778</v>
      </c>
      <c r="B754">
        <f>HYPERLINK("https://www.suredividend.com/sure-analysis-AKR/","Acadia Realty Trust")</f>
        <v>0</v>
      </c>
      <c r="C754" t="s">
        <v>896</v>
      </c>
      <c r="D754">
        <v>13.42</v>
      </c>
      <c r="E754">
        <v>13.47</v>
      </c>
      <c r="F754">
        <v>15.99</v>
      </c>
      <c r="G754">
        <v>0.8424015009380863</v>
      </c>
      <c r="H754">
        <v>0.05345211581291759</v>
      </c>
      <c r="I754">
        <v>0.03489472574155394</v>
      </c>
      <c r="J754">
        <v>0.03</v>
      </c>
      <c r="K754">
        <v>0.1165291155662733</v>
      </c>
      <c r="L754" t="s">
        <v>648</v>
      </c>
      <c r="M754" t="s">
        <v>589</v>
      </c>
      <c r="N754">
        <v>10.95121951219512</v>
      </c>
      <c r="O754">
        <v>1.23</v>
      </c>
      <c r="P754">
        <v>0.72</v>
      </c>
      <c r="Q754">
        <v>0.5853658536585366</v>
      </c>
      <c r="R754">
        <v>2</v>
      </c>
      <c r="S754">
        <v>0.100082101138866</v>
      </c>
      <c r="T754" t="s">
        <v>906</v>
      </c>
      <c r="U754">
        <v>-0.124403593390449</v>
      </c>
      <c r="V754" t="s">
        <v>989</v>
      </c>
      <c r="W754" t="s">
        <v>1001</v>
      </c>
      <c r="X754">
        <v>1282.510018</v>
      </c>
      <c r="Y754" s="2">
        <v>45057</v>
      </c>
      <c r="Z754" t="s">
        <v>1012</v>
      </c>
    </row>
    <row r="755" spans="1:26">
      <c r="A755" s="1" t="s">
        <v>779</v>
      </c>
      <c r="B755">
        <f>HYPERLINK("https://www.suredividend.com/sure-analysis-LADR/","Ladder Capital Corp")</f>
        <v>0</v>
      </c>
      <c r="C755" t="s">
        <v>896</v>
      </c>
      <c r="D755">
        <v>9.5</v>
      </c>
      <c r="E755">
        <v>10.31</v>
      </c>
      <c r="F755">
        <v>11.9</v>
      </c>
      <c r="G755">
        <v>0.8663865546218488</v>
      </c>
      <c r="H755">
        <v>0.08923375363724539</v>
      </c>
      <c r="I755">
        <v>0.02910019198666447</v>
      </c>
      <c r="J755">
        <v>0.02</v>
      </c>
      <c r="K755">
        <v>0.1164986740683942</v>
      </c>
      <c r="L755" t="s">
        <v>648</v>
      </c>
      <c r="M755" t="s">
        <v>589</v>
      </c>
      <c r="N755">
        <v>7.810606060606061</v>
      </c>
      <c r="O755">
        <v>1.32</v>
      </c>
      <c r="P755">
        <v>0.92</v>
      </c>
      <c r="Q755">
        <v>0.696969696969697</v>
      </c>
      <c r="R755">
        <v>1</v>
      </c>
      <c r="S755">
        <v>0.01064069405849488</v>
      </c>
      <c r="T755" t="s">
        <v>906</v>
      </c>
      <c r="U755">
        <v>0.021915174102231</v>
      </c>
      <c r="V755" t="s">
        <v>989</v>
      </c>
      <c r="W755" t="s">
        <v>1001</v>
      </c>
      <c r="X755">
        <v>1308.839365</v>
      </c>
      <c r="Y755" s="2">
        <v>45064</v>
      </c>
      <c r="Z755" t="s">
        <v>1010</v>
      </c>
    </row>
    <row r="756" spans="1:26">
      <c r="A756" s="1" t="s">
        <v>780</v>
      </c>
      <c r="B756">
        <f>HYPERLINK("https://www.suredividend.com/sure-analysis-UDR/","UDR Inc")</f>
        <v>0</v>
      </c>
      <c r="C756" t="s">
        <v>896</v>
      </c>
      <c r="D756">
        <v>41</v>
      </c>
      <c r="E756">
        <v>40.23</v>
      </c>
      <c r="F756">
        <v>47</v>
      </c>
      <c r="G756">
        <v>0.8559574468085106</v>
      </c>
      <c r="H756">
        <v>0.04175988068605518</v>
      </c>
      <c r="I756">
        <v>0.03159579946190982</v>
      </c>
      <c r="J756">
        <v>0.05</v>
      </c>
      <c r="K756">
        <v>0.116252389333128</v>
      </c>
      <c r="L756" t="s">
        <v>648</v>
      </c>
      <c r="M756" t="s">
        <v>791</v>
      </c>
      <c r="N756">
        <v>17.80088495575221</v>
      </c>
      <c r="O756">
        <v>2.26</v>
      </c>
      <c r="P756">
        <v>1.68</v>
      </c>
      <c r="Q756">
        <v>0.7433628318584071</v>
      </c>
      <c r="R756">
        <v>12</v>
      </c>
      <c r="S756">
        <v>0.04959293402845044</v>
      </c>
      <c r="T756" t="s">
        <v>909</v>
      </c>
      <c r="U756">
        <v>-0.094047466237898</v>
      </c>
      <c r="V756" t="s">
        <v>989</v>
      </c>
      <c r="W756" t="s">
        <v>1001</v>
      </c>
      <c r="X756">
        <v>13242.621623</v>
      </c>
      <c r="Y756" s="2">
        <v>45050</v>
      </c>
      <c r="Z756" t="s">
        <v>1010</v>
      </c>
    </row>
    <row r="757" spans="1:26">
      <c r="A757" s="1" t="s">
        <v>781</v>
      </c>
      <c r="B757">
        <f>HYPERLINK("https://www.suredividend.com/sure-analysis-PINE/","Alpine Income Property Trust Inc")</f>
        <v>0</v>
      </c>
      <c r="C757" t="s">
        <v>896</v>
      </c>
      <c r="D757">
        <v>15.9</v>
      </c>
      <c r="E757">
        <v>15.24</v>
      </c>
      <c r="F757">
        <v>17.05</v>
      </c>
      <c r="G757">
        <v>0.893841642228739</v>
      </c>
      <c r="H757">
        <v>0.07217847769028872</v>
      </c>
      <c r="I757">
        <v>0.02269912238507299</v>
      </c>
      <c r="J757">
        <v>0.035</v>
      </c>
      <c r="K757">
        <v>0.1158602925599974</v>
      </c>
      <c r="L757" t="s">
        <v>648</v>
      </c>
      <c r="M757" t="s">
        <v>589</v>
      </c>
      <c r="N757">
        <v>9.832258064516129</v>
      </c>
      <c r="O757">
        <v>1.55</v>
      </c>
      <c r="P757">
        <v>1.1</v>
      </c>
      <c r="Q757">
        <v>0.7096774193548387</v>
      </c>
      <c r="R757">
        <v>4</v>
      </c>
      <c r="S757">
        <v>0.03556108556173765</v>
      </c>
      <c r="T757" t="s">
        <v>951</v>
      </c>
      <c r="U757">
        <v>-0.118555448877372</v>
      </c>
      <c r="V757" t="s">
        <v>989</v>
      </c>
      <c r="W757" t="s">
        <v>1001</v>
      </c>
      <c r="X757">
        <v>214.409884</v>
      </c>
      <c r="Y757" s="2">
        <v>45037</v>
      </c>
      <c r="Z757" t="s">
        <v>1012</v>
      </c>
    </row>
    <row r="758" spans="1:26">
      <c r="A758" s="1" t="s">
        <v>782</v>
      </c>
      <c r="B758">
        <f>HYPERLINK("https://www.suredividend.com/sure-analysis-SJT/","San Juan Basin Royalty Trust")</f>
        <v>0</v>
      </c>
      <c r="C758" t="s">
        <v>897</v>
      </c>
      <c r="D758">
        <v>8</v>
      </c>
      <c r="E758">
        <v>6.91</v>
      </c>
      <c r="F758">
        <v>18</v>
      </c>
      <c r="G758">
        <v>0.3838888888888889</v>
      </c>
      <c r="H758">
        <v>0.3227206946454414</v>
      </c>
      <c r="I758">
        <v>0.2110411255951079</v>
      </c>
      <c r="J758">
        <v>-0.2</v>
      </c>
      <c r="K758">
        <v>0.1146984579679919</v>
      </c>
      <c r="L758" t="s">
        <v>648</v>
      </c>
      <c r="M758" t="s">
        <v>589</v>
      </c>
      <c r="N758">
        <v>3.09865470852018</v>
      </c>
      <c r="O758">
        <v>2.23</v>
      </c>
      <c r="P758">
        <v>2.23</v>
      </c>
      <c r="Q758">
        <v>1</v>
      </c>
      <c r="R758">
        <v>2</v>
      </c>
      <c r="S758">
        <v>-0.2001591159727272</v>
      </c>
      <c r="T758" t="s">
        <v>934</v>
      </c>
      <c r="U758">
        <v>-0.074086481126639</v>
      </c>
      <c r="V758" t="s">
        <v>988</v>
      </c>
      <c r="W758" t="s">
        <v>1002</v>
      </c>
      <c r="X758">
        <v>322.06678</v>
      </c>
      <c r="Y758" s="2">
        <v>45068</v>
      </c>
      <c r="Z758" t="s">
        <v>1007</v>
      </c>
    </row>
    <row r="759" spans="1:26">
      <c r="A759" s="1" t="s">
        <v>783</v>
      </c>
      <c r="B759">
        <f>HYPERLINK("https://www.suredividend.com/sure-analysis-SPG/","Simon Property Group, Inc.")</f>
        <v>0</v>
      </c>
      <c r="C759" t="s">
        <v>896</v>
      </c>
      <c r="D759">
        <v>108</v>
      </c>
      <c r="E759">
        <v>107.74</v>
      </c>
      <c r="F759">
        <v>125</v>
      </c>
      <c r="G759">
        <v>0.8619199999999999</v>
      </c>
      <c r="H759">
        <v>0.06868386857248933</v>
      </c>
      <c r="I759">
        <v>0.03016456776696019</v>
      </c>
      <c r="J759">
        <v>0.03</v>
      </c>
      <c r="K759">
        <v>0.1146459036879171</v>
      </c>
      <c r="L759" t="s">
        <v>648</v>
      </c>
      <c r="M759" t="s">
        <v>589</v>
      </c>
      <c r="N759">
        <v>9.084317032040472</v>
      </c>
      <c r="O759">
        <v>11.86</v>
      </c>
      <c r="P759">
        <v>7.4</v>
      </c>
      <c r="Q759">
        <v>0.6239460370994941</v>
      </c>
      <c r="R759">
        <v>3</v>
      </c>
      <c r="S759">
        <v>0.03003294035561743</v>
      </c>
      <c r="T759" t="s">
        <v>926</v>
      </c>
      <c r="U759">
        <v>0.15262984470415</v>
      </c>
      <c r="V759" t="s">
        <v>989</v>
      </c>
      <c r="W759" t="s">
        <v>1001</v>
      </c>
      <c r="X759">
        <v>35229.737758</v>
      </c>
      <c r="Y759" s="2">
        <v>45056</v>
      </c>
      <c r="Z759" t="s">
        <v>1012</v>
      </c>
    </row>
    <row r="760" spans="1:26">
      <c r="A760" s="1" t="s">
        <v>784</v>
      </c>
      <c r="B760">
        <f>HYPERLINK("https://www.suredividend.com/sure-analysis-NYCB/","New York Community Bancorp Inc.")</f>
        <v>0</v>
      </c>
      <c r="C760" t="s">
        <v>896</v>
      </c>
      <c r="D760">
        <v>10.71</v>
      </c>
      <c r="E760">
        <v>10.47</v>
      </c>
      <c r="F760">
        <v>12</v>
      </c>
      <c r="G760">
        <v>0.8725000000000001</v>
      </c>
      <c r="H760">
        <v>0.06494746895893028</v>
      </c>
      <c r="I760">
        <v>0.02765399021467529</v>
      </c>
      <c r="J760">
        <v>0.04</v>
      </c>
      <c r="K760">
        <v>0.1144596976391681</v>
      </c>
      <c r="L760" t="s">
        <v>648</v>
      </c>
      <c r="M760" t="s">
        <v>589</v>
      </c>
      <c r="N760">
        <v>8.725000000000001</v>
      </c>
      <c r="O760">
        <v>1.2</v>
      </c>
      <c r="P760">
        <v>0.68</v>
      </c>
      <c r="Q760">
        <v>0.5666666666666668</v>
      </c>
      <c r="R760">
        <v>0</v>
      </c>
      <c r="S760">
        <v>0</v>
      </c>
      <c r="T760" t="s">
        <v>907</v>
      </c>
      <c r="U760">
        <v>0.231808181465228</v>
      </c>
      <c r="V760" t="s">
        <v>988</v>
      </c>
      <c r="W760" t="s">
        <v>994</v>
      </c>
      <c r="X760">
        <v>7560.65611</v>
      </c>
      <c r="Y760" s="2">
        <v>45049</v>
      </c>
      <c r="Z760" t="s">
        <v>1004</v>
      </c>
    </row>
    <row r="761" spans="1:26">
      <c r="A761" s="1" t="s">
        <v>785</v>
      </c>
      <c r="B761">
        <f>HYPERLINK("https://www.suredividend.com/sure-analysis-EARN/","Ellington Residential Mortgage REIT")</f>
        <v>0</v>
      </c>
      <c r="C761" t="s">
        <v>897</v>
      </c>
      <c r="D761">
        <v>7.2</v>
      </c>
      <c r="E761">
        <v>7.16</v>
      </c>
      <c r="F761">
        <v>6.79</v>
      </c>
      <c r="G761">
        <v>1.054491899852725</v>
      </c>
      <c r="H761">
        <v>0.1340782122905028</v>
      </c>
      <c r="I761">
        <v>-0.01055570128665695</v>
      </c>
      <c r="J761">
        <v>0.02</v>
      </c>
      <c r="K761">
        <v>0.1142308333370956</v>
      </c>
      <c r="L761" t="s">
        <v>648</v>
      </c>
      <c r="M761" t="s">
        <v>589</v>
      </c>
      <c r="N761">
        <v>7.381443298969073</v>
      </c>
      <c r="O761">
        <v>0.97</v>
      </c>
      <c r="P761">
        <v>0.96</v>
      </c>
      <c r="Q761">
        <v>0.9896907216494846</v>
      </c>
      <c r="R761">
        <v>0</v>
      </c>
      <c r="S761">
        <v>0</v>
      </c>
      <c r="T761" t="s">
        <v>934</v>
      </c>
      <c r="U761">
        <v>0.06585685363820401</v>
      </c>
      <c r="V761" t="s">
        <v>989</v>
      </c>
      <c r="W761" t="s">
        <v>1001</v>
      </c>
      <c r="X761">
        <v>99.025685</v>
      </c>
      <c r="Y761" s="2">
        <v>45092</v>
      </c>
      <c r="Z761" t="s">
        <v>1010</v>
      </c>
    </row>
    <row r="762" spans="1:26">
      <c r="A762" s="1" t="s">
        <v>786</v>
      </c>
      <c r="B762">
        <f>HYPERLINK("https://www.suredividend.com/sure-analysis-KSS/","Kohl`s Corp.")</f>
        <v>0</v>
      </c>
      <c r="C762" t="s">
        <v>896</v>
      </c>
      <c r="D762">
        <v>20</v>
      </c>
      <c r="E762">
        <v>21.45</v>
      </c>
      <c r="F762">
        <v>21</v>
      </c>
      <c r="G762">
        <v>1.021428571428571</v>
      </c>
      <c r="H762">
        <v>0.09324009324009325</v>
      </c>
      <c r="I762">
        <v>-0.004231463552614723</v>
      </c>
      <c r="J762">
        <v>0.05</v>
      </c>
      <c r="K762">
        <v>0.1140087938449013</v>
      </c>
      <c r="L762" t="s">
        <v>648</v>
      </c>
      <c r="M762" t="s">
        <v>589</v>
      </c>
      <c r="N762">
        <v>9.127659574468085</v>
      </c>
      <c r="O762">
        <v>2.35</v>
      </c>
      <c r="P762">
        <v>2</v>
      </c>
      <c r="Q762">
        <v>0.851063829787234</v>
      </c>
      <c r="R762">
        <v>2</v>
      </c>
      <c r="S762">
        <v>0</v>
      </c>
      <c r="T762" t="s">
        <v>920</v>
      </c>
      <c r="U762">
        <v>-0.417307990079295</v>
      </c>
      <c r="V762" t="s">
        <v>988</v>
      </c>
      <c r="W762" t="s">
        <v>995</v>
      </c>
      <c r="X762">
        <v>2372.169636</v>
      </c>
      <c r="Y762" s="2">
        <v>45072</v>
      </c>
      <c r="Z762" t="s">
        <v>1004</v>
      </c>
    </row>
    <row r="763" spans="1:26">
      <c r="A763" s="1" t="s">
        <v>787</v>
      </c>
      <c r="B763">
        <f>HYPERLINK("https://www.suredividend.com/sure-analysis-CTRE/","CareTrust REIT Inc")</f>
        <v>0</v>
      </c>
      <c r="C763" t="s">
        <v>896</v>
      </c>
      <c r="D763">
        <v>20</v>
      </c>
      <c r="E763">
        <v>19.38</v>
      </c>
      <c r="F763">
        <v>21</v>
      </c>
      <c r="G763">
        <v>0.9228571428571428</v>
      </c>
      <c r="H763">
        <v>0.05779153766769866</v>
      </c>
      <c r="I763">
        <v>0.016185759148861</v>
      </c>
      <c r="J763">
        <v>0.05</v>
      </c>
      <c r="K763">
        <v>0.113021277322308</v>
      </c>
      <c r="L763" t="s">
        <v>648</v>
      </c>
      <c r="M763" t="s">
        <v>791</v>
      </c>
      <c r="N763">
        <v>13.18367346938775</v>
      </c>
      <c r="O763">
        <v>1.47</v>
      </c>
      <c r="P763">
        <v>1.12</v>
      </c>
      <c r="Q763">
        <v>0.761904761904762</v>
      </c>
      <c r="R763">
        <v>8</v>
      </c>
      <c r="S763">
        <v>0.03959498820755258</v>
      </c>
      <c r="T763" t="s">
        <v>906</v>
      </c>
      <c r="U763">
        <v>0.128732592881646</v>
      </c>
      <c r="V763" t="s">
        <v>989</v>
      </c>
      <c r="W763" t="s">
        <v>1001</v>
      </c>
      <c r="X763">
        <v>1927.825733</v>
      </c>
      <c r="Y763" s="2">
        <v>45064</v>
      </c>
      <c r="Z763" t="s">
        <v>1010</v>
      </c>
    </row>
    <row r="764" spans="1:26">
      <c r="A764" s="1" t="s">
        <v>788</v>
      </c>
      <c r="B764">
        <f>HYPERLINK("https://www.suredividend.com/sure-analysis-GMRE/","Global Medical REIT Inc")</f>
        <v>0</v>
      </c>
      <c r="C764" t="s">
        <v>896</v>
      </c>
      <c r="D764">
        <v>8.890000000000001</v>
      </c>
      <c r="E764">
        <v>8.949999999999999</v>
      </c>
      <c r="F764">
        <v>9.449999999999999</v>
      </c>
      <c r="G764">
        <v>0.9470899470899471</v>
      </c>
      <c r="H764">
        <v>0.09385474860335195</v>
      </c>
      <c r="I764">
        <v>0.01093155944198032</v>
      </c>
      <c r="J764">
        <v>0.03</v>
      </c>
      <c r="K764">
        <v>0.112828399712751</v>
      </c>
      <c r="L764" t="s">
        <v>648</v>
      </c>
      <c r="M764" t="s">
        <v>589</v>
      </c>
      <c r="N764">
        <v>9.944444444444443</v>
      </c>
      <c r="O764">
        <v>0.9</v>
      </c>
      <c r="P764">
        <v>0.84</v>
      </c>
      <c r="Q764">
        <v>0.9333333333333332</v>
      </c>
      <c r="R764">
        <v>2</v>
      </c>
      <c r="S764">
        <v>0.009347419909568888</v>
      </c>
      <c r="T764" t="s">
        <v>940</v>
      </c>
      <c r="U764">
        <v>-0.1393320447355</v>
      </c>
      <c r="V764" t="s">
        <v>989</v>
      </c>
      <c r="W764" t="s">
        <v>1001</v>
      </c>
      <c r="X764">
        <v>586.490976</v>
      </c>
      <c r="Y764" s="2">
        <v>45058</v>
      </c>
      <c r="Z764" t="s">
        <v>1012</v>
      </c>
    </row>
    <row r="765" spans="1:26">
      <c r="A765" s="1" t="s">
        <v>789</v>
      </c>
      <c r="B765">
        <f>HYPERLINK("https://www.suredividend.com/sure-analysis-ORC/","Orchid Island Capital Inc")</f>
        <v>0</v>
      </c>
      <c r="C765" t="s">
        <v>896</v>
      </c>
      <c r="D765">
        <v>10.1</v>
      </c>
      <c r="E765">
        <v>9.970000000000001</v>
      </c>
      <c r="F765">
        <v>10.4</v>
      </c>
      <c r="G765">
        <v>0.9586538461538462</v>
      </c>
      <c r="H765">
        <v>0.1925777331995988</v>
      </c>
      <c r="I765">
        <v>0.008480804416463261</v>
      </c>
      <c r="J765">
        <v>-0.028</v>
      </c>
      <c r="K765">
        <v>0.1125998675044926</v>
      </c>
      <c r="L765" t="s">
        <v>648</v>
      </c>
      <c r="M765" t="s">
        <v>589</v>
      </c>
      <c r="N765">
        <v>7.121428571428573</v>
      </c>
      <c r="O765">
        <v>1.4</v>
      </c>
      <c r="P765">
        <v>1.92</v>
      </c>
      <c r="Q765">
        <v>1.371428571428571</v>
      </c>
      <c r="R765">
        <v>0</v>
      </c>
      <c r="S765">
        <v>-0.06121668690756277</v>
      </c>
      <c r="T765" t="s">
        <v>934</v>
      </c>
      <c r="U765">
        <v>-0.156178852843347</v>
      </c>
      <c r="V765" t="s">
        <v>989</v>
      </c>
      <c r="W765" t="s">
        <v>1001</v>
      </c>
      <c r="X765">
        <v>390.174963</v>
      </c>
      <c r="Y765" s="2">
        <v>45063</v>
      </c>
      <c r="Z765" t="s">
        <v>1013</v>
      </c>
    </row>
    <row r="766" spans="1:26">
      <c r="A766" s="1" t="s">
        <v>790</v>
      </c>
      <c r="B766">
        <f>HYPERLINK("https://www.suredividend.com/sure-analysis-NLY/","Annaly Capital Management Inc")</f>
        <v>0</v>
      </c>
      <c r="C766" t="s">
        <v>896</v>
      </c>
      <c r="D766">
        <v>19</v>
      </c>
      <c r="E766">
        <v>20.12</v>
      </c>
      <c r="F766">
        <v>22</v>
      </c>
      <c r="G766">
        <v>0.9145454545454546</v>
      </c>
      <c r="H766">
        <v>0.1292246520874751</v>
      </c>
      <c r="I766">
        <v>0.01802616649625466</v>
      </c>
      <c r="J766">
        <v>-0.01</v>
      </c>
      <c r="K766">
        <v>0.1124527984227697</v>
      </c>
      <c r="L766" t="s">
        <v>648</v>
      </c>
      <c r="M766" t="s">
        <v>589</v>
      </c>
      <c r="N766">
        <v>6.407643312101911</v>
      </c>
      <c r="O766">
        <v>3.14</v>
      </c>
      <c r="P766">
        <v>2.6</v>
      </c>
      <c r="Q766">
        <v>0.8280254777070064</v>
      </c>
      <c r="R766">
        <v>0</v>
      </c>
      <c r="S766">
        <v>0.009064926884643665</v>
      </c>
      <c r="T766" t="s">
        <v>906</v>
      </c>
      <c r="U766">
        <v>-0.06940602943489001</v>
      </c>
      <c r="V766" t="s">
        <v>989</v>
      </c>
      <c r="W766" t="s">
        <v>1001</v>
      </c>
      <c r="X766">
        <v>9936.884473</v>
      </c>
      <c r="Y766" s="2">
        <v>45062</v>
      </c>
      <c r="Z766" t="s">
        <v>1013</v>
      </c>
    </row>
    <row r="767" spans="1:26">
      <c r="A767" s="1" t="s">
        <v>791</v>
      </c>
      <c r="B767">
        <f>HYPERLINK("https://www.suredividend.com/sure-analysis-D/","Dominion Energy Inc")</f>
        <v>0</v>
      </c>
      <c r="C767" t="s">
        <v>897</v>
      </c>
      <c r="D767">
        <v>55</v>
      </c>
      <c r="E767">
        <v>51.82</v>
      </c>
      <c r="F767">
        <v>60</v>
      </c>
      <c r="G767">
        <v>0.8636666666666667</v>
      </c>
      <c r="H767">
        <v>0.05152450791200309</v>
      </c>
      <c r="I767">
        <v>0.02974755237321958</v>
      </c>
      <c r="J767">
        <v>0.04</v>
      </c>
      <c r="K767">
        <v>0.111834319820195</v>
      </c>
      <c r="L767" t="s">
        <v>648</v>
      </c>
      <c r="M767" t="s">
        <v>791</v>
      </c>
      <c r="N767">
        <v>12.955</v>
      </c>
      <c r="O767">
        <v>4</v>
      </c>
      <c r="P767">
        <v>2.67</v>
      </c>
      <c r="Q767">
        <v>0.6675</v>
      </c>
      <c r="R767">
        <v>0</v>
      </c>
      <c r="S767">
        <v>0.04009837995080767</v>
      </c>
      <c r="T767" t="s">
        <v>930</v>
      </c>
      <c r="U767">
        <v>-0.306438531073748</v>
      </c>
      <c r="V767" t="s">
        <v>988</v>
      </c>
      <c r="W767" t="s">
        <v>999</v>
      </c>
      <c r="X767">
        <v>43318.484384</v>
      </c>
      <c r="Y767" s="2">
        <v>45062</v>
      </c>
      <c r="Z767" t="s">
        <v>1018</v>
      </c>
    </row>
    <row r="768" spans="1:26">
      <c r="A768" s="1" t="s">
        <v>792</v>
      </c>
      <c r="B768">
        <f>HYPERLINK("https://www.suredividend.com/sure-analysis-SACH/","Sachem Capital Corp")</f>
        <v>0</v>
      </c>
      <c r="C768" t="s">
        <v>896</v>
      </c>
      <c r="D768">
        <v>3.12</v>
      </c>
      <c r="E768">
        <v>3.32</v>
      </c>
      <c r="F768">
        <v>3.38</v>
      </c>
      <c r="G768">
        <v>0.9822485207100592</v>
      </c>
      <c r="H768">
        <v>0.1566265060240964</v>
      </c>
      <c r="I768">
        <v>0.003588609007112442</v>
      </c>
      <c r="J768">
        <v>0</v>
      </c>
      <c r="K768">
        <v>0.1105165213543262</v>
      </c>
      <c r="L768" t="s">
        <v>648</v>
      </c>
      <c r="M768" t="s">
        <v>589</v>
      </c>
      <c r="N768">
        <v>7.377777777777777</v>
      </c>
      <c r="O768">
        <v>0.45</v>
      </c>
      <c r="P768">
        <v>0.52</v>
      </c>
      <c r="Q768">
        <v>1.155555555555556</v>
      </c>
      <c r="R768">
        <v>1</v>
      </c>
      <c r="S768">
        <v>-0.05111991994525078</v>
      </c>
      <c r="T768" t="s">
        <v>945</v>
      </c>
      <c r="U768">
        <v>-0.05450817337813901</v>
      </c>
      <c r="V768" t="s">
        <v>989</v>
      </c>
      <c r="W768" t="s">
        <v>1001</v>
      </c>
      <c r="X768">
        <v>145.724926</v>
      </c>
      <c r="Y768" s="2">
        <v>45064</v>
      </c>
      <c r="Z768" t="s">
        <v>1012</v>
      </c>
    </row>
    <row r="769" spans="1:26">
      <c r="A769" s="1" t="s">
        <v>793</v>
      </c>
      <c r="B769">
        <f>HYPERLINK("https://www.suredividend.com/sure-analysis-VOD/","Vodafone Group plc")</f>
        <v>0</v>
      </c>
      <c r="C769" t="s">
        <v>897</v>
      </c>
      <c r="D769">
        <v>10.25</v>
      </c>
      <c r="E769">
        <v>9.23</v>
      </c>
      <c r="F769">
        <v>9</v>
      </c>
      <c r="G769">
        <v>1.025555555555556</v>
      </c>
      <c r="H769">
        <v>0.1061755146262188</v>
      </c>
      <c r="I769">
        <v>-0.005034180063016036</v>
      </c>
      <c r="J769">
        <v>0.04</v>
      </c>
      <c r="K769">
        <v>0.1103326914255116</v>
      </c>
      <c r="L769" t="s">
        <v>648</v>
      </c>
      <c r="M769" t="s">
        <v>589</v>
      </c>
      <c r="N769">
        <v>12.30666666666667</v>
      </c>
      <c r="O769">
        <v>0.75</v>
      </c>
      <c r="P769">
        <v>0.98</v>
      </c>
      <c r="Q769">
        <v>1.306666666666667</v>
      </c>
      <c r="R769">
        <v>0</v>
      </c>
      <c r="S769">
        <v>-0.01908181431406375</v>
      </c>
      <c r="T769" t="s">
        <v>926</v>
      </c>
      <c r="U769">
        <v>-0.31915081952702</v>
      </c>
      <c r="V769" t="s">
        <v>988</v>
      </c>
      <c r="W769" t="s">
        <v>998</v>
      </c>
      <c r="X769">
        <v>24915.676025</v>
      </c>
      <c r="Y769" s="2">
        <v>45068</v>
      </c>
      <c r="Z769" t="s">
        <v>1004</v>
      </c>
    </row>
    <row r="770" spans="1:26">
      <c r="A770" s="1" t="s">
        <v>794</v>
      </c>
      <c r="B770">
        <f>HYPERLINK("https://www.suredividend.com/sure-analysis-BEP/","Brookfield Renewable Partners LP")</f>
        <v>0</v>
      </c>
      <c r="C770" t="s">
        <v>897</v>
      </c>
      <c r="D770">
        <v>32</v>
      </c>
      <c r="E770">
        <v>29.3</v>
      </c>
      <c r="F770">
        <v>31</v>
      </c>
      <c r="G770">
        <v>0.9451612903225807</v>
      </c>
      <c r="H770">
        <v>0.04607508532423208</v>
      </c>
      <c r="I770">
        <v>0.01134379606990232</v>
      </c>
      <c r="J770">
        <v>0.06</v>
      </c>
      <c r="K770">
        <v>0.1097164743068801</v>
      </c>
      <c r="L770" t="s">
        <v>648</v>
      </c>
      <c r="M770" t="s">
        <v>791</v>
      </c>
      <c r="N770">
        <v>16.27777777777778</v>
      </c>
      <c r="O770">
        <v>1.8</v>
      </c>
      <c r="P770">
        <v>1.35</v>
      </c>
      <c r="Q770">
        <v>0.75</v>
      </c>
      <c r="R770">
        <v>2</v>
      </c>
      <c r="S770">
        <v>0.04963652720607437</v>
      </c>
      <c r="T770" t="s">
        <v>934</v>
      </c>
      <c r="U770">
        <v>-0.136836461441924</v>
      </c>
      <c r="V770" t="s">
        <v>990</v>
      </c>
      <c r="W770" t="s">
        <v>999</v>
      </c>
      <c r="X770">
        <v>8461.296456</v>
      </c>
      <c r="Y770" s="2">
        <v>45063</v>
      </c>
      <c r="Z770" t="s">
        <v>1007</v>
      </c>
    </row>
    <row r="771" spans="1:26">
      <c r="A771" s="1" t="s">
        <v>795</v>
      </c>
      <c r="B771">
        <f>HYPERLINK("https://www.suredividend.com/sure-analysis-EPRT/","Essential Properties Realty Trust Inc")</f>
        <v>0</v>
      </c>
      <c r="C771" t="s">
        <v>897</v>
      </c>
      <c r="D771">
        <v>25</v>
      </c>
      <c r="E771">
        <v>22.91</v>
      </c>
      <c r="F771">
        <v>24</v>
      </c>
      <c r="G771">
        <v>0.9545833333333333</v>
      </c>
      <c r="H771">
        <v>0.04888694893059799</v>
      </c>
      <c r="I771">
        <v>0.009339409406485366</v>
      </c>
      <c r="J771">
        <v>0.06</v>
      </c>
      <c r="K771">
        <v>0.1095842712547614</v>
      </c>
      <c r="L771" t="s">
        <v>648</v>
      </c>
      <c r="M771" t="s">
        <v>791</v>
      </c>
      <c r="N771">
        <v>14.14197530864197</v>
      </c>
      <c r="O771">
        <v>1.62</v>
      </c>
      <c r="P771">
        <v>1.12</v>
      </c>
      <c r="Q771">
        <v>0.6913580246913581</v>
      </c>
      <c r="R771">
        <v>5</v>
      </c>
      <c r="S771">
        <v>0.04563955259127317</v>
      </c>
      <c r="T771" t="s">
        <v>906</v>
      </c>
      <c r="U771">
        <v>0.116254141492886</v>
      </c>
      <c r="V771" t="s">
        <v>989</v>
      </c>
      <c r="W771" t="s">
        <v>1001</v>
      </c>
      <c r="X771">
        <v>3409.88126</v>
      </c>
      <c r="Y771" s="2">
        <v>45050</v>
      </c>
      <c r="Z771" t="s">
        <v>1010</v>
      </c>
    </row>
    <row r="772" spans="1:26">
      <c r="A772" s="1" t="s">
        <v>796</v>
      </c>
      <c r="B772">
        <f>HYPERLINK("https://www.suredividend.com/sure-analysis-RITM/","Rithm Capital Corporation")</f>
        <v>0</v>
      </c>
      <c r="C772" t="s">
        <v>896</v>
      </c>
      <c r="D772">
        <v>7.9</v>
      </c>
      <c r="E772">
        <v>9.1</v>
      </c>
      <c r="F772">
        <v>9.800000000000001</v>
      </c>
      <c r="G772">
        <v>0.9285714285714285</v>
      </c>
      <c r="H772">
        <v>0.1098901098901099</v>
      </c>
      <c r="I772">
        <v>0.01493197894539389</v>
      </c>
      <c r="J772">
        <v>0.01</v>
      </c>
      <c r="K772">
        <v>0.109505428424997</v>
      </c>
      <c r="L772" t="s">
        <v>648</v>
      </c>
      <c r="M772" t="s">
        <v>589</v>
      </c>
      <c r="N772">
        <v>6.5</v>
      </c>
      <c r="O772">
        <v>1.4</v>
      </c>
      <c r="P772">
        <v>1</v>
      </c>
      <c r="Q772">
        <v>0.7142857142857143</v>
      </c>
      <c r="R772">
        <v>2</v>
      </c>
      <c r="S772">
        <v>0</v>
      </c>
      <c r="T772" t="s">
        <v>906</v>
      </c>
      <c r="U772">
        <v>-0.048753972236159</v>
      </c>
      <c r="V772" t="s">
        <v>989</v>
      </c>
      <c r="W772" t="s">
        <v>1001</v>
      </c>
      <c r="X772">
        <v>4395.461498</v>
      </c>
      <c r="Y772" s="2">
        <v>45057</v>
      </c>
      <c r="Z772" t="s">
        <v>1008</v>
      </c>
    </row>
    <row r="773" spans="1:26">
      <c r="A773" s="1" t="s">
        <v>797</v>
      </c>
      <c r="B773">
        <f>HYPERLINK("https://www.suredividend.com/sure-analysis-SCM/","Stellus Capital Investment Corp")</f>
        <v>0</v>
      </c>
      <c r="C773" t="s">
        <v>897</v>
      </c>
      <c r="D773">
        <v>15</v>
      </c>
      <c r="E773">
        <v>13.97</v>
      </c>
      <c r="F773">
        <v>17</v>
      </c>
      <c r="G773">
        <v>0.821764705882353</v>
      </c>
      <c r="H773">
        <v>0.1145311381531854</v>
      </c>
      <c r="I773">
        <v>0.04004110265655902</v>
      </c>
      <c r="J773">
        <v>-0.02</v>
      </c>
      <c r="K773">
        <v>0.1083579038872773</v>
      </c>
      <c r="L773" t="s">
        <v>648</v>
      </c>
      <c r="M773" t="s">
        <v>589</v>
      </c>
      <c r="N773">
        <v>7.551351351351351</v>
      </c>
      <c r="O773">
        <v>1.85</v>
      </c>
      <c r="P773">
        <v>1.6</v>
      </c>
      <c r="Q773">
        <v>0.8648648648648649</v>
      </c>
      <c r="R773">
        <v>2</v>
      </c>
      <c r="S773">
        <v>0</v>
      </c>
      <c r="T773" t="s">
        <v>934</v>
      </c>
      <c r="U773">
        <v>0.304351885568098</v>
      </c>
      <c r="V773" t="s">
        <v>991</v>
      </c>
      <c r="W773" t="s">
        <v>994</v>
      </c>
      <c r="X773">
        <v>291.075372</v>
      </c>
      <c r="Y773" s="2">
        <v>45069</v>
      </c>
      <c r="Z773" t="s">
        <v>1004</v>
      </c>
    </row>
    <row r="774" spans="1:26">
      <c r="A774" s="1" t="s">
        <v>798</v>
      </c>
      <c r="B774">
        <f>HYPERLINK("https://www.suredividend.com/sure-analysis-ARI/","Apollo Commercial Real Estate Finance Inc")</f>
        <v>0</v>
      </c>
      <c r="C774" t="s">
        <v>896</v>
      </c>
      <c r="D774">
        <v>9.6</v>
      </c>
      <c r="E774">
        <v>10.73</v>
      </c>
      <c r="F774">
        <v>13</v>
      </c>
      <c r="G774">
        <v>0.8253846153846154</v>
      </c>
      <c r="H774">
        <v>0.130475302889096</v>
      </c>
      <c r="I774">
        <v>0.03912723130997042</v>
      </c>
      <c r="J774">
        <v>-0.034</v>
      </c>
      <c r="K774">
        <v>0.1082087509654239</v>
      </c>
      <c r="L774" t="s">
        <v>648</v>
      </c>
      <c r="M774" t="s">
        <v>589</v>
      </c>
      <c r="N774">
        <v>6.582822085889571</v>
      </c>
      <c r="O774">
        <v>1.63</v>
      </c>
      <c r="P774">
        <v>1.4</v>
      </c>
      <c r="Q774">
        <v>0.8588957055214724</v>
      </c>
      <c r="R774">
        <v>1</v>
      </c>
      <c r="S774">
        <v>0</v>
      </c>
      <c r="T774" t="s">
        <v>906</v>
      </c>
      <c r="U774">
        <v>0.114990543882619</v>
      </c>
      <c r="V774" t="s">
        <v>989</v>
      </c>
      <c r="W774" t="s">
        <v>1001</v>
      </c>
      <c r="X774">
        <v>1516.612289</v>
      </c>
      <c r="Y774" s="2">
        <v>45062</v>
      </c>
      <c r="Z774" t="s">
        <v>1013</v>
      </c>
    </row>
    <row r="775" spans="1:26">
      <c r="A775" s="1" t="s">
        <v>799</v>
      </c>
      <c r="B775">
        <f>HYPERLINK("https://www.suredividend.com/sure-analysis-FCPT/","Four Corners Property Trust Inc")</f>
        <v>0</v>
      </c>
      <c r="C775" t="s">
        <v>897</v>
      </c>
      <c r="D775">
        <v>26</v>
      </c>
      <c r="E775">
        <v>24.96</v>
      </c>
      <c r="F775">
        <v>28</v>
      </c>
      <c r="G775">
        <v>0.8914285714285715</v>
      </c>
      <c r="H775">
        <v>0.05528846153846153</v>
      </c>
      <c r="I775">
        <v>0.02325220709575815</v>
      </c>
      <c r="J775">
        <v>0.04</v>
      </c>
      <c r="K775">
        <v>0.1076369907376304</v>
      </c>
      <c r="L775" t="s">
        <v>648</v>
      </c>
      <c r="M775" t="s">
        <v>791</v>
      </c>
      <c r="N775">
        <v>15.31288343558282</v>
      </c>
      <c r="O775">
        <v>1.63</v>
      </c>
      <c r="P775">
        <v>1.38</v>
      </c>
      <c r="Q775">
        <v>0.8466257668711656</v>
      </c>
      <c r="R775">
        <v>7</v>
      </c>
      <c r="S775">
        <v>0.03002598081465924</v>
      </c>
      <c r="T775" t="s">
        <v>906</v>
      </c>
      <c r="U775">
        <v>-0.028612347831501</v>
      </c>
      <c r="V775" t="s">
        <v>989</v>
      </c>
      <c r="W775" t="s">
        <v>1001</v>
      </c>
      <c r="X775">
        <v>2172.160898</v>
      </c>
      <c r="Y775" s="2">
        <v>45062</v>
      </c>
      <c r="Z775" t="s">
        <v>1011</v>
      </c>
    </row>
    <row r="776" spans="1:26">
      <c r="A776" s="1" t="s">
        <v>800</v>
      </c>
      <c r="B776">
        <f>HYPERLINK("https://www.suredividend.com/sure-analysis-WSO/","Watsco Inc.")</f>
        <v>0</v>
      </c>
      <c r="C776" t="s">
        <v>896</v>
      </c>
      <c r="D776">
        <v>336</v>
      </c>
      <c r="E776">
        <v>365.27</v>
      </c>
      <c r="F776">
        <v>337</v>
      </c>
      <c r="G776">
        <v>1.083887240356083</v>
      </c>
      <c r="H776">
        <v>0.02682946861225943</v>
      </c>
      <c r="I776">
        <v>-0.01598169076712874</v>
      </c>
      <c r="J776">
        <v>0.1</v>
      </c>
      <c r="K776">
        <v>0.1074802906477614</v>
      </c>
      <c r="L776" t="s">
        <v>648</v>
      </c>
      <c r="M776" t="s">
        <v>648</v>
      </c>
      <c r="N776">
        <v>27.09718100890208</v>
      </c>
      <c r="O776">
        <v>13.48</v>
      </c>
      <c r="P776">
        <v>9.800000000000001</v>
      </c>
      <c r="Q776">
        <v>0.7270029673590505</v>
      </c>
      <c r="R776">
        <v>10</v>
      </c>
      <c r="S776">
        <v>0.09995820755224027</v>
      </c>
      <c r="T776" t="s">
        <v>945</v>
      </c>
      <c r="U776">
        <v>0.572919618196553</v>
      </c>
      <c r="V776" t="s">
        <v>988</v>
      </c>
      <c r="W776" t="s">
        <v>993</v>
      </c>
      <c r="X776">
        <v>14226.751549</v>
      </c>
      <c r="Y776" s="2">
        <v>45036</v>
      </c>
      <c r="Z776" t="s">
        <v>1003</v>
      </c>
    </row>
    <row r="777" spans="1:26">
      <c r="A777" s="1" t="s">
        <v>801</v>
      </c>
      <c r="B777">
        <f>HYPERLINK("https://www.suredividend.com/sure-analysis-IP/","International Paper Co.")</f>
        <v>0</v>
      </c>
      <c r="C777" t="s">
        <v>897</v>
      </c>
      <c r="D777">
        <v>33</v>
      </c>
      <c r="E777">
        <v>30.6</v>
      </c>
      <c r="F777">
        <v>25</v>
      </c>
      <c r="G777">
        <v>1.224</v>
      </c>
      <c r="H777">
        <v>0.06045751633986928</v>
      </c>
      <c r="I777">
        <v>-0.03961865288340116</v>
      </c>
      <c r="J777">
        <v>0.1</v>
      </c>
      <c r="K777">
        <v>0.1055545902801498</v>
      </c>
      <c r="L777" t="s">
        <v>648</v>
      </c>
      <c r="M777" t="s">
        <v>791</v>
      </c>
      <c r="N777">
        <v>12.24</v>
      </c>
      <c r="O777">
        <v>2.5</v>
      </c>
      <c r="P777">
        <v>1.85</v>
      </c>
      <c r="Q777">
        <v>0.74</v>
      </c>
      <c r="R777">
        <v>0</v>
      </c>
      <c r="S777">
        <v>0.03526180275714541</v>
      </c>
      <c r="T777" t="s">
        <v>946</v>
      </c>
      <c r="U777">
        <v>-0.249109237428714</v>
      </c>
      <c r="V777" t="s">
        <v>988</v>
      </c>
      <c r="W777" t="s">
        <v>992</v>
      </c>
      <c r="X777">
        <v>10619.942456</v>
      </c>
      <c r="Y777" s="2">
        <v>45049</v>
      </c>
      <c r="Z777" t="s">
        <v>1007</v>
      </c>
    </row>
    <row r="778" spans="1:26">
      <c r="A778" s="1" t="s">
        <v>802</v>
      </c>
      <c r="B778">
        <f>HYPERLINK("https://www.suredividend.com/sure-analysis-EXR/","Extra Space Storage Inc.")</f>
        <v>0</v>
      </c>
      <c r="C778" t="s">
        <v>897</v>
      </c>
      <c r="D778">
        <v>152</v>
      </c>
      <c r="E778">
        <v>141.96</v>
      </c>
      <c r="F778">
        <v>153</v>
      </c>
      <c r="G778">
        <v>0.927843137254902</v>
      </c>
      <c r="H778">
        <v>0.04564666103127642</v>
      </c>
      <c r="I778">
        <v>0.01509125892482488</v>
      </c>
      <c r="J778">
        <v>0.05</v>
      </c>
      <c r="K778">
        <v>0.105108521179349</v>
      </c>
      <c r="L778" t="s">
        <v>648</v>
      </c>
      <c r="M778" t="s">
        <v>791</v>
      </c>
      <c r="N778">
        <v>16.70117647058824</v>
      </c>
      <c r="O778">
        <v>8.5</v>
      </c>
      <c r="P778">
        <v>6.48</v>
      </c>
      <c r="Q778">
        <v>0.7623529411764707</v>
      </c>
      <c r="R778">
        <v>14</v>
      </c>
      <c r="S778">
        <v>0.05995839365595046</v>
      </c>
      <c r="T778" t="s">
        <v>916</v>
      </c>
      <c r="U778">
        <v>-0.143888900950189</v>
      </c>
      <c r="V778" t="s">
        <v>989</v>
      </c>
      <c r="W778" t="s">
        <v>1001</v>
      </c>
      <c r="X778">
        <v>19171.631421</v>
      </c>
      <c r="Y778" s="2">
        <v>45056</v>
      </c>
      <c r="Z778" t="s">
        <v>1012</v>
      </c>
    </row>
    <row r="779" spans="1:26">
      <c r="A779" s="1" t="s">
        <v>803</v>
      </c>
      <c r="B779">
        <f>HYPERLINK("https://www.suredividend.com/sure-analysis-ORAN/","Orange.")</f>
        <v>0</v>
      </c>
      <c r="C779" t="s">
        <v>897</v>
      </c>
      <c r="D779">
        <v>12.9</v>
      </c>
      <c r="E779">
        <v>11.24</v>
      </c>
      <c r="F779">
        <v>11.7</v>
      </c>
      <c r="G779">
        <v>0.9606837606837607</v>
      </c>
      <c r="H779">
        <v>0.06583629893238434</v>
      </c>
      <c r="I779">
        <v>0.008054261917445293</v>
      </c>
      <c r="J779">
        <v>0.04</v>
      </c>
      <c r="K779">
        <v>0.104981117251371</v>
      </c>
      <c r="L779" t="s">
        <v>648</v>
      </c>
      <c r="M779" t="s">
        <v>589</v>
      </c>
      <c r="N779">
        <v>9.606837606837608</v>
      </c>
      <c r="O779">
        <v>1.17</v>
      </c>
      <c r="P779">
        <v>0.74</v>
      </c>
      <c r="Q779">
        <v>0.6324786324786326</v>
      </c>
      <c r="R779">
        <v>0</v>
      </c>
      <c r="S779">
        <v>0.04900903024942593</v>
      </c>
      <c r="T779" t="s">
        <v>930</v>
      </c>
      <c r="U779">
        <v>0.020695416859636</v>
      </c>
      <c r="V779" t="s">
        <v>988</v>
      </c>
      <c r="W779" t="s">
        <v>998</v>
      </c>
      <c r="X779">
        <v>29899.036173</v>
      </c>
      <c r="Y779" s="2">
        <v>45043</v>
      </c>
      <c r="Z779" t="s">
        <v>1015</v>
      </c>
    </row>
    <row r="780" spans="1:26">
      <c r="A780" s="1" t="s">
        <v>804</v>
      </c>
      <c r="B780">
        <f>HYPERLINK("https://www.suredividend.com/sure-analysis-ROL/","Rollins, Inc.")</f>
        <v>0</v>
      </c>
      <c r="C780" t="s">
        <v>897</v>
      </c>
      <c r="D780">
        <v>42</v>
      </c>
      <c r="E780">
        <v>41.39</v>
      </c>
      <c r="F780">
        <v>42</v>
      </c>
      <c r="G780">
        <v>0.9854761904761905</v>
      </c>
      <c r="H780">
        <v>0.01256342111621165</v>
      </c>
      <c r="I780">
        <v>0.002930347603905981</v>
      </c>
      <c r="J780">
        <v>0.09</v>
      </c>
      <c r="K780">
        <v>0.1046105501861303</v>
      </c>
      <c r="L780" t="s">
        <v>648</v>
      </c>
      <c r="M780" t="s">
        <v>648</v>
      </c>
      <c r="N780">
        <v>48.69411764705882</v>
      </c>
      <c r="O780">
        <v>0.85</v>
      </c>
      <c r="P780">
        <v>0.52</v>
      </c>
      <c r="Q780">
        <v>0.611764705882353</v>
      </c>
      <c r="R780">
        <v>4</v>
      </c>
      <c r="S780">
        <v>0.09537317657751387</v>
      </c>
      <c r="T780" t="s">
        <v>905</v>
      </c>
      <c r="U780">
        <v>0.193741437738842</v>
      </c>
      <c r="V780" t="s">
        <v>988</v>
      </c>
      <c r="W780" t="s">
        <v>994</v>
      </c>
      <c r="X780">
        <v>20396.454137</v>
      </c>
      <c r="Y780" s="2">
        <v>45064</v>
      </c>
      <c r="Z780" t="s">
        <v>1005</v>
      </c>
    </row>
    <row r="781" spans="1:26">
      <c r="A781" s="1" t="s">
        <v>805</v>
      </c>
      <c r="B781">
        <f>HYPERLINK("https://www.suredividend.com/sure-analysis-SMG/","Scotts Miracle-Gro Company")</f>
        <v>0</v>
      </c>
      <c r="C781" t="s">
        <v>897</v>
      </c>
      <c r="D781">
        <v>66</v>
      </c>
      <c r="E781">
        <v>57.4</v>
      </c>
      <c r="F781">
        <v>38</v>
      </c>
      <c r="G781">
        <v>1.510526315789474</v>
      </c>
      <c r="H781">
        <v>0.04599303135888502</v>
      </c>
      <c r="I781">
        <v>-0.07918085374039807</v>
      </c>
      <c r="J781">
        <v>0.16</v>
      </c>
      <c r="K781">
        <v>0.1042622474963983</v>
      </c>
      <c r="L781" t="s">
        <v>648</v>
      </c>
      <c r="M781" t="s">
        <v>791</v>
      </c>
      <c r="N781">
        <v>21.25925925925926</v>
      </c>
      <c r="O781">
        <v>2.7</v>
      </c>
      <c r="P781">
        <v>2.64</v>
      </c>
      <c r="Q781">
        <v>0.9777777777777777</v>
      </c>
      <c r="R781">
        <v>12</v>
      </c>
      <c r="S781">
        <v>0.02996744995959233</v>
      </c>
      <c r="T781" t="s">
        <v>946</v>
      </c>
      <c r="U781">
        <v>-0.283263324559344</v>
      </c>
      <c r="V781" t="s">
        <v>988</v>
      </c>
      <c r="W781" t="s">
        <v>992</v>
      </c>
      <c r="X781">
        <v>3218.539975</v>
      </c>
      <c r="Y781" s="2">
        <v>45057</v>
      </c>
      <c r="Z781" t="s">
        <v>1012</v>
      </c>
    </row>
    <row r="782" spans="1:26">
      <c r="A782" s="1" t="s">
        <v>806</v>
      </c>
      <c r="B782">
        <f>HYPERLINK("https://www.suredividend.com/sure-analysis-LSI/","Life Storage Inc")</f>
        <v>0</v>
      </c>
      <c r="C782" t="s">
        <v>896</v>
      </c>
      <c r="D782">
        <v>130</v>
      </c>
      <c r="E782">
        <v>126.63</v>
      </c>
      <c r="F782">
        <v>127</v>
      </c>
      <c r="G782">
        <v>0.9970866141732283</v>
      </c>
      <c r="H782">
        <v>0.03790570954750059</v>
      </c>
      <c r="I782">
        <v>0.0005836978845648044</v>
      </c>
      <c r="J782">
        <v>0.07000000000000001</v>
      </c>
      <c r="K782">
        <v>0.1030649010938274</v>
      </c>
      <c r="L782" t="s">
        <v>648</v>
      </c>
      <c r="M782" t="s">
        <v>791</v>
      </c>
      <c r="N782">
        <v>18.35217391304348</v>
      </c>
      <c r="O782">
        <v>6.9</v>
      </c>
      <c r="P782">
        <v>4.8</v>
      </c>
      <c r="Q782">
        <v>0.6956521739130435</v>
      </c>
      <c r="R782">
        <v>4</v>
      </c>
      <c r="S782">
        <v>0.05988502997905321</v>
      </c>
      <c r="T782" t="s">
        <v>911</v>
      </c>
      <c r="U782">
        <v>0.168637005454193</v>
      </c>
      <c r="V782" t="s">
        <v>989</v>
      </c>
      <c r="W782" t="s">
        <v>1001</v>
      </c>
      <c r="X782">
        <v>10774.912763</v>
      </c>
      <c r="Y782" s="2">
        <v>45051</v>
      </c>
      <c r="Z782" t="s">
        <v>1007</v>
      </c>
    </row>
    <row r="783" spans="1:26">
      <c r="A783" s="1" t="s">
        <v>807</v>
      </c>
      <c r="B783">
        <f>HYPERLINK("https://www.suredividend.com/sure-analysis-ADC/","Agree Realty Corp.")</f>
        <v>0</v>
      </c>
      <c r="C783" t="s">
        <v>896</v>
      </c>
      <c r="D783">
        <v>66</v>
      </c>
      <c r="E783">
        <v>65.03</v>
      </c>
      <c r="F783">
        <v>71</v>
      </c>
      <c r="G783">
        <v>0.9159154929577465</v>
      </c>
      <c r="H783">
        <v>0.04551745348300784</v>
      </c>
      <c r="I783">
        <v>0.01772142872984972</v>
      </c>
      <c r="J783">
        <v>0.045</v>
      </c>
      <c r="K783">
        <v>0.1019410918581649</v>
      </c>
      <c r="L783" t="s">
        <v>648</v>
      </c>
      <c r="M783" t="s">
        <v>791</v>
      </c>
      <c r="N783">
        <v>16.38035264483627</v>
      </c>
      <c r="O783">
        <v>3.97</v>
      </c>
      <c r="P783">
        <v>2.96</v>
      </c>
      <c r="Q783">
        <v>0.7455919395465994</v>
      </c>
      <c r="R783">
        <v>11</v>
      </c>
      <c r="S783">
        <v>0.0501226304546607</v>
      </c>
      <c r="T783" t="s">
        <v>934</v>
      </c>
      <c r="U783">
        <v>-0.08960840421778801</v>
      </c>
      <c r="V783" t="s">
        <v>989</v>
      </c>
      <c r="W783" t="s">
        <v>1001</v>
      </c>
      <c r="X783">
        <v>6060.694553</v>
      </c>
      <c r="Y783" s="2">
        <v>45069</v>
      </c>
      <c r="Z783" t="s">
        <v>1011</v>
      </c>
    </row>
    <row r="784" spans="1:26">
      <c r="A784" s="1" t="s">
        <v>808</v>
      </c>
      <c r="B784">
        <f>HYPERLINK("https://www.suredividend.com/sure-analysis-BGS/","B&amp;G Foods, Inc")</f>
        <v>0</v>
      </c>
      <c r="C784" t="s">
        <v>897</v>
      </c>
      <c r="D784">
        <v>15</v>
      </c>
      <c r="E784">
        <v>14.1</v>
      </c>
      <c r="F784">
        <v>13</v>
      </c>
      <c r="G784">
        <v>1.084615384615385</v>
      </c>
      <c r="H784">
        <v>0.05390070921985816</v>
      </c>
      <c r="I784">
        <v>-0.01611384817117101</v>
      </c>
      <c r="J784">
        <v>0.08</v>
      </c>
      <c r="K784">
        <v>0.1018641974699386</v>
      </c>
      <c r="L784" t="s">
        <v>648</v>
      </c>
      <c r="M784" t="s">
        <v>791</v>
      </c>
      <c r="N784">
        <v>13.42857142857143</v>
      </c>
      <c r="O784">
        <v>1.05</v>
      </c>
      <c r="P784">
        <v>0.76</v>
      </c>
      <c r="Q784">
        <v>0.7238095238095238</v>
      </c>
      <c r="R784">
        <v>0</v>
      </c>
      <c r="S784">
        <v>0</v>
      </c>
      <c r="T784" t="s">
        <v>906</v>
      </c>
      <c r="U784">
        <v>-0.392777933291703</v>
      </c>
      <c r="V784" t="s">
        <v>988</v>
      </c>
      <c r="W784" t="s">
        <v>997</v>
      </c>
      <c r="X784">
        <v>1018.174014</v>
      </c>
      <c r="Y784" s="2">
        <v>45057</v>
      </c>
      <c r="Z784" t="s">
        <v>1010</v>
      </c>
    </row>
    <row r="785" spans="1:26">
      <c r="A785" s="1" t="s">
        <v>809</v>
      </c>
      <c r="B785">
        <f>HYPERLINK("https://www.suredividend.com/sure-analysis-VTR/","Ventas Inc")</f>
        <v>0</v>
      </c>
      <c r="C785" t="s">
        <v>897</v>
      </c>
      <c r="D785">
        <v>46</v>
      </c>
      <c r="E785">
        <v>44.47</v>
      </c>
      <c r="F785">
        <v>44</v>
      </c>
      <c r="G785">
        <v>1.010681818181818</v>
      </c>
      <c r="H785">
        <v>0.0404767258826175</v>
      </c>
      <c r="I785">
        <v>-0.00212277783437298</v>
      </c>
      <c r="J785">
        <v>0.07000000000000001</v>
      </c>
      <c r="K785">
        <v>0.1018374466825063</v>
      </c>
      <c r="L785" t="s">
        <v>648</v>
      </c>
      <c r="M785" t="s">
        <v>791</v>
      </c>
      <c r="N785">
        <v>14.82333333333333</v>
      </c>
      <c r="O785">
        <v>3</v>
      </c>
      <c r="P785">
        <v>1.8</v>
      </c>
      <c r="Q785">
        <v>0.6</v>
      </c>
      <c r="R785">
        <v>0</v>
      </c>
      <c r="S785">
        <v>0.05206626739843068</v>
      </c>
      <c r="T785" t="s">
        <v>924</v>
      </c>
      <c r="U785">
        <v>-0.09627597419092601</v>
      </c>
      <c r="V785" t="s">
        <v>989</v>
      </c>
      <c r="W785" t="s">
        <v>1001</v>
      </c>
      <c r="X785">
        <v>17790.303235</v>
      </c>
      <c r="Y785" s="2">
        <v>45064</v>
      </c>
      <c r="Z785" t="s">
        <v>1007</v>
      </c>
    </row>
    <row r="786" spans="1:26">
      <c r="A786" s="1" t="s">
        <v>810</v>
      </c>
      <c r="B786">
        <f>HYPERLINK("https://www.suredividend.com/sure-analysis-ABEV/","Ambev S.A.")</f>
        <v>0</v>
      </c>
      <c r="C786" t="s">
        <v>896</v>
      </c>
      <c r="D786">
        <v>2.99</v>
      </c>
      <c r="E786">
        <v>3.2</v>
      </c>
      <c r="F786">
        <v>3.78</v>
      </c>
      <c r="G786">
        <v>0.8465608465608466</v>
      </c>
      <c r="H786">
        <v>0.04687499999999999</v>
      </c>
      <c r="I786">
        <v>0.03387578671220992</v>
      </c>
      <c r="J786">
        <v>0.03</v>
      </c>
      <c r="K786">
        <v>0.1015929043578845</v>
      </c>
      <c r="L786" t="s">
        <v>648</v>
      </c>
      <c r="M786" t="s">
        <v>791</v>
      </c>
      <c r="N786">
        <v>17.77777777777778</v>
      </c>
      <c r="O786">
        <v>0.18</v>
      </c>
      <c r="P786">
        <v>0.15</v>
      </c>
      <c r="Q786">
        <v>0.8333333333333334</v>
      </c>
      <c r="R786">
        <v>0</v>
      </c>
      <c r="S786">
        <v>0.02534857565773274</v>
      </c>
      <c r="T786" t="s">
        <v>987</v>
      </c>
      <c r="U786">
        <v>0.312228327729025</v>
      </c>
      <c r="V786" t="s">
        <v>988</v>
      </c>
      <c r="W786" t="s">
        <v>997</v>
      </c>
      <c r="X786">
        <v>50412.266509</v>
      </c>
      <c r="Y786" s="2">
        <v>45091</v>
      </c>
      <c r="Z786" t="s">
        <v>1016</v>
      </c>
    </row>
    <row r="787" spans="1:26">
      <c r="A787" s="1" t="s">
        <v>811</v>
      </c>
      <c r="B787">
        <f>HYPERLINK("https://www.suredividend.com/sure-analysis-PFLT/","PennantPark Floating Rate Capital Ltd")</f>
        <v>0</v>
      </c>
      <c r="C787" t="s">
        <v>897</v>
      </c>
      <c r="D787">
        <v>11</v>
      </c>
      <c r="E787">
        <v>10.42</v>
      </c>
      <c r="F787">
        <v>10.8</v>
      </c>
      <c r="G787">
        <v>0.9648148148148148</v>
      </c>
      <c r="H787">
        <v>0.118042226487524</v>
      </c>
      <c r="I787">
        <v>0.007189541101147556</v>
      </c>
      <c r="J787">
        <v>0.001</v>
      </c>
      <c r="K787">
        <v>0.101334793708254</v>
      </c>
      <c r="L787" t="s">
        <v>648</v>
      </c>
      <c r="M787" t="s">
        <v>589</v>
      </c>
      <c r="N787">
        <v>8.403225806451612</v>
      </c>
      <c r="O787">
        <v>1.24</v>
      </c>
      <c r="P787">
        <v>1.23</v>
      </c>
      <c r="Q787">
        <v>0.9919354838709677</v>
      </c>
      <c r="R787">
        <v>1</v>
      </c>
      <c r="S787">
        <v>-0.006590360141973228</v>
      </c>
      <c r="T787" t="s">
        <v>916</v>
      </c>
      <c r="U787">
        <v>0.029003683477676</v>
      </c>
      <c r="V787" t="s">
        <v>991</v>
      </c>
      <c r="W787" t="s">
        <v>994</v>
      </c>
      <c r="X787">
        <v>518.205512</v>
      </c>
      <c r="Y787" s="2">
        <v>45072</v>
      </c>
      <c r="Z787" t="s">
        <v>1013</v>
      </c>
    </row>
    <row r="788" spans="1:26">
      <c r="A788" s="1" t="s">
        <v>812</v>
      </c>
      <c r="B788">
        <f>HYPERLINK("https://www.suredividend.com/sure-analysis-AMCR/","Amcor Plc")</f>
        <v>0</v>
      </c>
      <c r="C788" t="s">
        <v>897</v>
      </c>
      <c r="D788">
        <v>10</v>
      </c>
      <c r="E788">
        <v>9.869999999999999</v>
      </c>
      <c r="F788">
        <v>11</v>
      </c>
      <c r="G788">
        <v>0.8972727272727272</v>
      </c>
      <c r="H788">
        <v>0.04964539007092199</v>
      </c>
      <c r="I788">
        <v>0.02191578258518145</v>
      </c>
      <c r="J788">
        <v>0.04</v>
      </c>
      <c r="K788">
        <v>0.1011808712112874</v>
      </c>
      <c r="L788" t="s">
        <v>648</v>
      </c>
      <c r="M788" t="s">
        <v>791</v>
      </c>
      <c r="N788">
        <v>13.52054794520548</v>
      </c>
      <c r="O788">
        <v>0.73</v>
      </c>
      <c r="P788">
        <v>0.49</v>
      </c>
      <c r="Q788">
        <v>0.6712328767123288</v>
      </c>
      <c r="R788">
        <v>3</v>
      </c>
      <c r="S788">
        <v>0.01962279460665517</v>
      </c>
      <c r="T788" t="s">
        <v>964</v>
      </c>
      <c r="U788">
        <v>-0.169464569711963</v>
      </c>
      <c r="V788" t="s">
        <v>988</v>
      </c>
      <c r="W788" t="s">
        <v>992</v>
      </c>
      <c r="X788">
        <v>14523.150316</v>
      </c>
      <c r="Y788" s="2">
        <v>45062</v>
      </c>
      <c r="Z788" t="s">
        <v>1011</v>
      </c>
    </row>
    <row r="789" spans="1:26">
      <c r="A789" s="1" t="s">
        <v>813</v>
      </c>
      <c r="B789">
        <f>HYPERLINK("https://www.suredividend.com/sure-analysis-FE/","Firstenergy Corp.")</f>
        <v>0</v>
      </c>
      <c r="C789" t="s">
        <v>896</v>
      </c>
      <c r="D789">
        <v>39</v>
      </c>
      <c r="E789">
        <v>38.49</v>
      </c>
      <c r="F789">
        <v>39</v>
      </c>
      <c r="G789">
        <v>0.986923076923077</v>
      </c>
      <c r="H789">
        <v>0.04053000779423227</v>
      </c>
      <c r="I789">
        <v>0.002636104195373745</v>
      </c>
      <c r="J789">
        <v>0.065</v>
      </c>
      <c r="K789">
        <v>0.1008435662739893</v>
      </c>
      <c r="L789" t="s">
        <v>648</v>
      </c>
      <c r="M789" t="s">
        <v>791</v>
      </c>
      <c r="N789">
        <v>15.15354330708661</v>
      </c>
      <c r="O789">
        <v>2.54</v>
      </c>
      <c r="P789">
        <v>1.56</v>
      </c>
      <c r="Q789">
        <v>0.6141732283464567</v>
      </c>
      <c r="R789">
        <v>0</v>
      </c>
      <c r="S789">
        <v>0.04022143939343281</v>
      </c>
      <c r="T789" t="s">
        <v>948</v>
      </c>
      <c r="U789">
        <v>0.074512365685954</v>
      </c>
      <c r="V789" t="s">
        <v>988</v>
      </c>
      <c r="W789" t="s">
        <v>999</v>
      </c>
      <c r="X789">
        <v>22048.491588</v>
      </c>
      <c r="Y789" s="2">
        <v>45048</v>
      </c>
      <c r="Z789" t="s">
        <v>1012</v>
      </c>
    </row>
    <row r="790" spans="1:26">
      <c r="A790" s="1" t="s">
        <v>814</v>
      </c>
      <c r="B790">
        <f>HYPERLINK("https://www.suredividend.com/sure-analysis-ORCC/","Owl Rock Capital Corp")</f>
        <v>0</v>
      </c>
      <c r="C790" t="s">
        <v>896</v>
      </c>
      <c r="D790">
        <v>12.97</v>
      </c>
      <c r="E790">
        <v>13.25</v>
      </c>
      <c r="F790">
        <v>14.4</v>
      </c>
      <c r="G790">
        <v>0.9201388888888888</v>
      </c>
      <c r="H790">
        <v>0.09962264150943397</v>
      </c>
      <c r="I790">
        <v>0.01678544963188489</v>
      </c>
      <c r="J790">
        <v>0</v>
      </c>
      <c r="K790">
        <v>0.1007731499643729</v>
      </c>
      <c r="L790" t="s">
        <v>648</v>
      </c>
      <c r="M790" t="s">
        <v>589</v>
      </c>
      <c r="N790">
        <v>7.361111111111111</v>
      </c>
      <c r="O790">
        <v>1.8</v>
      </c>
      <c r="P790">
        <v>1.32</v>
      </c>
      <c r="Q790">
        <v>0.7333333333333334</v>
      </c>
      <c r="R790">
        <v>1</v>
      </c>
      <c r="S790">
        <v>0.02036554426441151</v>
      </c>
      <c r="T790" t="s">
        <v>906</v>
      </c>
      <c r="U790">
        <v>0.167616915905145</v>
      </c>
      <c r="V790" t="s">
        <v>991</v>
      </c>
      <c r="W790" t="s">
        <v>994</v>
      </c>
      <c r="X790">
        <v>5164.825885</v>
      </c>
      <c r="Y790" s="2">
        <v>45061</v>
      </c>
      <c r="Z790" t="s">
        <v>1012</v>
      </c>
    </row>
    <row r="791" spans="1:26">
      <c r="A791" s="1" t="s">
        <v>815</v>
      </c>
      <c r="B791">
        <f>HYPERLINK("https://www.suredividend.com/sure-analysis-SRC/","Spirit Realty Capital Inc")</f>
        <v>0</v>
      </c>
      <c r="C791" t="s">
        <v>897</v>
      </c>
      <c r="D791">
        <v>39</v>
      </c>
      <c r="E791">
        <v>38.18</v>
      </c>
      <c r="F791">
        <v>39</v>
      </c>
      <c r="G791">
        <v>0.9789743589743589</v>
      </c>
      <c r="H791">
        <v>0.06940806705081194</v>
      </c>
      <c r="I791">
        <v>0.004259009477631803</v>
      </c>
      <c r="J791">
        <v>0.04</v>
      </c>
      <c r="K791">
        <v>0.1001393000629553</v>
      </c>
      <c r="L791" t="s">
        <v>648</v>
      </c>
      <c r="M791" t="s">
        <v>589</v>
      </c>
      <c r="N791">
        <v>10.69467787114846</v>
      </c>
      <c r="O791">
        <v>3.57</v>
      </c>
      <c r="P791">
        <v>2.65</v>
      </c>
      <c r="Q791">
        <v>0.742296918767507</v>
      </c>
      <c r="R791">
        <v>3</v>
      </c>
      <c r="S791">
        <v>0.02029168959550431</v>
      </c>
      <c r="T791" t="s">
        <v>906</v>
      </c>
      <c r="U791">
        <v>0.062669086293851</v>
      </c>
      <c r="V791" t="s">
        <v>989</v>
      </c>
      <c r="W791" t="s">
        <v>1001</v>
      </c>
      <c r="X791">
        <v>5394.704761</v>
      </c>
      <c r="Y791" s="2">
        <v>45058</v>
      </c>
      <c r="Z791" t="s">
        <v>1012</v>
      </c>
    </row>
    <row r="792" spans="1:26">
      <c r="A792" s="1" t="s">
        <v>816</v>
      </c>
      <c r="B792">
        <f>HYPERLINK("https://www.suredividend.com/sure-analysis-EBF/","Ennis Inc.")</f>
        <v>0</v>
      </c>
      <c r="C792" t="s">
        <v>896</v>
      </c>
      <c r="D792">
        <v>19</v>
      </c>
      <c r="E792">
        <v>19.94</v>
      </c>
      <c r="F792">
        <v>23</v>
      </c>
      <c r="G792">
        <v>0.8669565217391305</v>
      </c>
      <c r="H792">
        <v>0.05015045135406218</v>
      </c>
      <c r="I792">
        <v>0.0289648431971643</v>
      </c>
      <c r="J792">
        <v>0.03</v>
      </c>
      <c r="K792">
        <v>0.100138616473662</v>
      </c>
      <c r="L792" t="s">
        <v>648</v>
      </c>
      <c r="M792" t="s">
        <v>791</v>
      </c>
      <c r="N792">
        <v>12.86451612903226</v>
      </c>
      <c r="O792">
        <v>1.55</v>
      </c>
      <c r="P792">
        <v>1</v>
      </c>
      <c r="Q792">
        <v>0.6451612903225806</v>
      </c>
      <c r="R792">
        <v>2</v>
      </c>
      <c r="S792">
        <v>0.03012896281839894</v>
      </c>
      <c r="T792" t="s">
        <v>945</v>
      </c>
      <c r="U792">
        <v>0.101353217343275</v>
      </c>
      <c r="V792" t="s">
        <v>988</v>
      </c>
      <c r="W792" t="s">
        <v>993</v>
      </c>
      <c r="X792">
        <v>515.509358</v>
      </c>
      <c r="Y792" s="2">
        <v>45056</v>
      </c>
      <c r="Z792" t="s">
        <v>1014</v>
      </c>
    </row>
    <row r="793" spans="1:26">
      <c r="A793" s="1" t="s">
        <v>817</v>
      </c>
      <c r="B793">
        <f>HYPERLINK("https://www.suredividend.com/sure-analysis-ARCC/","Ares Capital Corp")</f>
        <v>0</v>
      </c>
      <c r="C793" t="s">
        <v>897</v>
      </c>
      <c r="D793">
        <v>18.2</v>
      </c>
      <c r="E793">
        <v>18.02</v>
      </c>
      <c r="F793">
        <v>21</v>
      </c>
      <c r="G793">
        <v>0.858095238095238</v>
      </c>
      <c r="H793">
        <v>0.1065482796892342</v>
      </c>
      <c r="I793">
        <v>0.03108127907176872</v>
      </c>
      <c r="J793">
        <v>-0.016</v>
      </c>
      <c r="K793">
        <v>0.0996322193736654</v>
      </c>
      <c r="L793" t="s">
        <v>648</v>
      </c>
      <c r="M793" t="s">
        <v>589</v>
      </c>
      <c r="N793">
        <v>7.733905579399141</v>
      </c>
      <c r="O793">
        <v>2.33</v>
      </c>
      <c r="P793">
        <v>1.92</v>
      </c>
      <c r="Q793">
        <v>0.8240343347639485</v>
      </c>
      <c r="R793">
        <v>2</v>
      </c>
      <c r="S793">
        <v>0</v>
      </c>
      <c r="T793" t="s">
        <v>916</v>
      </c>
      <c r="U793">
        <v>0.08188591567053501</v>
      </c>
      <c r="V793" t="s">
        <v>991</v>
      </c>
      <c r="W793" t="s">
        <v>994</v>
      </c>
      <c r="X793">
        <v>9813.351062</v>
      </c>
      <c r="Y793" s="2">
        <v>45062</v>
      </c>
      <c r="Z793" t="s">
        <v>1013</v>
      </c>
    </row>
    <row r="794" spans="1:26">
      <c r="A794" s="1" t="s">
        <v>818</v>
      </c>
      <c r="B794">
        <f>HYPERLINK("https://www.suredividend.com/sure-analysis-VGR/","Vector Group Ltd")</f>
        <v>0</v>
      </c>
      <c r="C794" t="s">
        <v>897</v>
      </c>
      <c r="D794">
        <v>12</v>
      </c>
      <c r="E794">
        <v>12.62</v>
      </c>
      <c r="F794">
        <v>14</v>
      </c>
      <c r="G794">
        <v>0.9014285714285714</v>
      </c>
      <c r="H794">
        <v>0.06339144215530904</v>
      </c>
      <c r="I794">
        <v>0.02097177516972093</v>
      </c>
      <c r="J794">
        <v>0.03</v>
      </c>
      <c r="K794">
        <v>0.0989719454318938</v>
      </c>
      <c r="L794" t="s">
        <v>648</v>
      </c>
      <c r="M794" t="s">
        <v>589</v>
      </c>
      <c r="N794">
        <v>10.60504201680672</v>
      </c>
      <c r="O794">
        <v>1.19</v>
      </c>
      <c r="P794">
        <v>0.8</v>
      </c>
      <c r="Q794">
        <v>0.6722689075630253</v>
      </c>
      <c r="R794">
        <v>0</v>
      </c>
      <c r="S794">
        <v>0</v>
      </c>
      <c r="T794" t="s">
        <v>953</v>
      </c>
      <c r="U794">
        <v>0.246678323405348</v>
      </c>
      <c r="V794" t="s">
        <v>988</v>
      </c>
      <c r="W794" t="s">
        <v>997</v>
      </c>
      <c r="X794">
        <v>1967.899536</v>
      </c>
      <c r="Y794" s="2">
        <v>45075</v>
      </c>
      <c r="Z794" t="s">
        <v>1016</v>
      </c>
    </row>
    <row r="795" spans="1:26">
      <c r="A795" s="1" t="s">
        <v>819</v>
      </c>
      <c r="B795">
        <f>HYPERLINK("https://www.suredividend.com/sure-analysis-ABR/","Arbor Realty Trust Inc.")</f>
        <v>0</v>
      </c>
      <c r="C795" t="s">
        <v>896</v>
      </c>
      <c r="D795">
        <v>12.4</v>
      </c>
      <c r="E795">
        <v>13.65</v>
      </c>
      <c r="F795">
        <v>12.8</v>
      </c>
      <c r="G795">
        <v>1.06640625</v>
      </c>
      <c r="H795">
        <v>0.1230769230769231</v>
      </c>
      <c r="I795">
        <v>-0.01277654810434004</v>
      </c>
      <c r="J795">
        <v>0</v>
      </c>
      <c r="K795">
        <v>0.09865281446965235</v>
      </c>
      <c r="L795" t="s">
        <v>648</v>
      </c>
      <c r="M795" t="s">
        <v>589</v>
      </c>
      <c r="N795">
        <v>7.260638297872341</v>
      </c>
      <c r="O795">
        <v>1.88</v>
      </c>
      <c r="P795">
        <v>1.68</v>
      </c>
      <c r="Q795">
        <v>0.8936170212765958</v>
      </c>
      <c r="R795">
        <v>10</v>
      </c>
      <c r="S795">
        <v>0.0249173944389034</v>
      </c>
      <c r="T795" t="s">
        <v>908</v>
      </c>
      <c r="U795">
        <v>0.151354634096966</v>
      </c>
      <c r="V795" t="s">
        <v>989</v>
      </c>
      <c r="W795" t="s">
        <v>1001</v>
      </c>
      <c r="X795">
        <v>2472.849479</v>
      </c>
      <c r="Y795" s="2">
        <v>45067</v>
      </c>
      <c r="Z795" t="s">
        <v>1013</v>
      </c>
    </row>
    <row r="796" spans="1:26">
      <c r="A796" s="1" t="s">
        <v>820</v>
      </c>
      <c r="B796">
        <f>HYPERLINK("https://www.suredividend.com/sure-analysis-PRT/","PermRock Royalty Trust")</f>
        <v>0</v>
      </c>
      <c r="C796" t="s">
        <v>897</v>
      </c>
      <c r="D796">
        <v>5.67</v>
      </c>
      <c r="E796">
        <v>5</v>
      </c>
      <c r="F796">
        <v>5.6</v>
      </c>
      <c r="G796">
        <v>0.8928571428571429</v>
      </c>
      <c r="H796">
        <v>0.14</v>
      </c>
      <c r="I796">
        <v>0.02292455662603032</v>
      </c>
      <c r="J796">
        <v>-0.03</v>
      </c>
      <c r="K796">
        <v>0.09863597810053082</v>
      </c>
      <c r="L796" t="s">
        <v>648</v>
      </c>
      <c r="M796" t="s">
        <v>589</v>
      </c>
      <c r="N796">
        <v>7.142857142857143</v>
      </c>
      <c r="O796">
        <v>0.7</v>
      </c>
      <c r="P796">
        <v>0.7</v>
      </c>
      <c r="Q796">
        <v>1</v>
      </c>
      <c r="R796">
        <v>2</v>
      </c>
      <c r="S796">
        <v>-0.03035973390442093</v>
      </c>
      <c r="T796" t="s">
        <v>934</v>
      </c>
      <c r="U796">
        <v>-0.313639358664616</v>
      </c>
      <c r="V796" t="s">
        <v>988</v>
      </c>
      <c r="W796" t="s">
        <v>1002</v>
      </c>
      <c r="X796">
        <v>60.82866</v>
      </c>
      <c r="Y796" s="2">
        <v>45063</v>
      </c>
      <c r="Z796" t="s">
        <v>1010</v>
      </c>
    </row>
    <row r="797" spans="1:26">
      <c r="A797" s="1" t="s">
        <v>821</v>
      </c>
      <c r="B797">
        <f>HYPERLINK("https://www.suredividend.com/sure-analysis-GAIN/","Gladstone Investment Corporation")</f>
        <v>0</v>
      </c>
      <c r="C797" t="s">
        <v>897</v>
      </c>
      <c r="D797">
        <v>13</v>
      </c>
      <c r="E797">
        <v>12.61</v>
      </c>
      <c r="F797">
        <v>13</v>
      </c>
      <c r="G797">
        <v>0.97</v>
      </c>
      <c r="H797">
        <v>0.07613005551149882</v>
      </c>
      <c r="I797">
        <v>0.006110434499387196</v>
      </c>
      <c r="J797">
        <v>0.03</v>
      </c>
      <c r="K797">
        <v>0.09845816038149757</v>
      </c>
      <c r="L797" t="s">
        <v>648</v>
      </c>
      <c r="M797" t="s">
        <v>589</v>
      </c>
      <c r="N797">
        <v>11.46363636363636</v>
      </c>
      <c r="O797">
        <v>1.1</v>
      </c>
      <c r="P797">
        <v>0.96</v>
      </c>
      <c r="Q797">
        <v>0.8727272727272726</v>
      </c>
      <c r="R797">
        <v>2</v>
      </c>
      <c r="S797">
        <v>0.02001586442069092</v>
      </c>
      <c r="T797" t="s">
        <v>933</v>
      </c>
      <c r="U797">
        <v>0.02803662125696</v>
      </c>
      <c r="V797" t="s">
        <v>991</v>
      </c>
      <c r="W797" t="s">
        <v>994</v>
      </c>
      <c r="X797">
        <v>423.588878</v>
      </c>
      <c r="Y797" s="2">
        <v>45065</v>
      </c>
      <c r="Z797" t="s">
        <v>1008</v>
      </c>
    </row>
    <row r="798" spans="1:26">
      <c r="A798" s="1" t="s">
        <v>822</v>
      </c>
      <c r="B798">
        <f>HYPERLINK("https://www.suredividend.com/sure-analysis-CNS/","Cohen &amp; Steers Inc.")</f>
        <v>0</v>
      </c>
      <c r="C798" t="s">
        <v>897</v>
      </c>
      <c r="D798">
        <v>62</v>
      </c>
      <c r="E798">
        <v>55.41</v>
      </c>
      <c r="F798">
        <v>59</v>
      </c>
      <c r="G798">
        <v>0.9391525423728813</v>
      </c>
      <c r="H798">
        <v>0.04114780725500812</v>
      </c>
      <c r="I798">
        <v>0.0126346230583374</v>
      </c>
      <c r="J798">
        <v>0.05</v>
      </c>
      <c r="K798">
        <v>0.09824610378503418</v>
      </c>
      <c r="L798" t="s">
        <v>648</v>
      </c>
      <c r="M798" t="s">
        <v>791</v>
      </c>
      <c r="N798">
        <v>17.04923076923077</v>
      </c>
      <c r="O798">
        <v>3.25</v>
      </c>
      <c r="P798">
        <v>2.28</v>
      </c>
      <c r="Q798">
        <v>0.7015384615384614</v>
      </c>
      <c r="R798">
        <v>14</v>
      </c>
      <c r="S798">
        <v>0.05000563166277994</v>
      </c>
      <c r="T798" t="s">
        <v>931</v>
      </c>
      <c r="U798">
        <v>-0.152769134558487</v>
      </c>
      <c r="V798" t="s">
        <v>988</v>
      </c>
      <c r="W798" t="s">
        <v>994</v>
      </c>
      <c r="X798">
        <v>2721.589648</v>
      </c>
      <c r="Y798" s="2">
        <v>45039</v>
      </c>
      <c r="Z798" t="s">
        <v>1006</v>
      </c>
    </row>
    <row r="799" spans="1:26">
      <c r="A799" s="1" t="s">
        <v>823</v>
      </c>
      <c r="B799">
        <f>HYPERLINK("https://www.suredividend.com/sure-analysis-NMFC/","New Mountain Finance Corp")</f>
        <v>0</v>
      </c>
      <c r="C799" t="s">
        <v>897</v>
      </c>
      <c r="D799">
        <v>12.32</v>
      </c>
      <c r="E799">
        <v>12.03</v>
      </c>
      <c r="F799">
        <v>12.75</v>
      </c>
      <c r="G799">
        <v>0.9435294117647058</v>
      </c>
      <c r="H799">
        <v>0.1064006650041563</v>
      </c>
      <c r="I799">
        <v>0.01169338764536887</v>
      </c>
      <c r="J799">
        <v>0</v>
      </c>
      <c r="K799">
        <v>0.09743960751068403</v>
      </c>
      <c r="L799" t="s">
        <v>648</v>
      </c>
      <c r="M799" t="s">
        <v>589</v>
      </c>
      <c r="N799">
        <v>8.02</v>
      </c>
      <c r="O799">
        <v>1.5</v>
      </c>
      <c r="P799">
        <v>1.28</v>
      </c>
      <c r="Q799">
        <v>0.8533333333333334</v>
      </c>
      <c r="R799">
        <v>2</v>
      </c>
      <c r="S799">
        <v>0</v>
      </c>
      <c r="T799" t="s">
        <v>902</v>
      </c>
      <c r="U799">
        <v>0.140976516559808</v>
      </c>
      <c r="V799" t="s">
        <v>991</v>
      </c>
      <c r="W799" t="s">
        <v>994</v>
      </c>
      <c r="X799">
        <v>1214.272423</v>
      </c>
      <c r="Y799" s="2">
        <v>45069</v>
      </c>
      <c r="Z799" t="s">
        <v>1012</v>
      </c>
    </row>
    <row r="800" spans="1:26">
      <c r="A800" s="1" t="s">
        <v>824</v>
      </c>
      <c r="B800">
        <f>HYPERLINK("https://www.suredividend.com/sure-analysis-BCE/","BCE Inc")</f>
        <v>0</v>
      </c>
      <c r="C800" t="s">
        <v>897</v>
      </c>
      <c r="D800">
        <v>48</v>
      </c>
      <c r="E800">
        <v>44.58</v>
      </c>
      <c r="F800">
        <v>44</v>
      </c>
      <c r="G800">
        <v>1.013181818181818</v>
      </c>
      <c r="H800">
        <v>0.06505159264244055</v>
      </c>
      <c r="I800">
        <v>-0.002615711856384983</v>
      </c>
      <c r="J800">
        <v>0.045</v>
      </c>
      <c r="K800">
        <v>0.09657249286160807</v>
      </c>
      <c r="L800" t="s">
        <v>648</v>
      </c>
      <c r="M800" t="s">
        <v>791</v>
      </c>
      <c r="N800">
        <v>18.42148760330578</v>
      </c>
      <c r="O800">
        <v>2.42</v>
      </c>
      <c r="P800">
        <v>2.9</v>
      </c>
      <c r="Q800">
        <v>1.198347107438017</v>
      </c>
      <c r="R800">
        <v>14</v>
      </c>
      <c r="S800">
        <v>0.02988386905692852</v>
      </c>
      <c r="T800" t="s">
        <v>916</v>
      </c>
      <c r="U800">
        <v>-0.034061362454498</v>
      </c>
      <c r="V800" t="s">
        <v>988</v>
      </c>
      <c r="W800" t="s">
        <v>998</v>
      </c>
      <c r="X800">
        <v>40669.843843</v>
      </c>
      <c r="Y800" s="2">
        <v>45057</v>
      </c>
      <c r="Z800" t="s">
        <v>1018</v>
      </c>
    </row>
    <row r="801" spans="1:26">
      <c r="A801" s="1" t="s">
        <v>825</v>
      </c>
      <c r="B801">
        <f>HYPERLINK("https://www.suredividend.com/sure-analysis-CQP/","Cheniere Energy Partners LP")</f>
        <v>0</v>
      </c>
      <c r="C801" t="s">
        <v>897</v>
      </c>
      <c r="D801">
        <v>45</v>
      </c>
      <c r="E801">
        <v>45.96</v>
      </c>
      <c r="F801">
        <v>74</v>
      </c>
      <c r="G801">
        <v>0.6210810810810811</v>
      </c>
      <c r="H801">
        <v>0.09138381201044386</v>
      </c>
      <c r="I801">
        <v>0.09994340452041883</v>
      </c>
      <c r="J801">
        <v>-0.06</v>
      </c>
      <c r="K801">
        <v>0.09502891351606224</v>
      </c>
      <c r="L801" t="s">
        <v>648</v>
      </c>
      <c r="M801" t="s">
        <v>589</v>
      </c>
      <c r="N801">
        <v>9.011764705882353</v>
      </c>
      <c r="O801">
        <v>5.1</v>
      </c>
      <c r="P801">
        <v>4.2</v>
      </c>
      <c r="Q801">
        <v>0.823529411764706</v>
      </c>
      <c r="R801">
        <v>6</v>
      </c>
      <c r="S801">
        <v>-0.0499929808059546</v>
      </c>
      <c r="T801" t="s">
        <v>907</v>
      </c>
      <c r="U801">
        <v>0.07143106916978001</v>
      </c>
      <c r="V801" t="s">
        <v>990</v>
      </c>
      <c r="W801" t="s">
        <v>1002</v>
      </c>
      <c r="X801">
        <v>22246.162333</v>
      </c>
      <c r="Y801" s="2">
        <v>45055</v>
      </c>
      <c r="Z801" t="s">
        <v>1007</v>
      </c>
    </row>
    <row r="802" spans="1:26">
      <c r="A802" s="1" t="s">
        <v>826</v>
      </c>
      <c r="B802">
        <f>HYPERLINK("https://www.suredividend.com/sure-analysis-BXMT/","Blackstone Mortgage Trust Inc")</f>
        <v>0</v>
      </c>
      <c r="C802" t="s">
        <v>896</v>
      </c>
      <c r="D802">
        <v>17</v>
      </c>
      <c r="E802">
        <v>19.4</v>
      </c>
      <c r="F802">
        <v>23</v>
      </c>
      <c r="G802">
        <v>0.8434782608695651</v>
      </c>
      <c r="H802">
        <v>0.1278350515463918</v>
      </c>
      <c r="I802">
        <v>0.03463036738826664</v>
      </c>
      <c r="J802">
        <v>-0.041</v>
      </c>
      <c r="K802">
        <v>0.09368397018641561</v>
      </c>
      <c r="L802" t="s">
        <v>648</v>
      </c>
      <c r="M802" t="s">
        <v>589</v>
      </c>
      <c r="N802">
        <v>6.830985915492958</v>
      </c>
      <c r="O802">
        <v>2.84</v>
      </c>
      <c r="P802">
        <v>2.48</v>
      </c>
      <c r="Q802">
        <v>0.8732394366197184</v>
      </c>
      <c r="R802">
        <v>0</v>
      </c>
      <c r="S802">
        <v>-0.01927743599905785</v>
      </c>
      <c r="T802" t="s">
        <v>906</v>
      </c>
      <c r="U802">
        <v>-0.253840414157032</v>
      </c>
      <c r="V802" t="s">
        <v>989</v>
      </c>
      <c r="W802" t="s">
        <v>1001</v>
      </c>
      <c r="X802">
        <v>3342.355268</v>
      </c>
      <c r="Y802" s="2">
        <v>45062</v>
      </c>
      <c r="Z802" t="s">
        <v>1013</v>
      </c>
    </row>
    <row r="803" spans="1:26">
      <c r="A803" s="1" t="s">
        <v>827</v>
      </c>
      <c r="B803">
        <f>HYPERLINK("https://www.suredividend.com/sure-analysis-AM/","Antero Midstream Corp")</f>
        <v>0</v>
      </c>
      <c r="C803" t="s">
        <v>896</v>
      </c>
      <c r="D803">
        <v>10.5</v>
      </c>
      <c r="E803">
        <v>10.74</v>
      </c>
      <c r="F803">
        <v>11.7</v>
      </c>
      <c r="G803">
        <v>0.917948717948718</v>
      </c>
      <c r="H803">
        <v>0.08379888268156424</v>
      </c>
      <c r="I803">
        <v>0.01727018513082368</v>
      </c>
      <c r="J803">
        <v>0.005</v>
      </c>
      <c r="K803">
        <v>0.0934920385619884</v>
      </c>
      <c r="L803" t="s">
        <v>648</v>
      </c>
      <c r="M803" t="s">
        <v>900</v>
      </c>
      <c r="N803">
        <v>7.356164383561644</v>
      </c>
      <c r="O803">
        <v>1.46</v>
      </c>
      <c r="P803">
        <v>0.9</v>
      </c>
      <c r="Q803">
        <v>0.6164383561643836</v>
      </c>
      <c r="R803">
        <v>0</v>
      </c>
      <c r="S803">
        <v>0.02129568760013512</v>
      </c>
      <c r="T803" t="s">
        <v>923</v>
      </c>
      <c r="U803">
        <v>0.259011781255495</v>
      </c>
      <c r="V803" t="s">
        <v>988</v>
      </c>
      <c r="W803" t="s">
        <v>1002</v>
      </c>
      <c r="X803">
        <v>5151.50747</v>
      </c>
      <c r="Y803" s="2">
        <v>45059</v>
      </c>
      <c r="Z803" t="s">
        <v>1013</v>
      </c>
    </row>
    <row r="804" spans="1:26">
      <c r="A804" s="1" t="s">
        <v>828</v>
      </c>
      <c r="B804">
        <f>HYPERLINK("https://www.suredividend.com/sure-analysis-SLRC/","SLR Investment Corp")</f>
        <v>0</v>
      </c>
      <c r="C804" t="s">
        <v>897</v>
      </c>
      <c r="D804">
        <v>14.12</v>
      </c>
      <c r="E804">
        <v>14.01</v>
      </c>
      <c r="F804">
        <v>15.87</v>
      </c>
      <c r="G804">
        <v>0.8827977315689981</v>
      </c>
      <c r="H804">
        <v>0.1170592433975732</v>
      </c>
      <c r="I804">
        <v>0.02524523213501828</v>
      </c>
      <c r="J804">
        <v>-0.022</v>
      </c>
      <c r="K804">
        <v>0.09327589761618782</v>
      </c>
      <c r="L804" t="s">
        <v>648</v>
      </c>
      <c r="M804" t="s">
        <v>589</v>
      </c>
      <c r="N804">
        <v>8.389221556886227</v>
      </c>
      <c r="O804">
        <v>1.67</v>
      </c>
      <c r="P804">
        <v>1.64</v>
      </c>
      <c r="Q804">
        <v>0.9820359281437125</v>
      </c>
      <c r="R804">
        <v>0</v>
      </c>
      <c r="S804">
        <v>-0.02164899078357707</v>
      </c>
      <c r="T804" t="s">
        <v>953</v>
      </c>
      <c r="U804">
        <v>0.09096006042719501</v>
      </c>
      <c r="V804" t="s">
        <v>991</v>
      </c>
      <c r="W804" t="s">
        <v>994</v>
      </c>
      <c r="X804">
        <v>764.310422</v>
      </c>
      <c r="Y804" s="2">
        <v>45069</v>
      </c>
      <c r="Z804" t="s">
        <v>1012</v>
      </c>
    </row>
    <row r="805" spans="1:26">
      <c r="A805" s="1" t="s">
        <v>829</v>
      </c>
      <c r="B805">
        <f>HYPERLINK("https://www.suredividend.com/sure-analysis-FTCO/","Fortitude Gold Corp")</f>
        <v>0</v>
      </c>
      <c r="C805" t="s">
        <v>897</v>
      </c>
      <c r="D805">
        <v>7.25</v>
      </c>
      <c r="E805">
        <v>6.22</v>
      </c>
      <c r="F805">
        <v>7.23</v>
      </c>
      <c r="G805">
        <v>0.8603042876901797</v>
      </c>
      <c r="H805">
        <v>0.07717041800643087</v>
      </c>
      <c r="I805">
        <v>0.03055122179684155</v>
      </c>
      <c r="J805">
        <v>0</v>
      </c>
      <c r="K805">
        <v>0.09135785972237942</v>
      </c>
      <c r="L805" t="s">
        <v>648</v>
      </c>
      <c r="M805" t="s">
        <v>900</v>
      </c>
      <c r="N805">
        <v>7.317647058823529</v>
      </c>
      <c r="O805">
        <v>0.85</v>
      </c>
      <c r="P805">
        <v>0.48</v>
      </c>
      <c r="Q805">
        <v>0.5647058823529412</v>
      </c>
      <c r="R805">
        <v>1</v>
      </c>
      <c r="S805">
        <v>0</v>
      </c>
      <c r="T805" t="s">
        <v>953</v>
      </c>
      <c r="U805">
        <v>0.006472491909385001</v>
      </c>
      <c r="V805" t="s">
        <v>988</v>
      </c>
      <c r="W805" t="s">
        <v>992</v>
      </c>
      <c r="X805">
        <v>149.805845</v>
      </c>
      <c r="Y805" s="2">
        <v>45061</v>
      </c>
      <c r="Z805" t="s">
        <v>1012</v>
      </c>
    </row>
    <row r="806" spans="1:26">
      <c r="A806" s="1" t="s">
        <v>830</v>
      </c>
      <c r="B806">
        <f>HYPERLINK("https://www.suredividend.com/sure-analysis-TEF/","Telefonica S.A")</f>
        <v>0</v>
      </c>
      <c r="C806" t="s">
        <v>897</v>
      </c>
      <c r="D806">
        <v>4.2</v>
      </c>
      <c r="E806">
        <v>3.92</v>
      </c>
      <c r="F806">
        <v>4</v>
      </c>
      <c r="G806">
        <v>0.98</v>
      </c>
      <c r="H806">
        <v>0.08418367346938777</v>
      </c>
      <c r="I806">
        <v>0.004048715456574481</v>
      </c>
      <c r="J806">
        <v>0.02</v>
      </c>
      <c r="K806">
        <v>0.09125914381337163</v>
      </c>
      <c r="L806" t="s">
        <v>648</v>
      </c>
      <c r="M806" t="s">
        <v>589</v>
      </c>
      <c r="N806">
        <v>8.909090909090908</v>
      </c>
      <c r="O806">
        <v>0.44</v>
      </c>
      <c r="P806">
        <v>0.33</v>
      </c>
      <c r="Q806">
        <v>0.75</v>
      </c>
      <c r="R806">
        <v>0</v>
      </c>
      <c r="S806">
        <v>0</v>
      </c>
      <c r="T806" t="s">
        <v>932</v>
      </c>
      <c r="U806">
        <v>-0.15186395205435</v>
      </c>
      <c r="V806" t="s">
        <v>988</v>
      </c>
      <c r="W806" t="s">
        <v>998</v>
      </c>
      <c r="X806">
        <v>22541.795928</v>
      </c>
      <c r="Y806" s="2">
        <v>45078</v>
      </c>
      <c r="Z806" t="s">
        <v>1008</v>
      </c>
    </row>
    <row r="807" spans="1:26">
      <c r="A807" s="1" t="s">
        <v>831</v>
      </c>
      <c r="B807">
        <f>HYPERLINK("https://www.suredividend.com/sure-analysis-OHI/","Omega Healthcare Investors, Inc.")</f>
        <v>0</v>
      </c>
      <c r="C807" t="s">
        <v>896</v>
      </c>
      <c r="D807">
        <v>27</v>
      </c>
      <c r="E807">
        <v>30.09</v>
      </c>
      <c r="F807">
        <v>30</v>
      </c>
      <c r="G807">
        <v>1.003</v>
      </c>
      <c r="H807">
        <v>0.0890661349285477</v>
      </c>
      <c r="I807">
        <v>-0.000598922370311894</v>
      </c>
      <c r="J807">
        <v>0.02</v>
      </c>
      <c r="K807">
        <v>0.09105848136694727</v>
      </c>
      <c r="L807" t="s">
        <v>648</v>
      </c>
      <c r="M807" t="s">
        <v>589</v>
      </c>
      <c r="N807">
        <v>10.94181818181818</v>
      </c>
      <c r="O807">
        <v>2.75</v>
      </c>
      <c r="P807">
        <v>2.68</v>
      </c>
      <c r="Q807">
        <v>0.9745454545454546</v>
      </c>
      <c r="R807">
        <v>0</v>
      </c>
      <c r="S807">
        <v>0</v>
      </c>
      <c r="T807" t="s">
        <v>917</v>
      </c>
      <c r="U807">
        <v>0.127975978497606</v>
      </c>
      <c r="V807" t="s">
        <v>989</v>
      </c>
      <c r="W807" t="s">
        <v>1001</v>
      </c>
      <c r="X807">
        <v>7051.693054</v>
      </c>
      <c r="Y807" s="2">
        <v>45049</v>
      </c>
      <c r="Z807" t="s">
        <v>1004</v>
      </c>
    </row>
    <row r="808" spans="1:26">
      <c r="A808" s="1" t="s">
        <v>832</v>
      </c>
      <c r="B808">
        <f>HYPERLINK("https://www.suredividend.com/sure-analysis-PMT/","Pennymac Mortgage Investment Trust")</f>
        <v>0</v>
      </c>
      <c r="C808" t="s">
        <v>897</v>
      </c>
      <c r="D808">
        <v>11.5</v>
      </c>
      <c r="E808">
        <v>12.78</v>
      </c>
      <c r="F808">
        <v>13.2</v>
      </c>
      <c r="G808">
        <v>0.9681818181818181</v>
      </c>
      <c r="H808">
        <v>0.1251956181533646</v>
      </c>
      <c r="I808">
        <v>0.006488032817223655</v>
      </c>
      <c r="J808">
        <v>0.01</v>
      </c>
      <c r="K808">
        <v>0.09099580973809096</v>
      </c>
      <c r="L808" t="s">
        <v>648</v>
      </c>
      <c r="M808" t="s">
        <v>589</v>
      </c>
      <c r="N808">
        <v>8.24516129032258</v>
      </c>
      <c r="O808">
        <v>1.55</v>
      </c>
      <c r="P808">
        <v>1.6</v>
      </c>
      <c r="Q808">
        <v>1.032258064516129</v>
      </c>
      <c r="R808">
        <v>0</v>
      </c>
      <c r="S808">
        <v>-0.1009132981313342</v>
      </c>
      <c r="T808" t="s">
        <v>911</v>
      </c>
      <c r="U808">
        <v>0.04461264324598201</v>
      </c>
      <c r="V808" t="s">
        <v>989</v>
      </c>
      <c r="W808" t="s">
        <v>994</v>
      </c>
      <c r="X808">
        <v>1118.970179</v>
      </c>
      <c r="Y808" s="2">
        <v>45064</v>
      </c>
      <c r="Z808" t="s">
        <v>1010</v>
      </c>
    </row>
    <row r="809" spans="1:26">
      <c r="A809" s="1" t="s">
        <v>833</v>
      </c>
      <c r="B809">
        <f>HYPERLINK("https://www.suredividend.com/sure-analysis-HTGC/","Hercules Capital Inc")</f>
        <v>0</v>
      </c>
      <c r="C809" t="s">
        <v>896</v>
      </c>
      <c r="D809">
        <v>13.3</v>
      </c>
      <c r="E809">
        <v>14.11</v>
      </c>
      <c r="F809">
        <v>12.8</v>
      </c>
      <c r="G809">
        <v>1.10234375</v>
      </c>
      <c r="H809">
        <v>0.1332388377037562</v>
      </c>
      <c r="I809">
        <v>-0.01929906088512157</v>
      </c>
      <c r="J809">
        <v>0.007</v>
      </c>
      <c r="K809">
        <v>0.0902356850956596</v>
      </c>
      <c r="L809" t="s">
        <v>648</v>
      </c>
      <c r="M809" t="s">
        <v>589</v>
      </c>
      <c r="N809">
        <v>7.627027027027026</v>
      </c>
      <c r="O809">
        <v>1.85</v>
      </c>
      <c r="P809">
        <v>1.88</v>
      </c>
      <c r="Q809">
        <v>1.016216216216216</v>
      </c>
      <c r="R809">
        <v>0</v>
      </c>
      <c r="S809">
        <v>-0.03417187589812964</v>
      </c>
      <c r="T809" t="s">
        <v>954</v>
      </c>
      <c r="U809">
        <v>0.09543735977082</v>
      </c>
      <c r="V809" t="s">
        <v>991</v>
      </c>
      <c r="W809" t="s">
        <v>994</v>
      </c>
      <c r="X809">
        <v>2009.646085</v>
      </c>
      <c r="Y809" s="2">
        <v>45067</v>
      </c>
      <c r="Z809" t="s">
        <v>1013</v>
      </c>
    </row>
    <row r="810" spans="1:26">
      <c r="A810" s="1" t="s">
        <v>834</v>
      </c>
      <c r="B810">
        <f>HYPERLINK("https://www.suredividend.com/sure-analysis-LXP/","LXP Industrial Trust")</f>
        <v>0</v>
      </c>
      <c r="C810" t="s">
        <v>897</v>
      </c>
      <c r="D810">
        <v>10</v>
      </c>
      <c r="E810">
        <v>9.32</v>
      </c>
      <c r="F810">
        <v>9</v>
      </c>
      <c r="G810">
        <v>1.035555555555556</v>
      </c>
      <c r="H810">
        <v>0.0536480686695279</v>
      </c>
      <c r="I810">
        <v>-0.006963253688056281</v>
      </c>
      <c r="J810">
        <v>0.055</v>
      </c>
      <c r="K810">
        <v>0.09018184363806481</v>
      </c>
      <c r="L810" t="s">
        <v>648</v>
      </c>
      <c r="M810" t="s">
        <v>791</v>
      </c>
      <c r="N810">
        <v>13.70588235294118</v>
      </c>
      <c r="O810">
        <v>0.68</v>
      </c>
      <c r="P810">
        <v>0.5</v>
      </c>
      <c r="Q810">
        <v>0.7352941176470588</v>
      </c>
      <c r="R810">
        <v>3</v>
      </c>
      <c r="S810">
        <v>0.01172195149275423</v>
      </c>
      <c r="T810" t="s">
        <v>906</v>
      </c>
      <c r="U810">
        <v>-0.109318705262856</v>
      </c>
      <c r="V810" t="s">
        <v>989</v>
      </c>
      <c r="W810" t="s">
        <v>1001</v>
      </c>
      <c r="X810">
        <v>2726.851332</v>
      </c>
      <c r="Y810" s="2">
        <v>45057</v>
      </c>
      <c r="Z810" t="s">
        <v>1010</v>
      </c>
    </row>
    <row r="811" spans="1:26">
      <c r="A811" s="1" t="s">
        <v>835</v>
      </c>
      <c r="B811">
        <f>HYPERLINK("https://www.suredividend.com/sure-analysis-GBDC/","Golub Capital BDC Inc")</f>
        <v>0</v>
      </c>
      <c r="C811" t="s">
        <v>897</v>
      </c>
      <c r="D811">
        <v>13.02</v>
      </c>
      <c r="E811">
        <v>13.16</v>
      </c>
      <c r="F811">
        <v>13.6</v>
      </c>
      <c r="G811">
        <v>0.9676470588235294</v>
      </c>
      <c r="H811">
        <v>0.1003039513677812</v>
      </c>
      <c r="I811">
        <v>0.006599253111979841</v>
      </c>
      <c r="J811">
        <v>0</v>
      </c>
      <c r="K811">
        <v>0.08947958328756389</v>
      </c>
      <c r="L811" t="s">
        <v>648</v>
      </c>
      <c r="M811" t="s">
        <v>589</v>
      </c>
      <c r="N811">
        <v>8.225</v>
      </c>
      <c r="O811">
        <v>1.6</v>
      </c>
      <c r="P811">
        <v>1.32</v>
      </c>
      <c r="Q811">
        <v>0.825</v>
      </c>
      <c r="R811">
        <v>2</v>
      </c>
      <c r="S811">
        <v>0</v>
      </c>
      <c r="T811" t="s">
        <v>930</v>
      </c>
      <c r="U811">
        <v>0.154882361716878</v>
      </c>
      <c r="V811" t="s">
        <v>991</v>
      </c>
      <c r="W811" t="s">
        <v>994</v>
      </c>
      <c r="X811">
        <v>2236.719607</v>
      </c>
      <c r="Y811" s="2">
        <v>45061</v>
      </c>
      <c r="Z811" t="s">
        <v>1012</v>
      </c>
    </row>
    <row r="812" spans="1:26">
      <c r="A812" s="1" t="s">
        <v>836</v>
      </c>
      <c r="B812">
        <f>HYPERLINK("https://www.suredividend.com/sure-analysis-USAC/","USA Compression Partners LP")</f>
        <v>0</v>
      </c>
      <c r="C812" t="s">
        <v>897</v>
      </c>
      <c r="D812">
        <v>19.2</v>
      </c>
      <c r="E812">
        <v>19.38</v>
      </c>
      <c r="F812">
        <v>19.2</v>
      </c>
      <c r="G812">
        <v>1.009375</v>
      </c>
      <c r="H812">
        <v>0.108359133126935</v>
      </c>
      <c r="I812">
        <v>-0.001864525095190528</v>
      </c>
      <c r="J812">
        <v>0</v>
      </c>
      <c r="K812">
        <v>0.08913204263164065</v>
      </c>
      <c r="L812" t="s">
        <v>648</v>
      </c>
      <c r="M812" t="s">
        <v>589</v>
      </c>
      <c r="N812">
        <v>7.072992700729926</v>
      </c>
      <c r="O812">
        <v>2.74</v>
      </c>
      <c r="P812">
        <v>2.1</v>
      </c>
      <c r="Q812">
        <v>0.7664233576642335</v>
      </c>
      <c r="R812">
        <v>0</v>
      </c>
      <c r="S812">
        <v>0</v>
      </c>
      <c r="T812" t="s">
        <v>944</v>
      </c>
      <c r="U812">
        <v>0.321477763988708</v>
      </c>
      <c r="V812" t="s">
        <v>990</v>
      </c>
      <c r="W812" t="s">
        <v>1002</v>
      </c>
      <c r="X812">
        <v>1904.233044</v>
      </c>
      <c r="Y812" s="2">
        <v>45062</v>
      </c>
      <c r="Z812" t="s">
        <v>1010</v>
      </c>
    </row>
    <row r="813" spans="1:26">
      <c r="A813" s="1" t="s">
        <v>837</v>
      </c>
      <c r="B813">
        <f>HYPERLINK("https://www.suredividend.com/sure-analysis-CBRL/","Cracker Barrel Old Country Store Inc")</f>
        <v>0</v>
      </c>
      <c r="C813" t="s">
        <v>897</v>
      </c>
      <c r="D813">
        <v>93</v>
      </c>
      <c r="E813">
        <v>90.45999999999999</v>
      </c>
      <c r="F813">
        <v>88</v>
      </c>
      <c r="G813">
        <v>1.027954545454545</v>
      </c>
      <c r="H813">
        <v>0.0574839708158302</v>
      </c>
      <c r="I813">
        <v>-0.005499014674955838</v>
      </c>
      <c r="J813">
        <v>0.045</v>
      </c>
      <c r="K813">
        <v>0.08816806637164509</v>
      </c>
      <c r="L813" t="s">
        <v>648</v>
      </c>
      <c r="M813" t="s">
        <v>791</v>
      </c>
      <c r="N813">
        <v>15.3843537414966</v>
      </c>
      <c r="O813">
        <v>5.88</v>
      </c>
      <c r="P813">
        <v>5.2</v>
      </c>
      <c r="Q813">
        <v>0.8843537414965987</v>
      </c>
      <c r="R813">
        <v>0</v>
      </c>
      <c r="S813">
        <v>0.02903366107118788</v>
      </c>
      <c r="T813" t="s">
        <v>911</v>
      </c>
      <c r="U813">
        <v>0.146588321850051</v>
      </c>
      <c r="V813" t="s">
        <v>988</v>
      </c>
      <c r="W813" t="s">
        <v>995</v>
      </c>
      <c r="X813">
        <v>2043.783376</v>
      </c>
      <c r="Y813" s="2">
        <v>45091</v>
      </c>
      <c r="Z813" t="s">
        <v>1013</v>
      </c>
    </row>
    <row r="814" spans="1:26">
      <c r="A814" s="1" t="s">
        <v>838</v>
      </c>
      <c r="B814">
        <f>HYPERLINK("https://www.suredividend.com/sure-analysis-TSLX/","Sixth Street Specialty Lending Inc")</f>
        <v>0</v>
      </c>
      <c r="C814" t="s">
        <v>897</v>
      </c>
      <c r="D814">
        <v>17.57</v>
      </c>
      <c r="E814">
        <v>18.12</v>
      </c>
      <c r="F814">
        <v>18.26</v>
      </c>
      <c r="G814">
        <v>0.9923329682365827</v>
      </c>
      <c r="H814">
        <v>0.1015452538631347</v>
      </c>
      <c r="I814">
        <v>0.001540500263727207</v>
      </c>
      <c r="J814">
        <v>0</v>
      </c>
      <c r="K814">
        <v>0.08669699947148901</v>
      </c>
      <c r="L814" t="s">
        <v>648</v>
      </c>
      <c r="M814" t="s">
        <v>589</v>
      </c>
      <c r="N814">
        <v>8.236363636363636</v>
      </c>
      <c r="O814">
        <v>2.2</v>
      </c>
      <c r="P814">
        <v>1.84</v>
      </c>
      <c r="Q814">
        <v>0.8363636363636363</v>
      </c>
      <c r="R814">
        <v>2</v>
      </c>
      <c r="S814">
        <v>0</v>
      </c>
      <c r="T814" t="s">
        <v>916</v>
      </c>
      <c r="U814">
        <v>0.075594337102662</v>
      </c>
      <c r="V814" t="s">
        <v>991</v>
      </c>
      <c r="W814" t="s">
        <v>994</v>
      </c>
      <c r="X814">
        <v>1481.343794</v>
      </c>
      <c r="Y814" s="2">
        <v>45061</v>
      </c>
      <c r="Z814" t="s">
        <v>1012</v>
      </c>
    </row>
    <row r="815" spans="1:26">
      <c r="A815" s="1" t="s">
        <v>839</v>
      </c>
      <c r="B815">
        <f>HYPERLINK("https://www.suredividend.com/sure-analysis-AQN/","Algonquin Power &amp; Utilities Corp")</f>
        <v>0</v>
      </c>
      <c r="C815" t="s">
        <v>897</v>
      </c>
      <c r="D815">
        <v>9</v>
      </c>
      <c r="E815">
        <v>8.050000000000001</v>
      </c>
      <c r="F815">
        <v>8</v>
      </c>
      <c r="G815">
        <v>1.00625</v>
      </c>
      <c r="H815">
        <v>0.05341614906832298</v>
      </c>
      <c r="I815">
        <v>-0.001245333877514132</v>
      </c>
      <c r="J815">
        <v>0.04</v>
      </c>
      <c r="K815">
        <v>0.08625968360709324</v>
      </c>
      <c r="L815" t="s">
        <v>648</v>
      </c>
      <c r="M815" t="s">
        <v>791</v>
      </c>
      <c r="N815">
        <v>13.87931034482759</v>
      </c>
      <c r="O815">
        <v>0.58</v>
      </c>
      <c r="P815">
        <v>0.43</v>
      </c>
      <c r="Q815">
        <v>0.7413793103448276</v>
      </c>
      <c r="R815">
        <v>0</v>
      </c>
      <c r="S815">
        <v>0.04270506415417863</v>
      </c>
      <c r="T815" t="s">
        <v>906</v>
      </c>
      <c r="U815">
        <v>-0.376973562008544</v>
      </c>
      <c r="V815" t="s">
        <v>988</v>
      </c>
      <c r="W815" t="s">
        <v>999</v>
      </c>
      <c r="X815">
        <v>5543.622663</v>
      </c>
      <c r="Y815" s="2">
        <v>45086</v>
      </c>
      <c r="Z815" t="s">
        <v>1018</v>
      </c>
    </row>
    <row r="816" spans="1:26">
      <c r="A816" s="1" t="s">
        <v>840</v>
      </c>
      <c r="B816">
        <f>HYPERLINK("https://www.suredividend.com/sure-analysis-STWD/","Starwood Property Trust Inc")</f>
        <v>0</v>
      </c>
      <c r="C816" t="s">
        <v>896</v>
      </c>
      <c r="D816">
        <v>16.76</v>
      </c>
      <c r="E816">
        <v>18.43</v>
      </c>
      <c r="F816">
        <v>18</v>
      </c>
      <c r="G816">
        <v>1.023888888888889</v>
      </c>
      <c r="H816">
        <v>0.1041779706999457</v>
      </c>
      <c r="I816">
        <v>-0.004710473513660718</v>
      </c>
      <c r="J816">
        <v>0</v>
      </c>
      <c r="K816">
        <v>0.08411848462974958</v>
      </c>
      <c r="L816" t="s">
        <v>648</v>
      </c>
      <c r="M816" t="s">
        <v>589</v>
      </c>
      <c r="N816">
        <v>9.215</v>
      </c>
      <c r="O816">
        <v>2</v>
      </c>
      <c r="P816">
        <v>1.92</v>
      </c>
      <c r="Q816">
        <v>0.96</v>
      </c>
      <c r="R816">
        <v>0</v>
      </c>
      <c r="S816">
        <v>0</v>
      </c>
      <c r="T816" t="s">
        <v>906</v>
      </c>
      <c r="U816">
        <v>-0.08418719750350301</v>
      </c>
      <c r="V816" t="s">
        <v>989</v>
      </c>
      <c r="W816" t="s">
        <v>1001</v>
      </c>
      <c r="X816">
        <v>5751.823731</v>
      </c>
      <c r="Y816" s="2">
        <v>45058</v>
      </c>
      <c r="Z816" t="s">
        <v>1012</v>
      </c>
    </row>
    <row r="817" spans="1:26">
      <c r="A817" s="1" t="s">
        <v>841</v>
      </c>
      <c r="B817">
        <f>HYPERLINK("https://www.suredividend.com/sure-analysis-CCOI/","Cogent Communications Holdings Inc")</f>
        <v>0</v>
      </c>
      <c r="C817" t="s">
        <v>897</v>
      </c>
      <c r="D817">
        <v>67</v>
      </c>
      <c r="E817">
        <v>64.47</v>
      </c>
      <c r="F817">
        <v>50</v>
      </c>
      <c r="G817">
        <v>1.2894</v>
      </c>
      <c r="H817">
        <v>0.05801147820691795</v>
      </c>
      <c r="I817">
        <v>-0.04956489956407251</v>
      </c>
      <c r="J817">
        <v>0.08</v>
      </c>
      <c r="K817">
        <v>0.08399355417487442</v>
      </c>
      <c r="L817" t="s">
        <v>648</v>
      </c>
      <c r="M817" t="s">
        <v>791</v>
      </c>
      <c r="N817">
        <v>153.5</v>
      </c>
      <c r="O817">
        <v>0.42</v>
      </c>
      <c r="P817">
        <v>3.74</v>
      </c>
      <c r="Q817">
        <v>8.904761904761905</v>
      </c>
      <c r="R817">
        <v>13</v>
      </c>
      <c r="S817">
        <v>0.07018174911502828</v>
      </c>
      <c r="T817" t="s">
        <v>937</v>
      </c>
      <c r="U817">
        <v>0.121457285645451</v>
      </c>
      <c r="V817" t="s">
        <v>988</v>
      </c>
      <c r="W817" t="s">
        <v>998</v>
      </c>
      <c r="X817">
        <v>3114.5457</v>
      </c>
      <c r="Y817" s="2">
        <v>45056</v>
      </c>
      <c r="Z817" t="s">
        <v>1015</v>
      </c>
    </row>
    <row r="818" spans="1:26">
      <c r="A818" s="1" t="s">
        <v>842</v>
      </c>
      <c r="B818">
        <f>HYPERLINK("https://www.suredividend.com/sure-analysis-NEM/","Newmont Corp")</f>
        <v>0</v>
      </c>
      <c r="C818" t="s">
        <v>897</v>
      </c>
      <c r="D818">
        <v>45</v>
      </c>
      <c r="E818">
        <v>41.58</v>
      </c>
      <c r="F818">
        <v>44</v>
      </c>
      <c r="G818">
        <v>0.945</v>
      </c>
      <c r="H818">
        <v>0.03848003848003848</v>
      </c>
      <c r="I818">
        <v>0.01137831645760157</v>
      </c>
      <c r="J818">
        <v>0.04</v>
      </c>
      <c r="K818">
        <v>0.08154435897753753</v>
      </c>
      <c r="L818" t="s">
        <v>648</v>
      </c>
      <c r="M818" t="s">
        <v>791</v>
      </c>
      <c r="N818">
        <v>16.97142857142857</v>
      </c>
      <c r="O818">
        <v>2.45</v>
      </c>
      <c r="P818">
        <v>1.6</v>
      </c>
      <c r="Q818">
        <v>0.6530612244897959</v>
      </c>
      <c r="R818">
        <v>0</v>
      </c>
      <c r="S818">
        <v>0</v>
      </c>
      <c r="T818" t="s">
        <v>912</v>
      </c>
      <c r="U818">
        <v>-0.322706437709516</v>
      </c>
      <c r="V818" t="s">
        <v>988</v>
      </c>
      <c r="W818" t="s">
        <v>992</v>
      </c>
      <c r="X818">
        <v>33044.133318</v>
      </c>
      <c r="Y818" s="2">
        <v>45064</v>
      </c>
      <c r="Z818" t="s">
        <v>1008</v>
      </c>
    </row>
    <row r="819" spans="1:26">
      <c r="A819" s="1" t="s">
        <v>843</v>
      </c>
      <c r="B819">
        <f>HYPERLINK("https://www.suredividend.com/sure-analysis-DREUF/","Dream Industrial Real Estate Investment Trust")</f>
        <v>0</v>
      </c>
      <c r="C819" t="s">
        <v>897</v>
      </c>
      <c r="D819">
        <v>10.72</v>
      </c>
      <c r="E819">
        <v>9.84</v>
      </c>
      <c r="F819">
        <v>9.720000000000001</v>
      </c>
      <c r="G819">
        <v>1.012345679012346</v>
      </c>
      <c r="H819">
        <v>0.05284552845528456</v>
      </c>
      <c r="I819">
        <v>-0.00245100987650948</v>
      </c>
      <c r="J819">
        <v>0.04</v>
      </c>
      <c r="K819">
        <v>0.08085029222321372</v>
      </c>
      <c r="L819" t="s">
        <v>648</v>
      </c>
      <c r="M819" t="s">
        <v>791</v>
      </c>
      <c r="N819">
        <v>13.66666666666667</v>
      </c>
      <c r="O819">
        <v>0.72</v>
      </c>
      <c r="P819">
        <v>0.52</v>
      </c>
      <c r="Q819">
        <v>0.7222222222222223</v>
      </c>
      <c r="R819">
        <v>0</v>
      </c>
      <c r="S819">
        <v>0.01128104983563905</v>
      </c>
      <c r="T819" t="s">
        <v>934</v>
      </c>
      <c r="U819">
        <v>0.038522427440633</v>
      </c>
      <c r="V819" t="s">
        <v>989</v>
      </c>
      <c r="W819" t="s">
        <v>1001</v>
      </c>
      <c r="X819">
        <v>2536.086649</v>
      </c>
      <c r="Y819" s="2">
        <v>45057</v>
      </c>
      <c r="Z819" t="s">
        <v>1010</v>
      </c>
    </row>
    <row r="820" spans="1:26">
      <c r="A820" s="1" t="s">
        <v>844</v>
      </c>
      <c r="B820">
        <f>HYPERLINK("https://www.suredividend.com/sure-analysis-FDUS/","Fidus Investment Corp")</f>
        <v>0</v>
      </c>
      <c r="C820" t="s">
        <v>897</v>
      </c>
      <c r="D820">
        <v>18.5</v>
      </c>
      <c r="E820">
        <v>18.94</v>
      </c>
      <c r="F820">
        <v>19.8</v>
      </c>
      <c r="G820">
        <v>0.9565656565656566</v>
      </c>
      <c r="H820">
        <v>0.08553326293558607</v>
      </c>
      <c r="I820">
        <v>0.008920724589023044</v>
      </c>
      <c r="J820">
        <v>0</v>
      </c>
      <c r="K820">
        <v>0.08054994537493432</v>
      </c>
      <c r="L820" t="s">
        <v>648</v>
      </c>
      <c r="M820" t="s">
        <v>589</v>
      </c>
      <c r="N820">
        <v>8.609090909090909</v>
      </c>
      <c r="O820">
        <v>2.2</v>
      </c>
      <c r="P820">
        <v>1.62</v>
      </c>
      <c r="Q820">
        <v>0.7363636363636363</v>
      </c>
      <c r="R820">
        <v>3</v>
      </c>
      <c r="S820">
        <v>0</v>
      </c>
      <c r="T820" t="s">
        <v>933</v>
      </c>
      <c r="U820">
        <v>0.100126624923037</v>
      </c>
      <c r="V820" t="s">
        <v>991</v>
      </c>
      <c r="W820" t="s">
        <v>994</v>
      </c>
      <c r="X820">
        <v>473.280258</v>
      </c>
      <c r="Y820" s="2">
        <v>45058</v>
      </c>
      <c r="Z820" t="s">
        <v>1012</v>
      </c>
    </row>
    <row r="821" spans="1:26">
      <c r="A821" s="1" t="s">
        <v>845</v>
      </c>
      <c r="B821">
        <f>HYPERLINK("https://www.suredividend.com/sure-analysis-BFS/","Saul Centers, Inc.")</f>
        <v>0</v>
      </c>
      <c r="C821" t="s">
        <v>897</v>
      </c>
      <c r="D821">
        <v>33</v>
      </c>
      <c r="E821">
        <v>35.6</v>
      </c>
      <c r="F821">
        <v>34</v>
      </c>
      <c r="G821">
        <v>1.047058823529412</v>
      </c>
      <c r="H821">
        <v>0.06629213483146067</v>
      </c>
      <c r="I821">
        <v>-0.00915485939337668</v>
      </c>
      <c r="J821">
        <v>0.03</v>
      </c>
      <c r="K821">
        <v>0.0801013767533123</v>
      </c>
      <c r="L821" t="s">
        <v>648</v>
      </c>
      <c r="M821" t="s">
        <v>589</v>
      </c>
      <c r="N821">
        <v>11.67213114754098</v>
      </c>
      <c r="O821">
        <v>3.05</v>
      </c>
      <c r="P821">
        <v>2.36</v>
      </c>
      <c r="Q821">
        <v>0.7737704918032787</v>
      </c>
      <c r="R821">
        <v>3</v>
      </c>
      <c r="S821">
        <v>0.0303095182681723</v>
      </c>
      <c r="T821" t="s">
        <v>945</v>
      </c>
      <c r="U821">
        <v>-0.213709721949204</v>
      </c>
      <c r="V821" t="s">
        <v>989</v>
      </c>
      <c r="W821" t="s">
        <v>1001</v>
      </c>
      <c r="X821">
        <v>851.809744</v>
      </c>
      <c r="Y821" s="2">
        <v>45059</v>
      </c>
      <c r="Z821" t="s">
        <v>1012</v>
      </c>
    </row>
    <row r="822" spans="1:26">
      <c r="A822" s="1" t="s">
        <v>846</v>
      </c>
      <c r="B822">
        <f>HYPERLINK("https://www.suredividend.com/sure-analysis-LAND/","Gladstone Land Corp")</f>
        <v>0</v>
      </c>
      <c r="C822" t="s">
        <v>897</v>
      </c>
      <c r="D822">
        <v>15.57</v>
      </c>
      <c r="E822">
        <v>15.94</v>
      </c>
      <c r="F822">
        <v>16</v>
      </c>
      <c r="G822">
        <v>0.99625</v>
      </c>
      <c r="H822">
        <v>0.03450439146800503</v>
      </c>
      <c r="I822">
        <v>0.0007516921545909216</v>
      </c>
      <c r="J822">
        <v>0.05</v>
      </c>
      <c r="K822">
        <v>0.07850902755096345</v>
      </c>
      <c r="L822" t="s">
        <v>648</v>
      </c>
      <c r="M822" t="s">
        <v>648</v>
      </c>
      <c r="N822">
        <v>22.77142857142857</v>
      </c>
      <c r="O822">
        <v>0.7</v>
      </c>
      <c r="P822">
        <v>0.55</v>
      </c>
      <c r="Q822">
        <v>0.7857142857142858</v>
      </c>
      <c r="R822">
        <v>9</v>
      </c>
      <c r="S822">
        <v>0.01067857840444453</v>
      </c>
      <c r="T822" t="s">
        <v>933</v>
      </c>
      <c r="U822">
        <v>-0.282146894181967</v>
      </c>
      <c r="V822" t="s">
        <v>989</v>
      </c>
      <c r="W822" t="s">
        <v>1001</v>
      </c>
      <c r="X822">
        <v>569.280873</v>
      </c>
      <c r="Y822" s="2">
        <v>45061</v>
      </c>
      <c r="Z822" t="s">
        <v>1004</v>
      </c>
    </row>
    <row r="823" spans="1:26">
      <c r="A823" s="1" t="s">
        <v>847</v>
      </c>
      <c r="B823">
        <f>HYPERLINK("https://www.suredividend.com/sure-analysis-DRETF/","Dream Office Real Estate Investment Trust")</f>
        <v>0</v>
      </c>
      <c r="C823" t="s">
        <v>897</v>
      </c>
      <c r="D823">
        <v>10.6</v>
      </c>
      <c r="E823">
        <v>9.67</v>
      </c>
      <c r="F823">
        <v>9.6</v>
      </c>
      <c r="G823">
        <v>1.007291666666667</v>
      </c>
      <c r="H823">
        <v>0.07652533609100311</v>
      </c>
      <c r="I823">
        <v>-0.001451987043590841</v>
      </c>
      <c r="J823">
        <v>0.016</v>
      </c>
      <c r="K823">
        <v>0.07823946934279036</v>
      </c>
      <c r="L823" t="s">
        <v>648</v>
      </c>
      <c r="M823" t="s">
        <v>589</v>
      </c>
      <c r="N823">
        <v>9.037383177570092</v>
      </c>
      <c r="O823">
        <v>1.07</v>
      </c>
      <c r="P823">
        <v>0.74</v>
      </c>
      <c r="Q823">
        <v>0.6915887850467289</v>
      </c>
      <c r="R823">
        <v>0</v>
      </c>
      <c r="S823">
        <v>0</v>
      </c>
      <c r="T823" t="s">
        <v>934</v>
      </c>
      <c r="U823">
        <v>-0.361682465080664</v>
      </c>
      <c r="V823" t="s">
        <v>988</v>
      </c>
      <c r="W823" t="s">
        <v>994</v>
      </c>
      <c r="X823">
        <v>432.127603</v>
      </c>
      <c r="Y823" s="2">
        <v>45067</v>
      </c>
      <c r="Z823" t="s">
        <v>1013</v>
      </c>
    </row>
    <row r="824" spans="1:26">
      <c r="A824" s="1" t="s">
        <v>848</v>
      </c>
      <c r="B824">
        <f>HYPERLINK("https://www.suredividend.com/sure-analysis-PLD/","Prologis Inc")</f>
        <v>0</v>
      </c>
      <c r="C824" t="s">
        <v>897</v>
      </c>
      <c r="D824">
        <v>124</v>
      </c>
      <c r="E824">
        <v>116.9</v>
      </c>
      <c r="F824">
        <v>98</v>
      </c>
      <c r="G824">
        <v>1.192857142857143</v>
      </c>
      <c r="H824">
        <v>0.02976903336184773</v>
      </c>
      <c r="I824">
        <v>-0.03465553034029767</v>
      </c>
      <c r="J824">
        <v>0.08</v>
      </c>
      <c r="K824">
        <v>0.07269601614744747</v>
      </c>
      <c r="L824" t="s">
        <v>648</v>
      </c>
      <c r="M824" t="s">
        <v>648</v>
      </c>
      <c r="N824">
        <v>21.41025641025641</v>
      </c>
      <c r="O824">
        <v>5.46</v>
      </c>
      <c r="P824">
        <v>3.48</v>
      </c>
      <c r="Q824">
        <v>0.6373626373626373</v>
      </c>
      <c r="R824">
        <v>9</v>
      </c>
      <c r="S824">
        <v>0.07986218022009695</v>
      </c>
      <c r="T824" t="s">
        <v>902</v>
      </c>
      <c r="U824">
        <v>-0.019889781617357</v>
      </c>
      <c r="V824" t="s">
        <v>989</v>
      </c>
      <c r="W824" t="s">
        <v>1001</v>
      </c>
      <c r="X824">
        <v>107953.1754</v>
      </c>
      <c r="Y824" s="2">
        <v>45036</v>
      </c>
      <c r="Z824" t="s">
        <v>1012</v>
      </c>
    </row>
    <row r="825" spans="1:26">
      <c r="A825" s="1" t="s">
        <v>849</v>
      </c>
      <c r="B825">
        <f>HYPERLINK("https://www.suredividend.com/sure-analysis-RIO/","Rio Tinto plc")</f>
        <v>0</v>
      </c>
      <c r="C825" t="s">
        <v>897</v>
      </c>
      <c r="D825">
        <v>62</v>
      </c>
      <c r="E825">
        <v>63.5</v>
      </c>
      <c r="F825">
        <v>65</v>
      </c>
      <c r="G825">
        <v>0.9769230769230769</v>
      </c>
      <c r="H825">
        <v>0.07086614173228346</v>
      </c>
      <c r="I825">
        <v>0.004680391776183512</v>
      </c>
      <c r="J825">
        <v>0.01</v>
      </c>
      <c r="K825">
        <v>0.07107034695725245</v>
      </c>
      <c r="L825" t="s">
        <v>648</v>
      </c>
      <c r="M825" t="s">
        <v>589</v>
      </c>
      <c r="N825">
        <v>8.819444444444445</v>
      </c>
      <c r="O825">
        <v>7.2</v>
      </c>
      <c r="P825">
        <v>4.5</v>
      </c>
      <c r="Q825">
        <v>0.625</v>
      </c>
      <c r="R825">
        <v>0</v>
      </c>
      <c r="S825">
        <v>-0.0198864821297593</v>
      </c>
      <c r="T825" t="s">
        <v>963</v>
      </c>
      <c r="U825">
        <v>0.092565222702645</v>
      </c>
      <c r="V825" t="s">
        <v>988</v>
      </c>
      <c r="W825" t="s">
        <v>992</v>
      </c>
      <c r="X825">
        <v>79435.164028</v>
      </c>
      <c r="Y825" s="2">
        <v>45068</v>
      </c>
      <c r="Z825" t="s">
        <v>1007</v>
      </c>
    </row>
    <row r="826" spans="1:26">
      <c r="A826" s="1" t="s">
        <v>850</v>
      </c>
      <c r="B826">
        <f>HYPERLINK("https://www.suredividend.com/sure-analysis-BX/","Blackstone Inc")</f>
        <v>0</v>
      </c>
      <c r="C826" t="s">
        <v>897</v>
      </c>
      <c r="D826">
        <v>90</v>
      </c>
      <c r="E826">
        <v>87.84</v>
      </c>
      <c r="F826">
        <v>72</v>
      </c>
      <c r="G826">
        <v>1.22</v>
      </c>
      <c r="H826">
        <v>0.03734061930783242</v>
      </c>
      <c r="I826">
        <v>-0.03898971891444336</v>
      </c>
      <c r="J826">
        <v>0.08</v>
      </c>
      <c r="K826">
        <v>0.07090324835604234</v>
      </c>
      <c r="L826" t="s">
        <v>648</v>
      </c>
      <c r="M826" t="s">
        <v>791</v>
      </c>
      <c r="N826">
        <v>19.52</v>
      </c>
      <c r="O826">
        <v>4.5</v>
      </c>
      <c r="P826">
        <v>3.28</v>
      </c>
      <c r="Q826">
        <v>0.7288888888888888</v>
      </c>
      <c r="R826">
        <v>0</v>
      </c>
      <c r="S826">
        <v>0.02986891676636416</v>
      </c>
      <c r="T826" t="s">
        <v>917</v>
      </c>
      <c r="U826">
        <v>-0.07461740001622301</v>
      </c>
      <c r="V826" t="s">
        <v>988</v>
      </c>
      <c r="W826" t="s">
        <v>994</v>
      </c>
      <c r="X826">
        <v>62022.489623</v>
      </c>
      <c r="Y826" s="2">
        <v>45037</v>
      </c>
      <c r="Z826" t="s">
        <v>1012</v>
      </c>
    </row>
    <row r="827" spans="1:26">
      <c r="A827" s="1" t="s">
        <v>851</v>
      </c>
      <c r="B827">
        <f>HYPERLINK("https://www.suredividend.com/sure-analysis-ALL/","Allstate Corp (The)")</f>
        <v>0</v>
      </c>
      <c r="C827" t="s">
        <v>897</v>
      </c>
      <c r="D827">
        <v>118</v>
      </c>
      <c r="E827">
        <v>107.53</v>
      </c>
      <c r="F827">
        <v>89</v>
      </c>
      <c r="G827">
        <v>1.208202247191011</v>
      </c>
      <c r="H827">
        <v>0.03310703989584302</v>
      </c>
      <c r="I827">
        <v>-0.03712020816847339</v>
      </c>
      <c r="J827">
        <v>0.08</v>
      </c>
      <c r="K827">
        <v>0.07084801692203446</v>
      </c>
      <c r="L827" t="s">
        <v>648</v>
      </c>
      <c r="M827" t="s">
        <v>648</v>
      </c>
      <c r="N827">
        <v>29.14092140921409</v>
      </c>
      <c r="O827">
        <v>3.69</v>
      </c>
      <c r="P827">
        <v>3.56</v>
      </c>
      <c r="Q827">
        <v>0.964769647696477</v>
      </c>
      <c r="R827">
        <v>11</v>
      </c>
      <c r="S827">
        <v>0.04983529865060143</v>
      </c>
      <c r="T827" t="s">
        <v>930</v>
      </c>
      <c r="U827">
        <v>-0.130077413644832</v>
      </c>
      <c r="V827" t="s">
        <v>988</v>
      </c>
      <c r="W827" t="s">
        <v>994</v>
      </c>
      <c r="X827">
        <v>28264.46642</v>
      </c>
      <c r="Y827" s="2">
        <v>45063</v>
      </c>
      <c r="Z827" t="s">
        <v>1010</v>
      </c>
    </row>
    <row r="828" spans="1:26">
      <c r="A828" s="1" t="s">
        <v>852</v>
      </c>
      <c r="B828">
        <f>HYPERLINK("https://www.suredividend.com/sure-analysis-AVB/","Avalonbay Communities Inc.")</f>
        <v>0</v>
      </c>
      <c r="C828" t="s">
        <v>897</v>
      </c>
      <c r="D828">
        <v>180</v>
      </c>
      <c r="E828">
        <v>181.37</v>
      </c>
      <c r="F828">
        <v>188</v>
      </c>
      <c r="G828">
        <v>0.9647340425531915</v>
      </c>
      <c r="H828">
        <v>0.0363897006120086</v>
      </c>
      <c r="I828">
        <v>0.007206405905157531</v>
      </c>
      <c r="J828">
        <v>0.029</v>
      </c>
      <c r="K828">
        <v>0.07040295420149767</v>
      </c>
      <c r="L828" t="s">
        <v>648</v>
      </c>
      <c r="M828" t="s">
        <v>791</v>
      </c>
      <c r="N828">
        <v>17.35598086124402</v>
      </c>
      <c r="O828">
        <v>10.45</v>
      </c>
      <c r="P828">
        <v>6.6</v>
      </c>
      <c r="Q828">
        <v>0.631578947368421</v>
      </c>
      <c r="R828">
        <v>1</v>
      </c>
      <c r="S828">
        <v>0.04715607753446549</v>
      </c>
      <c r="T828" t="s">
        <v>906</v>
      </c>
      <c r="U828">
        <v>-0.035761924584535</v>
      </c>
      <c r="V828" t="s">
        <v>989</v>
      </c>
      <c r="W828" t="s">
        <v>1001</v>
      </c>
      <c r="X828">
        <v>25754.370963</v>
      </c>
      <c r="Y828" s="2">
        <v>45062</v>
      </c>
      <c r="Z828" t="s">
        <v>1013</v>
      </c>
    </row>
    <row r="829" spans="1:26">
      <c r="A829" s="1" t="s">
        <v>853</v>
      </c>
      <c r="B829">
        <f>HYPERLINK("https://www.suredividend.com/sure-analysis-SCCO/","Southern Copper Corporation")</f>
        <v>0</v>
      </c>
      <c r="C829" t="s">
        <v>897</v>
      </c>
      <c r="D829">
        <v>70</v>
      </c>
      <c r="E829">
        <v>71.25</v>
      </c>
      <c r="F829">
        <v>68</v>
      </c>
      <c r="G829">
        <v>1.047794117647059</v>
      </c>
      <c r="H829">
        <v>0.05614035087719298</v>
      </c>
      <c r="I829">
        <v>-0.00929396443053343</v>
      </c>
      <c r="J829">
        <v>0.03</v>
      </c>
      <c r="K829">
        <v>0.07030403256904649</v>
      </c>
      <c r="L829" t="s">
        <v>648</v>
      </c>
      <c r="M829" t="s">
        <v>791</v>
      </c>
      <c r="N829">
        <v>18.79947229551451</v>
      </c>
      <c r="O829">
        <v>3.79</v>
      </c>
      <c r="P829">
        <v>4</v>
      </c>
      <c r="Q829">
        <v>1.055408970976253</v>
      </c>
      <c r="R829">
        <v>3</v>
      </c>
      <c r="S829">
        <v>0.02016978262061087</v>
      </c>
      <c r="T829" t="s">
        <v>955</v>
      </c>
      <c r="U829">
        <v>0.4568496469823271</v>
      </c>
      <c r="V829" t="s">
        <v>988</v>
      </c>
      <c r="W829" t="s">
        <v>992</v>
      </c>
      <c r="X829">
        <v>55083.493916</v>
      </c>
      <c r="Y829" s="2">
        <v>45069</v>
      </c>
      <c r="Z829" t="s">
        <v>1010</v>
      </c>
    </row>
    <row r="830" spans="1:26">
      <c r="A830" s="1" t="s">
        <v>854</v>
      </c>
      <c r="B830">
        <f>HYPERLINK("https://www.suredividend.com/sure-analysis-NHC/","National Healthcare Corp.")</f>
        <v>0</v>
      </c>
      <c r="C830" t="s">
        <v>897</v>
      </c>
      <c r="D830">
        <v>59</v>
      </c>
      <c r="E830">
        <v>60.91</v>
      </c>
      <c r="F830">
        <v>49</v>
      </c>
      <c r="G830">
        <v>1.243061224489796</v>
      </c>
      <c r="H830">
        <v>0.0387456903628304</v>
      </c>
      <c r="I830">
        <v>-0.04258220303601945</v>
      </c>
      <c r="J830">
        <v>0.08</v>
      </c>
      <c r="K830">
        <v>0.06870672052191451</v>
      </c>
      <c r="L830" t="s">
        <v>648</v>
      </c>
      <c r="M830" t="s">
        <v>648</v>
      </c>
      <c r="N830">
        <v>23.42692307692307</v>
      </c>
      <c r="O830">
        <v>2.6</v>
      </c>
      <c r="P830">
        <v>2.36</v>
      </c>
      <c r="Q830">
        <v>0.9076923076923076</v>
      </c>
      <c r="R830">
        <v>2</v>
      </c>
      <c r="S830">
        <v>0.0303095182681723</v>
      </c>
      <c r="T830" t="s">
        <v>906</v>
      </c>
      <c r="U830">
        <v>-0.09489957858072601</v>
      </c>
      <c r="V830" t="s">
        <v>989</v>
      </c>
      <c r="W830" t="s">
        <v>1001</v>
      </c>
      <c r="X830">
        <v>933.168183</v>
      </c>
      <c r="Y830" s="2">
        <v>45070</v>
      </c>
      <c r="Z830" t="s">
        <v>1014</v>
      </c>
    </row>
    <row r="831" spans="1:26">
      <c r="A831" s="1" t="s">
        <v>855</v>
      </c>
      <c r="B831">
        <f>HYPERLINK("https://www.suredividend.com/sure-analysis-LAMR/","Lamar Advertising Co")</f>
        <v>0</v>
      </c>
      <c r="C831" t="s">
        <v>897</v>
      </c>
      <c r="D831">
        <v>95</v>
      </c>
      <c r="E831">
        <v>92.41</v>
      </c>
      <c r="F831">
        <v>85</v>
      </c>
      <c r="G831">
        <v>1.087176470588235</v>
      </c>
      <c r="H831">
        <v>0.05410669840926307</v>
      </c>
      <c r="I831">
        <v>-0.01657783812090374</v>
      </c>
      <c r="J831">
        <v>0.037</v>
      </c>
      <c r="K831">
        <v>0.06850240021502474</v>
      </c>
      <c r="L831" t="s">
        <v>648</v>
      </c>
      <c r="M831" t="s">
        <v>791</v>
      </c>
      <c r="N831">
        <v>13.05225988700565</v>
      </c>
      <c r="O831">
        <v>7.08</v>
      </c>
      <c r="P831">
        <v>5</v>
      </c>
      <c r="Q831">
        <v>0.7062146892655368</v>
      </c>
      <c r="R831">
        <v>2</v>
      </c>
      <c r="S831">
        <v>0.02292455662603032</v>
      </c>
      <c r="T831" t="s">
        <v>902</v>
      </c>
      <c r="U831">
        <v>0.09751115207198101</v>
      </c>
      <c r="V831" t="s">
        <v>989</v>
      </c>
      <c r="W831" t="s">
        <v>1001</v>
      </c>
      <c r="X831">
        <v>8084.701485</v>
      </c>
      <c r="Y831" s="2">
        <v>45067</v>
      </c>
      <c r="Z831" t="s">
        <v>1013</v>
      </c>
    </row>
    <row r="832" spans="1:26">
      <c r="A832" s="1" t="s">
        <v>856</v>
      </c>
      <c r="B832">
        <f>HYPERLINK("https://www.suredividend.com/sure-analysis-FL/","Foot Locker Inc")</f>
        <v>0</v>
      </c>
      <c r="C832" t="s">
        <v>897</v>
      </c>
      <c r="D832">
        <v>27</v>
      </c>
      <c r="E832">
        <v>25.93</v>
      </c>
      <c r="F832">
        <v>18</v>
      </c>
      <c r="G832">
        <v>1.440555555555556</v>
      </c>
      <c r="H832">
        <v>0.06170458927882762</v>
      </c>
      <c r="I832">
        <v>-0.07040453220391718</v>
      </c>
      <c r="J832">
        <v>0.08</v>
      </c>
      <c r="K832">
        <v>0.06618951518711369</v>
      </c>
      <c r="L832" t="s">
        <v>648</v>
      </c>
      <c r="M832" t="s">
        <v>791</v>
      </c>
      <c r="N832">
        <v>12.965</v>
      </c>
      <c r="O832">
        <v>2</v>
      </c>
      <c r="P832">
        <v>1.6</v>
      </c>
      <c r="Q832">
        <v>0.8</v>
      </c>
      <c r="R832">
        <v>2</v>
      </c>
      <c r="S832">
        <v>0.04978904632428516</v>
      </c>
      <c r="T832" t="s">
        <v>911</v>
      </c>
      <c r="U832">
        <v>-0.07871595814606201</v>
      </c>
      <c r="V832" t="s">
        <v>988</v>
      </c>
      <c r="W832" t="s">
        <v>995</v>
      </c>
      <c r="X832">
        <v>2435.446727</v>
      </c>
      <c r="Y832" s="2">
        <v>45070</v>
      </c>
      <c r="Z832" t="s">
        <v>1004</v>
      </c>
    </row>
    <row r="833" spans="1:26">
      <c r="A833" s="1" t="s">
        <v>857</v>
      </c>
      <c r="B833">
        <f>HYPERLINK("https://www.suredividend.com/sure-analysis-OMF/","OneMain Holdings Inc")</f>
        <v>0</v>
      </c>
      <c r="C833" t="s">
        <v>897</v>
      </c>
      <c r="D833">
        <v>37</v>
      </c>
      <c r="E833">
        <v>41.67</v>
      </c>
      <c r="F833">
        <v>34</v>
      </c>
      <c r="G833">
        <v>1.225588235294118</v>
      </c>
      <c r="H833">
        <v>0.09599232061435085</v>
      </c>
      <c r="I833">
        <v>-0.0398676929412175</v>
      </c>
      <c r="J833">
        <v>0.01</v>
      </c>
      <c r="K833">
        <v>0.06457456438392017</v>
      </c>
      <c r="L833" t="s">
        <v>648</v>
      </c>
      <c r="M833" t="s">
        <v>900</v>
      </c>
      <c r="N833">
        <v>6.720967741935484</v>
      </c>
      <c r="O833">
        <v>6.2</v>
      </c>
      <c r="P833">
        <v>4</v>
      </c>
      <c r="Q833">
        <v>0.6451612903225806</v>
      </c>
      <c r="R833">
        <v>4</v>
      </c>
      <c r="S833">
        <v>0.02016978262061087</v>
      </c>
      <c r="T833" t="s">
        <v>948</v>
      </c>
      <c r="U833">
        <v>0.192841235035811</v>
      </c>
      <c r="V833" t="s">
        <v>988</v>
      </c>
      <c r="W833" t="s">
        <v>994</v>
      </c>
      <c r="X833">
        <v>5024.869207</v>
      </c>
      <c r="Y833" s="2">
        <v>45067</v>
      </c>
      <c r="Z833" t="s">
        <v>1014</v>
      </c>
    </row>
    <row r="834" spans="1:26">
      <c r="A834" s="1" t="s">
        <v>858</v>
      </c>
      <c r="B834">
        <f>HYPERLINK("https://www.suredividend.com/sure-analysis-DANOY/","Danone")</f>
        <v>0</v>
      </c>
      <c r="C834" t="s">
        <v>897</v>
      </c>
      <c r="D834">
        <v>13.3</v>
      </c>
      <c r="E834">
        <v>12.22</v>
      </c>
      <c r="F834">
        <v>12.96</v>
      </c>
      <c r="G834">
        <v>0.9429012345679012</v>
      </c>
      <c r="H834">
        <v>0.03682487725040916</v>
      </c>
      <c r="I834">
        <v>0.01182815328192488</v>
      </c>
      <c r="J834">
        <v>0.02</v>
      </c>
      <c r="K834">
        <v>0.06454570396175319</v>
      </c>
      <c r="L834" t="s">
        <v>648</v>
      </c>
      <c r="M834" t="s">
        <v>791</v>
      </c>
      <c r="N834">
        <v>16.97222222222222</v>
      </c>
      <c r="O834">
        <v>0.72</v>
      </c>
      <c r="P834">
        <v>0.45</v>
      </c>
      <c r="Q834">
        <v>0.625</v>
      </c>
      <c r="R834">
        <v>0</v>
      </c>
      <c r="S834">
        <v>0.02129568760013512</v>
      </c>
      <c r="T834" t="s">
        <v>907</v>
      </c>
      <c r="U834">
        <v>0.133927825772268</v>
      </c>
      <c r="V834" t="s">
        <v>988</v>
      </c>
      <c r="W834" t="s">
        <v>997</v>
      </c>
      <c r="X834">
        <v>41411.938121</v>
      </c>
      <c r="Y834" s="2">
        <v>45043</v>
      </c>
      <c r="Z834" t="s">
        <v>1015</v>
      </c>
    </row>
    <row r="835" spans="1:26">
      <c r="A835" s="1" t="s">
        <v>859</v>
      </c>
      <c r="B835">
        <f>HYPERLINK("https://www.suredividend.com/sure-analysis-QSR/","Restaurant Brands International Inc")</f>
        <v>0</v>
      </c>
      <c r="C835" t="s">
        <v>897</v>
      </c>
      <c r="D835">
        <v>71</v>
      </c>
      <c r="E835">
        <v>75.34999999999999</v>
      </c>
      <c r="F835">
        <v>59</v>
      </c>
      <c r="G835">
        <v>1.277118644067796</v>
      </c>
      <c r="H835">
        <v>0.02919708029197081</v>
      </c>
      <c r="I835">
        <v>-0.04774392711094444</v>
      </c>
      <c r="J835">
        <v>0.09</v>
      </c>
      <c r="K835">
        <v>0.06393614974501927</v>
      </c>
      <c r="L835" t="s">
        <v>648</v>
      </c>
      <c r="M835" t="s">
        <v>648</v>
      </c>
      <c r="N835">
        <v>24.15064102564102</v>
      </c>
      <c r="O835">
        <v>3.12</v>
      </c>
      <c r="P835">
        <v>2.2</v>
      </c>
      <c r="Q835">
        <v>0.7051282051282052</v>
      </c>
      <c r="R835">
        <v>11</v>
      </c>
      <c r="S835">
        <v>0.02753251148110025</v>
      </c>
      <c r="T835" t="s">
        <v>939</v>
      </c>
      <c r="U835">
        <v>0.5662838434755491</v>
      </c>
      <c r="V835" t="s">
        <v>988</v>
      </c>
      <c r="W835" t="s">
        <v>995</v>
      </c>
      <c r="X835">
        <v>23510.182413</v>
      </c>
      <c r="Y835" s="2">
        <v>45051</v>
      </c>
      <c r="Z835" t="s">
        <v>1007</v>
      </c>
    </row>
    <row r="836" spans="1:26">
      <c r="A836" s="1" t="s">
        <v>860</v>
      </c>
      <c r="B836">
        <f>HYPERLINK("https://www.suredividend.com/sure-analysis-KHC/","Kraft Heinz Co")</f>
        <v>0</v>
      </c>
      <c r="C836" t="s">
        <v>897</v>
      </c>
      <c r="D836">
        <v>41</v>
      </c>
      <c r="E836">
        <v>35.91</v>
      </c>
      <c r="F836">
        <v>37</v>
      </c>
      <c r="G836">
        <v>0.9705405405405404</v>
      </c>
      <c r="H836">
        <v>0.04455583402951824</v>
      </c>
      <c r="I836">
        <v>0.005998339300292033</v>
      </c>
      <c r="J836">
        <v>0.02</v>
      </c>
      <c r="K836">
        <v>0.06348554758220692</v>
      </c>
      <c r="L836" t="s">
        <v>648</v>
      </c>
      <c r="M836" t="s">
        <v>791</v>
      </c>
      <c r="N836">
        <v>12.51219512195122</v>
      </c>
      <c r="O836">
        <v>2.87</v>
      </c>
      <c r="P836">
        <v>1.6</v>
      </c>
      <c r="Q836">
        <v>0.5574912891986062</v>
      </c>
      <c r="R836">
        <v>0</v>
      </c>
      <c r="S836">
        <v>0</v>
      </c>
      <c r="T836" t="s">
        <v>967</v>
      </c>
      <c r="U836">
        <v>-0.035258339064649</v>
      </c>
      <c r="V836" t="s">
        <v>988</v>
      </c>
      <c r="W836" t="s">
        <v>997</v>
      </c>
      <c r="X836">
        <v>44070.09805</v>
      </c>
      <c r="Y836" s="2">
        <v>45059</v>
      </c>
      <c r="Z836" t="s">
        <v>1008</v>
      </c>
    </row>
    <row r="837" spans="1:26">
      <c r="A837" s="1" t="s">
        <v>861</v>
      </c>
      <c r="B837">
        <f>HYPERLINK("https://www.suredividend.com/sure-analysis-AEG/","Aegon N. V.")</f>
        <v>0</v>
      </c>
      <c r="C837" t="s">
        <v>897</v>
      </c>
      <c r="D837">
        <v>4.6</v>
      </c>
      <c r="E837">
        <v>4.86</v>
      </c>
      <c r="F837">
        <v>2.8</v>
      </c>
      <c r="G837">
        <v>1.735714285714286</v>
      </c>
      <c r="H837">
        <v>0.06584362139917695</v>
      </c>
      <c r="I837">
        <v>-0.1044200700714452</v>
      </c>
      <c r="J837">
        <v>0.12</v>
      </c>
      <c r="K837">
        <v>0.06292709994221579</v>
      </c>
      <c r="L837" t="s">
        <v>648</v>
      </c>
      <c r="M837" t="s">
        <v>791</v>
      </c>
      <c r="N837">
        <v>13.88571428571429</v>
      </c>
      <c r="O837">
        <v>0.35</v>
      </c>
      <c r="P837">
        <v>0.32</v>
      </c>
      <c r="Q837">
        <v>0.9142857142857144</v>
      </c>
      <c r="R837">
        <v>3</v>
      </c>
      <c r="S837">
        <v>0.01219872924994259</v>
      </c>
      <c r="T837" t="s">
        <v>914</v>
      </c>
      <c r="U837">
        <v>0.130916368036487</v>
      </c>
      <c r="V837" t="s">
        <v>988</v>
      </c>
      <c r="W837" t="s">
        <v>994</v>
      </c>
      <c r="X837">
        <v>10251.830913</v>
      </c>
      <c r="Y837" s="2">
        <v>45068</v>
      </c>
      <c r="Z837" t="s">
        <v>1007</v>
      </c>
    </row>
    <row r="838" spans="1:26">
      <c r="A838" s="1" t="s">
        <v>862</v>
      </c>
      <c r="B838">
        <f>HYPERLINK("https://www.suredividend.com/sure-analysis-INVH/","Invitation Homes Inc")</f>
        <v>0</v>
      </c>
      <c r="C838" t="s">
        <v>897</v>
      </c>
      <c r="D838">
        <v>34</v>
      </c>
      <c r="E838">
        <v>32.74</v>
      </c>
      <c r="F838">
        <v>26</v>
      </c>
      <c r="G838">
        <v>1.259230769230769</v>
      </c>
      <c r="H838">
        <v>0.03176542455711667</v>
      </c>
      <c r="I838">
        <v>-0.04505373469837048</v>
      </c>
      <c r="J838">
        <v>0.075</v>
      </c>
      <c r="K838">
        <v>0.06091177996545416</v>
      </c>
      <c r="L838" t="s">
        <v>648</v>
      </c>
      <c r="M838" t="s">
        <v>648</v>
      </c>
      <c r="N838">
        <v>22.27210884353742</v>
      </c>
      <c r="O838">
        <v>1.47</v>
      </c>
      <c r="P838">
        <v>1.04</v>
      </c>
      <c r="Q838">
        <v>0.7074829931972789</v>
      </c>
      <c r="R838">
        <v>6</v>
      </c>
      <c r="S838">
        <v>0.08447177119769855</v>
      </c>
      <c r="T838" t="s">
        <v>905</v>
      </c>
      <c r="U838">
        <v>-0.05133071584834</v>
      </c>
      <c r="V838" t="s">
        <v>989</v>
      </c>
      <c r="W838" t="s">
        <v>1001</v>
      </c>
      <c r="X838">
        <v>20034.210315</v>
      </c>
      <c r="Y838" s="2">
        <v>45049</v>
      </c>
      <c r="Z838" t="s">
        <v>1012</v>
      </c>
    </row>
    <row r="839" spans="1:26">
      <c r="A839" s="1" t="s">
        <v>863</v>
      </c>
      <c r="B839">
        <f>HYPERLINK("https://www.suredividend.com/sure-analysis-LWSCF/","Sienna Senior Living Inc")</f>
        <v>0</v>
      </c>
      <c r="C839" t="s">
        <v>897</v>
      </c>
      <c r="D839">
        <v>8.52</v>
      </c>
      <c r="E839">
        <v>8.43</v>
      </c>
      <c r="F839">
        <v>7.81</v>
      </c>
      <c r="G839">
        <v>1.079385403329065</v>
      </c>
      <c r="H839">
        <v>0.0830367734282325</v>
      </c>
      <c r="I839">
        <v>-0.01516223960231933</v>
      </c>
      <c r="J839">
        <v>0</v>
      </c>
      <c r="K839">
        <v>0.0605398846705667</v>
      </c>
      <c r="L839" t="s">
        <v>648</v>
      </c>
      <c r="M839" t="s">
        <v>589</v>
      </c>
      <c r="N839">
        <v>11.87323943661972</v>
      </c>
      <c r="O839">
        <v>0.71</v>
      </c>
      <c r="P839">
        <v>0.7</v>
      </c>
      <c r="Q839">
        <v>0.9859154929577465</v>
      </c>
      <c r="R839">
        <v>0</v>
      </c>
      <c r="S839">
        <v>0</v>
      </c>
      <c r="T839" t="s">
        <v>934</v>
      </c>
      <c r="U839">
        <v>-0.164933135215453</v>
      </c>
      <c r="V839" t="s">
        <v>988</v>
      </c>
      <c r="W839" t="s">
        <v>996</v>
      </c>
      <c r="X839">
        <v>615.113209</v>
      </c>
      <c r="Y839" s="2">
        <v>45068</v>
      </c>
      <c r="Z839" t="s">
        <v>1012</v>
      </c>
    </row>
    <row r="840" spans="1:26">
      <c r="A840" s="1" t="s">
        <v>864</v>
      </c>
      <c r="B840">
        <f>HYPERLINK("https://www.suredividend.com/sure-analysis-SPH/","Suburban Propane Partners LP")</f>
        <v>0</v>
      </c>
      <c r="C840" t="s">
        <v>897</v>
      </c>
      <c r="D840">
        <v>15</v>
      </c>
      <c r="E840">
        <v>14.82</v>
      </c>
      <c r="F840">
        <v>10.5</v>
      </c>
      <c r="G840">
        <v>1.411428571428571</v>
      </c>
      <c r="H840">
        <v>0.08771929824561403</v>
      </c>
      <c r="I840">
        <v>-0.06659909187086932</v>
      </c>
      <c r="J840">
        <v>0.04</v>
      </c>
      <c r="K840">
        <v>0.0584629474335987</v>
      </c>
      <c r="L840" t="s">
        <v>648</v>
      </c>
      <c r="M840" t="s">
        <v>900</v>
      </c>
      <c r="N840">
        <v>7.057142857142857</v>
      </c>
      <c r="O840">
        <v>2.1</v>
      </c>
      <c r="P840">
        <v>1.3</v>
      </c>
      <c r="Q840">
        <v>0.6190476190476191</v>
      </c>
      <c r="R840">
        <v>1</v>
      </c>
      <c r="S840">
        <v>0.02066642298936894</v>
      </c>
      <c r="T840" t="s">
        <v>952</v>
      </c>
      <c r="U840">
        <v>0.047734856625756</v>
      </c>
      <c r="V840" t="s">
        <v>990</v>
      </c>
      <c r="W840" t="s">
        <v>999</v>
      </c>
      <c r="X840">
        <v>941.005148</v>
      </c>
      <c r="Y840" s="2">
        <v>45052</v>
      </c>
      <c r="Z840" t="s">
        <v>1004</v>
      </c>
    </row>
    <row r="841" spans="1:26">
      <c r="A841" s="1" t="s">
        <v>865</v>
      </c>
      <c r="B841">
        <f>HYPERLINK("https://www.suredividend.com/sure-analysis-DRI/","Darden Restaurants, Inc.")</f>
        <v>0</v>
      </c>
      <c r="C841" t="s">
        <v>897</v>
      </c>
      <c r="D841">
        <v>152</v>
      </c>
      <c r="E841">
        <v>161.3</v>
      </c>
      <c r="F841">
        <v>135</v>
      </c>
      <c r="G841">
        <v>1.194814814814815</v>
      </c>
      <c r="H841">
        <v>0.03248605083694978</v>
      </c>
      <c r="I841">
        <v>-0.03497207606205099</v>
      </c>
      <c r="J841">
        <v>0.06</v>
      </c>
      <c r="K841">
        <v>0.05648249343352374</v>
      </c>
      <c r="L841" t="s">
        <v>648</v>
      </c>
      <c r="M841" t="s">
        <v>648</v>
      </c>
      <c r="N841">
        <v>20.28930817610063</v>
      </c>
      <c r="O841">
        <v>7.95</v>
      </c>
      <c r="P841">
        <v>5.24</v>
      </c>
      <c r="Q841">
        <v>0.6591194968553459</v>
      </c>
      <c r="R841">
        <v>3</v>
      </c>
      <c r="S841">
        <v>0.06353466168942368</v>
      </c>
      <c r="T841" t="s">
        <v>909</v>
      </c>
      <c r="U841">
        <v>0.395309407482249</v>
      </c>
      <c r="V841" t="s">
        <v>988</v>
      </c>
      <c r="W841" t="s">
        <v>995</v>
      </c>
      <c r="X841">
        <v>19505.921092</v>
      </c>
      <c r="Y841" s="2">
        <v>45036</v>
      </c>
      <c r="Z841" t="s">
        <v>1011</v>
      </c>
    </row>
    <row r="842" spans="1:26">
      <c r="A842" s="1" t="s">
        <v>866</v>
      </c>
      <c r="B842">
        <f>HYPERLINK("https://www.suredividend.com/sure-analysis-MDV/","Modiv Inc")</f>
        <v>0</v>
      </c>
      <c r="C842" t="s">
        <v>897</v>
      </c>
      <c r="D842">
        <v>14.04</v>
      </c>
      <c r="E842">
        <v>13.01</v>
      </c>
      <c r="F842">
        <v>11.25</v>
      </c>
      <c r="G842">
        <v>1.156444444444444</v>
      </c>
      <c r="H842">
        <v>0.0883935434281322</v>
      </c>
      <c r="I842">
        <v>-0.0286515641417413</v>
      </c>
      <c r="J842">
        <v>0</v>
      </c>
      <c r="K842">
        <v>0.05495594768388323</v>
      </c>
      <c r="L842" t="s">
        <v>648</v>
      </c>
      <c r="M842" t="s">
        <v>589</v>
      </c>
      <c r="N842">
        <v>10.408</v>
      </c>
      <c r="O842">
        <v>1.25</v>
      </c>
      <c r="P842">
        <v>1.15</v>
      </c>
      <c r="Q842">
        <v>0.9199999999999999</v>
      </c>
      <c r="R842">
        <v>0</v>
      </c>
      <c r="S842">
        <v>0</v>
      </c>
      <c r="T842" t="s">
        <v>934</v>
      </c>
      <c r="U842">
        <v>-0.210716300740749</v>
      </c>
      <c r="V842" t="s">
        <v>989</v>
      </c>
      <c r="W842" t="s">
        <v>1001</v>
      </c>
      <c r="X842">
        <v>98.273754</v>
      </c>
      <c r="Y842" s="2">
        <v>45068</v>
      </c>
      <c r="Z842" t="s">
        <v>1012</v>
      </c>
    </row>
    <row r="843" spans="1:26">
      <c r="A843" s="1" t="s">
        <v>867</v>
      </c>
      <c r="B843">
        <f>HYPERLINK("https://www.suredividend.com/sure-analysis-PBA/","Pembina Pipeline Corporation")</f>
        <v>0</v>
      </c>
      <c r="C843" t="s">
        <v>897</v>
      </c>
      <c r="D843">
        <v>32</v>
      </c>
      <c r="E843">
        <v>30.16</v>
      </c>
      <c r="F843">
        <v>25</v>
      </c>
      <c r="G843">
        <v>1.2064</v>
      </c>
      <c r="H843">
        <v>0.0643236074270557</v>
      </c>
      <c r="I843">
        <v>-0.03683268970845188</v>
      </c>
      <c r="J843">
        <v>0.03</v>
      </c>
      <c r="K843">
        <v>0.05200256100353196</v>
      </c>
      <c r="L843" t="s">
        <v>648</v>
      </c>
      <c r="M843" t="s">
        <v>791</v>
      </c>
      <c r="N843">
        <v>14.36190476190476</v>
      </c>
      <c r="O843">
        <v>2.1</v>
      </c>
      <c r="P843">
        <v>1.94</v>
      </c>
      <c r="Q843">
        <v>0.9238095238095237</v>
      </c>
      <c r="R843">
        <v>0</v>
      </c>
      <c r="S843">
        <v>0.006110434499387196</v>
      </c>
      <c r="T843" t="s">
        <v>916</v>
      </c>
      <c r="U843">
        <v>-0.068313387743502</v>
      </c>
      <c r="V843" t="s">
        <v>988</v>
      </c>
      <c r="W843" t="s">
        <v>1002</v>
      </c>
      <c r="X843">
        <v>16599.586808</v>
      </c>
      <c r="Y843" s="2">
        <v>45063</v>
      </c>
      <c r="Z843" t="s">
        <v>1007</v>
      </c>
    </row>
    <row r="844" spans="1:26">
      <c r="A844" s="1" t="s">
        <v>868</v>
      </c>
      <c r="B844">
        <f>HYPERLINK("https://www.suredividend.com/sure-analysis-RTL/","Necessity Retail REIT Inc (The)")</f>
        <v>0</v>
      </c>
      <c r="C844" t="s">
        <v>896</v>
      </c>
      <c r="D844">
        <v>4.75</v>
      </c>
      <c r="E844">
        <v>6.25</v>
      </c>
      <c r="F844">
        <v>5.36</v>
      </c>
      <c r="G844">
        <v>1.166044776119403</v>
      </c>
      <c r="H844">
        <v>0.136</v>
      </c>
      <c r="I844">
        <v>-0.03025632766701558</v>
      </c>
      <c r="J844">
        <v>-0.03</v>
      </c>
      <c r="K844">
        <v>0.05152696988756755</v>
      </c>
      <c r="L844" t="s">
        <v>648</v>
      </c>
      <c r="M844" t="s">
        <v>589</v>
      </c>
      <c r="N844">
        <v>6.648936170212767</v>
      </c>
      <c r="O844">
        <v>0.9399999999999999</v>
      </c>
      <c r="P844">
        <v>0.85</v>
      </c>
      <c r="Q844">
        <v>0.9042553191489362</v>
      </c>
      <c r="R844">
        <v>0</v>
      </c>
      <c r="S844">
        <v>-0.07042032978800283</v>
      </c>
      <c r="T844" t="s">
        <v>949</v>
      </c>
      <c r="U844">
        <v>0.005421231279056001</v>
      </c>
      <c r="V844" t="s">
        <v>989</v>
      </c>
      <c r="W844" t="s">
        <v>1001</v>
      </c>
      <c r="X844">
        <v>838.694481</v>
      </c>
      <c r="Y844" s="2">
        <v>45061</v>
      </c>
      <c r="Z844" t="s">
        <v>1012</v>
      </c>
    </row>
    <row r="845" spans="1:26">
      <c r="A845" s="1" t="s">
        <v>869</v>
      </c>
      <c r="B845">
        <f>HYPERLINK("https://www.suredividend.com/sure-analysis-EIFZF/","Exchange Income Corp")</f>
        <v>0</v>
      </c>
      <c r="C845" t="s">
        <v>897</v>
      </c>
      <c r="D845">
        <v>39</v>
      </c>
      <c r="E845">
        <v>39.25</v>
      </c>
      <c r="F845">
        <v>35</v>
      </c>
      <c r="G845">
        <v>1.121428571428571</v>
      </c>
      <c r="H845">
        <v>0.04713375796178344</v>
      </c>
      <c r="I845">
        <v>-0.02265999331815349</v>
      </c>
      <c r="J845">
        <v>0.03</v>
      </c>
      <c r="K845">
        <v>0.05122589500271046</v>
      </c>
      <c r="L845" t="s">
        <v>648</v>
      </c>
      <c r="M845" t="s">
        <v>791</v>
      </c>
      <c r="N845">
        <v>14.53703703703704</v>
      </c>
      <c r="O845">
        <v>2.7</v>
      </c>
      <c r="P845">
        <v>1.85</v>
      </c>
      <c r="Q845">
        <v>0.6851851851851851</v>
      </c>
      <c r="R845">
        <v>2</v>
      </c>
      <c r="S845">
        <v>0.01974524240586417</v>
      </c>
      <c r="T845" t="s">
        <v>934</v>
      </c>
      <c r="U845">
        <v>0.207692307692307</v>
      </c>
      <c r="V845" t="s">
        <v>988</v>
      </c>
      <c r="W845" t="s">
        <v>993</v>
      </c>
      <c r="X845">
        <v>1822.955535</v>
      </c>
      <c r="Y845" s="2">
        <v>45061</v>
      </c>
      <c r="Z845" t="s">
        <v>1012</v>
      </c>
    </row>
    <row r="846" spans="1:26">
      <c r="A846" s="1" t="s">
        <v>870</v>
      </c>
      <c r="B846">
        <f>HYPERLINK("https://www.suredividend.com/sure-analysis-APAM/","Artisan Partners Asset Management Inc")</f>
        <v>0</v>
      </c>
      <c r="C846" t="s">
        <v>897</v>
      </c>
      <c r="D846">
        <v>32</v>
      </c>
      <c r="E846">
        <v>36.25</v>
      </c>
      <c r="F846">
        <v>32</v>
      </c>
      <c r="G846">
        <v>1.1328125</v>
      </c>
      <c r="H846">
        <v>0.05517241379310345</v>
      </c>
      <c r="I846">
        <v>-0.02463224618512183</v>
      </c>
      <c r="J846">
        <v>0.02</v>
      </c>
      <c r="K846">
        <v>0.04857538793081084</v>
      </c>
      <c r="L846" t="s">
        <v>648</v>
      </c>
      <c r="M846" t="s">
        <v>791</v>
      </c>
      <c r="N846">
        <v>12.5</v>
      </c>
      <c r="O846">
        <v>2.9</v>
      </c>
      <c r="P846">
        <v>2</v>
      </c>
      <c r="Q846">
        <v>0.6896551724137931</v>
      </c>
      <c r="R846">
        <v>0</v>
      </c>
      <c r="S846">
        <v>0.02016978262061087</v>
      </c>
      <c r="T846" t="s">
        <v>922</v>
      </c>
      <c r="U846">
        <v>0.016425435030086</v>
      </c>
      <c r="V846" t="s">
        <v>988</v>
      </c>
      <c r="W846" t="s">
        <v>994</v>
      </c>
      <c r="X846">
        <v>2481.495055</v>
      </c>
      <c r="Y846" s="2">
        <v>45051</v>
      </c>
      <c r="Z846" t="s">
        <v>1004</v>
      </c>
    </row>
    <row r="847" spans="1:26">
      <c r="A847" s="1" t="s">
        <v>871</v>
      </c>
      <c r="B847">
        <f>HYPERLINK("https://www.suredividend.com/sure-analysis-KIM/","Kimco Realty Corporation")</f>
        <v>0</v>
      </c>
      <c r="C847" t="s">
        <v>897</v>
      </c>
      <c r="D847">
        <v>18.3</v>
      </c>
      <c r="E847">
        <v>18.42</v>
      </c>
      <c r="F847">
        <v>15.7</v>
      </c>
      <c r="G847">
        <v>1.173248407643312</v>
      </c>
      <c r="H847">
        <v>0.04994571118349619</v>
      </c>
      <c r="I847">
        <v>-0.03145008954537643</v>
      </c>
      <c r="J847">
        <v>0.028</v>
      </c>
      <c r="K847">
        <v>0.04832643978172202</v>
      </c>
      <c r="L847" t="s">
        <v>648</v>
      </c>
      <c r="M847" t="s">
        <v>791</v>
      </c>
      <c r="N847">
        <v>11.73248407643312</v>
      </c>
      <c r="O847">
        <v>1.57</v>
      </c>
      <c r="P847">
        <v>0.92</v>
      </c>
      <c r="Q847">
        <v>0.5859872611464968</v>
      </c>
      <c r="R847">
        <v>2</v>
      </c>
      <c r="S847">
        <v>0.04745176373283</v>
      </c>
      <c r="T847" t="s">
        <v>951</v>
      </c>
      <c r="U847">
        <v>-0.111749785411864</v>
      </c>
      <c r="V847" t="s">
        <v>989</v>
      </c>
      <c r="W847" t="s">
        <v>1001</v>
      </c>
      <c r="X847">
        <v>11418.407122</v>
      </c>
      <c r="Y847" s="2">
        <v>45063</v>
      </c>
      <c r="Z847" t="s">
        <v>1013</v>
      </c>
    </row>
    <row r="848" spans="1:26">
      <c r="A848" s="1" t="s">
        <v>872</v>
      </c>
      <c r="B848">
        <f>HYPERLINK("https://www.suredividend.com/sure-analysis-BHP/","BHP Group Limited")</f>
        <v>0</v>
      </c>
      <c r="C848" t="s">
        <v>897</v>
      </c>
      <c r="D848">
        <v>59</v>
      </c>
      <c r="E848">
        <v>59.31</v>
      </c>
      <c r="F848">
        <v>71</v>
      </c>
      <c r="G848">
        <v>0.8353521126760564</v>
      </c>
      <c r="H848">
        <v>0.06069802731411229</v>
      </c>
      <c r="I848">
        <v>0.036635518115957</v>
      </c>
      <c r="J848">
        <v>-0.04</v>
      </c>
      <c r="K848">
        <v>0.04714468806316718</v>
      </c>
      <c r="L848" t="s">
        <v>648</v>
      </c>
      <c r="M848" t="s">
        <v>589</v>
      </c>
      <c r="N848">
        <v>11.62941176470588</v>
      </c>
      <c r="O848">
        <v>5.1</v>
      </c>
      <c r="P848">
        <v>3.6</v>
      </c>
      <c r="Q848">
        <v>0.7058823529411765</v>
      </c>
      <c r="R848">
        <v>2</v>
      </c>
      <c r="S848">
        <v>-0.02328131613882611</v>
      </c>
      <c r="T848" t="s">
        <v>963</v>
      </c>
      <c r="U848">
        <v>0.157753984598417</v>
      </c>
      <c r="V848" t="s">
        <v>988</v>
      </c>
      <c r="W848" t="s">
        <v>992</v>
      </c>
      <c r="X848">
        <v>150226.908588</v>
      </c>
      <c r="Y848" s="2">
        <v>45069</v>
      </c>
      <c r="Z848" t="s">
        <v>1007</v>
      </c>
    </row>
    <row r="849" spans="1:26">
      <c r="A849" s="1" t="s">
        <v>873</v>
      </c>
      <c r="B849">
        <f>HYPERLINK("https://www.suredividend.com/sure-analysis-GPS/","Gap, Inc.")</f>
        <v>0</v>
      </c>
      <c r="C849" t="s">
        <v>897</v>
      </c>
      <c r="D849">
        <v>8.699999999999999</v>
      </c>
      <c r="E849">
        <v>8.69</v>
      </c>
      <c r="F849">
        <v>6.2</v>
      </c>
      <c r="G849">
        <v>1.401612903225806</v>
      </c>
      <c r="H849">
        <v>0.06904487917146145</v>
      </c>
      <c r="I849">
        <v>-0.06529539439615206</v>
      </c>
      <c r="J849">
        <v>0.05</v>
      </c>
      <c r="K849">
        <v>0.04660894809125726</v>
      </c>
      <c r="L849" t="s">
        <v>648</v>
      </c>
      <c r="M849" t="s">
        <v>791</v>
      </c>
      <c r="N849">
        <v>14.01612903225806</v>
      </c>
      <c r="O849">
        <v>0.62</v>
      </c>
      <c r="P849">
        <v>0.6</v>
      </c>
      <c r="Q849">
        <v>0.9677419354838709</v>
      </c>
      <c r="R849">
        <v>1</v>
      </c>
      <c r="S849">
        <v>0</v>
      </c>
      <c r="T849" t="s">
        <v>959</v>
      </c>
      <c r="U849">
        <v>-0.051196104335673</v>
      </c>
      <c r="V849" t="s">
        <v>988</v>
      </c>
      <c r="W849" t="s">
        <v>995</v>
      </c>
      <c r="X849">
        <v>3198.412332</v>
      </c>
      <c r="Y849" s="2">
        <v>45085</v>
      </c>
      <c r="Z849" t="s">
        <v>1011</v>
      </c>
    </row>
    <row r="850" spans="1:26">
      <c r="A850" s="1" t="s">
        <v>874</v>
      </c>
      <c r="B850">
        <f>HYPERLINK("https://www.suredividend.com/sure-analysis-IPAR/","Inter Parfums, Inc.")</f>
        <v>0</v>
      </c>
      <c r="C850" t="s">
        <v>897</v>
      </c>
      <c r="D850">
        <v>136</v>
      </c>
      <c r="E850">
        <v>134</v>
      </c>
      <c r="F850">
        <v>120</v>
      </c>
      <c r="G850">
        <v>1.116666666666667</v>
      </c>
      <c r="H850">
        <v>0.01865671641791045</v>
      </c>
      <c r="I850">
        <v>-0.02182785928402675</v>
      </c>
      <c r="J850">
        <v>0.05</v>
      </c>
      <c r="K850">
        <v>0.04583498245578532</v>
      </c>
      <c r="L850" t="s">
        <v>648</v>
      </c>
      <c r="M850" t="s">
        <v>648</v>
      </c>
      <c r="N850">
        <v>33.5</v>
      </c>
      <c r="O850">
        <v>4</v>
      </c>
      <c r="P850">
        <v>2.5</v>
      </c>
      <c r="Q850">
        <v>0.625</v>
      </c>
      <c r="R850">
        <v>3</v>
      </c>
      <c r="S850">
        <v>0.04995366747811136</v>
      </c>
      <c r="T850" t="s">
        <v>916</v>
      </c>
      <c r="U850">
        <v>0.8648952944794921</v>
      </c>
      <c r="V850" t="s">
        <v>988</v>
      </c>
      <c r="W850" t="s">
        <v>995</v>
      </c>
      <c r="X850">
        <v>4289.34</v>
      </c>
      <c r="Y850" s="2">
        <v>45062</v>
      </c>
      <c r="Z850" t="s">
        <v>1015</v>
      </c>
    </row>
    <row r="851" spans="1:26">
      <c r="A851" s="1" t="s">
        <v>875</v>
      </c>
      <c r="B851">
        <f>HYPERLINK("https://www.suredividend.com/sure-analysis-HUN/","Huntsman Corp")</f>
        <v>0</v>
      </c>
      <c r="C851" t="s">
        <v>897</v>
      </c>
      <c r="D851">
        <v>25</v>
      </c>
      <c r="E851">
        <v>25.4</v>
      </c>
      <c r="F851">
        <v>20</v>
      </c>
      <c r="G851">
        <v>1.27</v>
      </c>
      <c r="H851">
        <v>0.03740157480314961</v>
      </c>
      <c r="I851">
        <v>-0.04667878942197823</v>
      </c>
      <c r="J851">
        <v>0.05</v>
      </c>
      <c r="K851">
        <v>0.0419816506434576</v>
      </c>
      <c r="L851" t="s">
        <v>648</v>
      </c>
      <c r="M851" t="s">
        <v>791</v>
      </c>
      <c r="N851">
        <v>16.93333333333333</v>
      </c>
      <c r="O851">
        <v>1.5</v>
      </c>
      <c r="P851">
        <v>0.95</v>
      </c>
      <c r="Q851">
        <v>0.6333333333333333</v>
      </c>
      <c r="R851">
        <v>3</v>
      </c>
      <c r="S851">
        <v>0.059780741378197</v>
      </c>
      <c r="T851" t="s">
        <v>916</v>
      </c>
      <c r="U851">
        <v>-0.07988350021010501</v>
      </c>
      <c r="V851" t="s">
        <v>988</v>
      </c>
      <c r="W851" t="s">
        <v>992</v>
      </c>
      <c r="X851">
        <v>4602.060621</v>
      </c>
      <c r="Y851" s="2">
        <v>45059</v>
      </c>
      <c r="Z851" t="s">
        <v>1012</v>
      </c>
    </row>
    <row r="852" spans="1:26">
      <c r="A852" s="1" t="s">
        <v>876</v>
      </c>
      <c r="B852">
        <f>HYPERLINK("https://www.suredividend.com/sure-analysis-SGU/","Star Group L.P.")</f>
        <v>0</v>
      </c>
      <c r="C852" t="s">
        <v>898</v>
      </c>
      <c r="D852">
        <v>14</v>
      </c>
      <c r="E852">
        <v>13.69</v>
      </c>
      <c r="F852">
        <v>10</v>
      </c>
      <c r="G852">
        <v>1.369</v>
      </c>
      <c r="H852">
        <v>0.04747991234477721</v>
      </c>
      <c r="I852">
        <v>-0.06088384742531983</v>
      </c>
      <c r="J852">
        <v>0.05</v>
      </c>
      <c r="K852">
        <v>0.03706024929825236</v>
      </c>
      <c r="L852" t="s">
        <v>648</v>
      </c>
      <c r="M852" t="s">
        <v>791</v>
      </c>
      <c r="N852">
        <v>15.21111111111111</v>
      </c>
      <c r="O852">
        <v>0.9</v>
      </c>
      <c r="P852">
        <v>0.65</v>
      </c>
      <c r="Q852">
        <v>0.7222222222222222</v>
      </c>
      <c r="R852">
        <v>10</v>
      </c>
      <c r="S852">
        <v>0.03978308212039239</v>
      </c>
      <c r="T852" t="s">
        <v>944</v>
      </c>
      <c r="U852">
        <v>0.5745043014215391</v>
      </c>
      <c r="V852" t="s">
        <v>990</v>
      </c>
      <c r="W852" t="s">
        <v>1002</v>
      </c>
      <c r="X852">
        <v>487.398937</v>
      </c>
      <c r="Y852" s="2">
        <v>45057</v>
      </c>
      <c r="Z852" t="s">
        <v>1005</v>
      </c>
    </row>
    <row r="853" spans="1:26">
      <c r="A853" s="1" t="s">
        <v>877</v>
      </c>
      <c r="B853">
        <f>HYPERLINK("https://www.suredividend.com/sure-analysis-GIPR/","Generation Income Properties Inc")</f>
        <v>0</v>
      </c>
      <c r="C853" t="s">
        <v>898</v>
      </c>
      <c r="D853">
        <v>4.62</v>
      </c>
      <c r="E853">
        <v>3.9699</v>
      </c>
      <c r="F853">
        <v>3</v>
      </c>
      <c r="G853">
        <v>1.3233</v>
      </c>
      <c r="H853">
        <v>0.1183908914582231</v>
      </c>
      <c r="I853">
        <v>-0.05448518623977305</v>
      </c>
      <c r="J853">
        <v>0</v>
      </c>
      <c r="K853">
        <v>0.03613118915915448</v>
      </c>
      <c r="L853" t="s">
        <v>648</v>
      </c>
      <c r="M853" t="s">
        <v>589</v>
      </c>
      <c r="N853">
        <v>13.233</v>
      </c>
      <c r="O853">
        <v>0.3</v>
      </c>
      <c r="P853">
        <v>0.47</v>
      </c>
      <c r="Q853">
        <v>1.566666666666667</v>
      </c>
      <c r="R853">
        <v>0</v>
      </c>
      <c r="S853">
        <v>-0.09840387872029777</v>
      </c>
      <c r="T853" t="s">
        <v>916</v>
      </c>
      <c r="U853">
        <v>-0.283812307192726</v>
      </c>
      <c r="V853" t="s">
        <v>989</v>
      </c>
      <c r="W853" t="s">
        <v>1001</v>
      </c>
      <c r="X853">
        <v>10.384691</v>
      </c>
      <c r="Y853" s="2">
        <v>45062</v>
      </c>
      <c r="Z853" t="s">
        <v>1012</v>
      </c>
    </row>
    <row r="854" spans="1:26">
      <c r="A854" s="1" t="s">
        <v>878</v>
      </c>
      <c r="B854">
        <f>HYPERLINK("https://www.suredividend.com/sure-analysis-PETS/","Petmed Express, Inc.")</f>
        <v>0</v>
      </c>
      <c r="C854" t="s">
        <v>898</v>
      </c>
      <c r="D854">
        <v>16</v>
      </c>
      <c r="E854">
        <v>13.74</v>
      </c>
      <c r="F854">
        <v>11</v>
      </c>
      <c r="G854">
        <v>1.249090909090909</v>
      </c>
      <c r="H854">
        <v>0.08733624454148471</v>
      </c>
      <c r="I854">
        <v>-0.04350833365869855</v>
      </c>
      <c r="J854">
        <v>0.05</v>
      </c>
      <c r="K854">
        <v>0.03551498807163012</v>
      </c>
      <c r="L854" t="s">
        <v>648</v>
      </c>
      <c r="M854" t="s">
        <v>791</v>
      </c>
      <c r="N854">
        <v>20.81818181818182</v>
      </c>
      <c r="O854">
        <v>0.66</v>
      </c>
      <c r="P854">
        <v>1.2</v>
      </c>
      <c r="Q854">
        <v>1.818181818181818</v>
      </c>
      <c r="R854">
        <v>13</v>
      </c>
      <c r="S854">
        <v>-0.3011728812284208</v>
      </c>
      <c r="T854" t="s">
        <v>967</v>
      </c>
      <c r="U854">
        <v>-0.340497938456074</v>
      </c>
      <c r="V854" t="s">
        <v>988</v>
      </c>
      <c r="W854" t="s">
        <v>996</v>
      </c>
      <c r="X854">
        <v>290.921513</v>
      </c>
      <c r="Y854" s="2">
        <v>45071</v>
      </c>
      <c r="Z854" t="s">
        <v>1011</v>
      </c>
    </row>
    <row r="855" spans="1:26">
      <c r="A855" s="1" t="s">
        <v>879</v>
      </c>
      <c r="B855">
        <f>HYPERLINK("https://www.suredividend.com/sure-analysis-DOW/","Dow Inc")</f>
        <v>0</v>
      </c>
      <c r="C855" t="s">
        <v>898</v>
      </c>
      <c r="D855">
        <v>54</v>
      </c>
      <c r="E855">
        <v>51.36</v>
      </c>
      <c r="F855">
        <v>35</v>
      </c>
      <c r="G855">
        <v>1.467428571428571</v>
      </c>
      <c r="H855">
        <v>0.05451713395638629</v>
      </c>
      <c r="I855">
        <v>-0.07383448608427901</v>
      </c>
      <c r="J855">
        <v>0.06</v>
      </c>
      <c r="K855">
        <v>0.03445078400480295</v>
      </c>
      <c r="L855" t="s">
        <v>648</v>
      </c>
      <c r="M855" t="s">
        <v>791</v>
      </c>
      <c r="N855">
        <v>16.05</v>
      </c>
      <c r="O855">
        <v>3.2</v>
      </c>
      <c r="P855">
        <v>2.8</v>
      </c>
      <c r="Q855">
        <v>0.8749999999999999</v>
      </c>
      <c r="R855">
        <v>0</v>
      </c>
      <c r="S855">
        <v>0</v>
      </c>
      <c r="T855" t="s">
        <v>934</v>
      </c>
      <c r="U855">
        <v>0.005326114402823</v>
      </c>
      <c r="V855" t="s">
        <v>988</v>
      </c>
      <c r="W855" t="s">
        <v>992</v>
      </c>
      <c r="X855">
        <v>36327.688488</v>
      </c>
      <c r="Y855" s="2">
        <v>45045</v>
      </c>
      <c r="Z855" t="s">
        <v>1004</v>
      </c>
    </row>
    <row r="856" spans="1:26">
      <c r="A856" s="1" t="s">
        <v>880</v>
      </c>
      <c r="B856">
        <f>HYPERLINK("https://www.suredividend.com/sure-analysis-DX/","Dynex Capital, Inc.")</f>
        <v>0</v>
      </c>
      <c r="C856" t="s">
        <v>897</v>
      </c>
      <c r="D856">
        <v>11</v>
      </c>
      <c r="E856">
        <v>12.06</v>
      </c>
      <c r="F856">
        <v>9.1</v>
      </c>
      <c r="G856">
        <v>1.325274725274725</v>
      </c>
      <c r="H856">
        <v>0.1293532338308458</v>
      </c>
      <c r="I856">
        <v>-0.05476712715489296</v>
      </c>
      <c r="J856">
        <v>-0.026</v>
      </c>
      <c r="K856">
        <v>0.03024774550031673</v>
      </c>
      <c r="L856" t="s">
        <v>648</v>
      </c>
      <c r="M856" t="s">
        <v>589</v>
      </c>
      <c r="N856">
        <v>10.57894736842105</v>
      </c>
      <c r="O856">
        <v>1.14</v>
      </c>
      <c r="P856">
        <v>1.56</v>
      </c>
      <c r="Q856">
        <v>1.368421052631579</v>
      </c>
      <c r="R856">
        <v>0</v>
      </c>
      <c r="S856">
        <v>-0.08509693961379805</v>
      </c>
      <c r="T856" t="s">
        <v>940</v>
      </c>
      <c r="U856">
        <v>-0.152994718507697</v>
      </c>
      <c r="V856" t="s">
        <v>989</v>
      </c>
      <c r="W856" t="s">
        <v>1001</v>
      </c>
      <c r="X856">
        <v>652.608979</v>
      </c>
      <c r="Y856" s="2">
        <v>45062</v>
      </c>
      <c r="Z856" t="s">
        <v>1013</v>
      </c>
    </row>
    <row r="857" spans="1:26">
      <c r="A857" s="1" t="s">
        <v>881</v>
      </c>
      <c r="B857">
        <f>HYPERLINK("https://www.suredividend.com/sure-analysis-WELL/","Welltower Inc.")</f>
        <v>0</v>
      </c>
      <c r="C857" t="s">
        <v>898</v>
      </c>
      <c r="D857">
        <v>77</v>
      </c>
      <c r="E857">
        <v>76.28</v>
      </c>
      <c r="F857">
        <v>55</v>
      </c>
      <c r="G857">
        <v>1.386909090909091</v>
      </c>
      <c r="H857">
        <v>0.03198741478762454</v>
      </c>
      <c r="I857">
        <v>-0.06332182516755713</v>
      </c>
      <c r="J857">
        <v>0.06</v>
      </c>
      <c r="K857">
        <v>0.02945411708013101</v>
      </c>
      <c r="L857" t="s">
        <v>648</v>
      </c>
      <c r="M857" t="s">
        <v>648</v>
      </c>
      <c r="N857">
        <v>22.04624277456648</v>
      </c>
      <c r="O857">
        <v>3.46</v>
      </c>
      <c r="P857">
        <v>2.44</v>
      </c>
      <c r="Q857">
        <v>0.7052023121387283</v>
      </c>
      <c r="R857">
        <v>0</v>
      </c>
      <c r="S857">
        <v>0.06030689427453173</v>
      </c>
      <c r="T857" t="s">
        <v>954</v>
      </c>
      <c r="U857">
        <v>-0.05462666552646801</v>
      </c>
      <c r="V857" t="s">
        <v>989</v>
      </c>
      <c r="W857" t="s">
        <v>1001</v>
      </c>
      <c r="X857">
        <v>37913.536961</v>
      </c>
      <c r="Y857" s="2">
        <v>45069</v>
      </c>
      <c r="Z857" t="s">
        <v>1018</v>
      </c>
    </row>
    <row r="858" spans="1:26">
      <c r="A858" s="1" t="s">
        <v>882</v>
      </c>
      <c r="B858">
        <f>HYPERLINK("https://www.suredividend.com/sure-analysis-IRM/","Iron Mountain Inc.")</f>
        <v>0</v>
      </c>
      <c r="C858" t="s">
        <v>897</v>
      </c>
      <c r="D858">
        <v>53</v>
      </c>
      <c r="E858">
        <v>53.97</v>
      </c>
      <c r="F858">
        <v>43</v>
      </c>
      <c r="G858">
        <v>1.255116279069767</v>
      </c>
      <c r="H858">
        <v>0.04576616638873449</v>
      </c>
      <c r="I858">
        <v>-0.04442845797199757</v>
      </c>
      <c r="J858">
        <v>0.03</v>
      </c>
      <c r="K858">
        <v>0.02878801656400753</v>
      </c>
      <c r="L858" t="s">
        <v>648</v>
      </c>
      <c r="M858" t="s">
        <v>791</v>
      </c>
      <c r="N858">
        <v>13.66329113924051</v>
      </c>
      <c r="O858">
        <v>3.95</v>
      </c>
      <c r="P858">
        <v>2.47</v>
      </c>
      <c r="Q858">
        <v>0.6253164556962025</v>
      </c>
      <c r="R858">
        <v>0</v>
      </c>
      <c r="S858">
        <v>0</v>
      </c>
      <c r="T858" t="s">
        <v>916</v>
      </c>
      <c r="U858">
        <v>0.141859727070771</v>
      </c>
      <c r="V858" t="s">
        <v>989</v>
      </c>
      <c r="W858" t="s">
        <v>1001</v>
      </c>
      <c r="X858">
        <v>15738.907882</v>
      </c>
      <c r="Y858" s="2">
        <v>45077</v>
      </c>
      <c r="Z858" t="s">
        <v>1008</v>
      </c>
    </row>
    <row r="859" spans="1:26">
      <c r="A859" s="1" t="s">
        <v>883</v>
      </c>
      <c r="B859">
        <f>HYPERLINK("https://www.suredividend.com/sure-analysis-KRO/","Kronos Worldwide, Inc.")</f>
        <v>0</v>
      </c>
      <c r="C859" t="s">
        <v>897</v>
      </c>
      <c r="D859">
        <v>9</v>
      </c>
      <c r="E859">
        <v>8.619999999999999</v>
      </c>
      <c r="F859">
        <v>6</v>
      </c>
      <c r="G859">
        <v>1.436666666666667</v>
      </c>
      <c r="H859">
        <v>0.08816705336426915</v>
      </c>
      <c r="I859">
        <v>-0.06990181495425274</v>
      </c>
      <c r="J859">
        <v>0</v>
      </c>
      <c r="K859">
        <v>0.02599149803657497</v>
      </c>
      <c r="L859" t="s">
        <v>648</v>
      </c>
      <c r="M859" t="s">
        <v>791</v>
      </c>
      <c r="N859">
        <v>57.46666666666666</v>
      </c>
      <c r="O859">
        <v>0.15</v>
      </c>
      <c r="P859">
        <v>0.76</v>
      </c>
      <c r="Q859">
        <v>5.066666666666667</v>
      </c>
      <c r="R859">
        <v>1</v>
      </c>
      <c r="S859">
        <v>0</v>
      </c>
      <c r="T859" t="s">
        <v>918</v>
      </c>
      <c r="U859">
        <v>-0.508352868036662</v>
      </c>
      <c r="V859" t="s">
        <v>988</v>
      </c>
      <c r="W859" t="s">
        <v>993</v>
      </c>
      <c r="X859">
        <v>991.798374</v>
      </c>
      <c r="Y859" s="2">
        <v>45081</v>
      </c>
      <c r="Z859" t="s">
        <v>1014</v>
      </c>
    </row>
    <row r="860" spans="1:26">
      <c r="A860" s="1" t="s">
        <v>884</v>
      </c>
      <c r="B860">
        <f>HYPERLINK("https://www.suredividend.com/sure-analysis-WFG/","West Fraser Timber Co., Ltd.")</f>
        <v>0</v>
      </c>
      <c r="C860" t="s">
        <v>897</v>
      </c>
      <c r="D860">
        <v>76</v>
      </c>
      <c r="E860">
        <v>81.13</v>
      </c>
      <c r="F860">
        <v>6</v>
      </c>
      <c r="G860">
        <v>13.52166666666667</v>
      </c>
      <c r="H860">
        <v>0.01479107605078269</v>
      </c>
      <c r="I860">
        <v>-0.4059897283540679</v>
      </c>
      <c r="J860">
        <v>0.7</v>
      </c>
      <c r="K860">
        <v>0.02579881245722238</v>
      </c>
      <c r="L860" t="s">
        <v>648</v>
      </c>
      <c r="M860" t="s">
        <v>648</v>
      </c>
      <c r="N860">
        <v>162.26</v>
      </c>
      <c r="O860">
        <v>0.5</v>
      </c>
      <c r="P860">
        <v>1.2</v>
      </c>
      <c r="Q860">
        <v>2.4</v>
      </c>
      <c r="R860">
        <v>7</v>
      </c>
      <c r="S860">
        <v>0.04978904632428516</v>
      </c>
      <c r="T860" t="s">
        <v>933</v>
      </c>
      <c r="U860">
        <v>0.08471557802919401</v>
      </c>
      <c r="V860" t="s">
        <v>988</v>
      </c>
      <c r="W860" t="s">
        <v>993</v>
      </c>
      <c r="X860">
        <v>6593.7855</v>
      </c>
      <c r="Y860" s="2">
        <v>45064</v>
      </c>
      <c r="Z860" t="s">
        <v>1005</v>
      </c>
    </row>
    <row r="861" spans="1:26">
      <c r="A861" s="1" t="s">
        <v>885</v>
      </c>
      <c r="B861">
        <f>HYPERLINK("https://www.suredividend.com/sure-analysis-CWH/","Camping World Holdings Inc")</f>
        <v>0</v>
      </c>
      <c r="C861" t="s">
        <v>897</v>
      </c>
      <c r="D861">
        <v>23.43</v>
      </c>
      <c r="E861">
        <v>27.62</v>
      </c>
      <c r="F861">
        <v>13.5</v>
      </c>
      <c r="G861">
        <v>2.045925925925926</v>
      </c>
      <c r="H861">
        <v>0.09051412020275162</v>
      </c>
      <c r="I861">
        <v>-0.1333933469398275</v>
      </c>
      <c r="J861">
        <v>0.08</v>
      </c>
      <c r="K861">
        <v>0.02048311198346409</v>
      </c>
      <c r="L861" t="s">
        <v>648</v>
      </c>
      <c r="M861" t="s">
        <v>589</v>
      </c>
      <c r="N861">
        <v>15.34444444444444</v>
      </c>
      <c r="O861">
        <v>1.8</v>
      </c>
      <c r="P861">
        <v>2.5</v>
      </c>
      <c r="Q861">
        <v>1.388888888888889</v>
      </c>
      <c r="R861">
        <v>3</v>
      </c>
      <c r="S861">
        <v>-0.05043770796681324</v>
      </c>
      <c r="T861" t="s">
        <v>932</v>
      </c>
      <c r="U861">
        <v>0.294525684289463</v>
      </c>
      <c r="V861" t="s">
        <v>988</v>
      </c>
      <c r="W861" t="s">
        <v>995</v>
      </c>
      <c r="X861">
        <v>1229.09</v>
      </c>
      <c r="Y861" s="2">
        <v>45056</v>
      </c>
      <c r="Z861" t="s">
        <v>1012</v>
      </c>
    </row>
    <row r="862" spans="1:26">
      <c r="A862" s="1" t="s">
        <v>886</v>
      </c>
      <c r="B862">
        <f>HYPERLINK("https://www.suredividend.com/sure-analysis-KALU/","Kaiser Aluminum Corp")</f>
        <v>0</v>
      </c>
      <c r="C862" t="s">
        <v>898</v>
      </c>
      <c r="D862">
        <v>63</v>
      </c>
      <c r="E862">
        <v>68.51000000000001</v>
      </c>
      <c r="F862">
        <v>55</v>
      </c>
      <c r="G862">
        <v>1.245636363636364</v>
      </c>
      <c r="H862">
        <v>0.04495694059261422</v>
      </c>
      <c r="I862">
        <v>-0.04297839014793081</v>
      </c>
      <c r="J862">
        <v>0</v>
      </c>
      <c r="K862">
        <v>0.0109872073102808</v>
      </c>
      <c r="L862" t="s">
        <v>648</v>
      </c>
      <c r="M862" t="s">
        <v>791</v>
      </c>
      <c r="N862">
        <v>16.31190476190476</v>
      </c>
      <c r="O862">
        <v>4.2</v>
      </c>
      <c r="P862">
        <v>3.08</v>
      </c>
      <c r="Q862">
        <v>0.7333333333333333</v>
      </c>
      <c r="R862">
        <v>11</v>
      </c>
      <c r="S862">
        <v>0.04015032772751037</v>
      </c>
      <c r="T862" t="s">
        <v>960</v>
      </c>
      <c r="U862">
        <v>-0.06397129748798301</v>
      </c>
      <c r="V862" t="s">
        <v>988</v>
      </c>
      <c r="W862" t="s">
        <v>992</v>
      </c>
      <c r="X862">
        <v>1094.609961</v>
      </c>
      <c r="Y862" s="2">
        <v>45043</v>
      </c>
      <c r="Z862" t="s">
        <v>1012</v>
      </c>
    </row>
    <row r="863" spans="1:26">
      <c r="A863" s="1" t="s">
        <v>887</v>
      </c>
      <c r="B863">
        <f>HYPERLINK("https://www.suredividend.com/sure-analysis-EXC/","Exelon Corp.")</f>
        <v>0</v>
      </c>
      <c r="C863" t="s">
        <v>898</v>
      </c>
      <c r="D863">
        <v>39</v>
      </c>
      <c r="E863">
        <v>39.87</v>
      </c>
      <c r="F863">
        <v>28</v>
      </c>
      <c r="G863">
        <v>1.423928571428571</v>
      </c>
      <c r="H863">
        <v>0.03611738148984199</v>
      </c>
      <c r="I863">
        <v>-0.06824365440761226</v>
      </c>
      <c r="J863">
        <v>0.02</v>
      </c>
      <c r="K863">
        <v>-0.006668131029404889</v>
      </c>
      <c r="L863" t="s">
        <v>648</v>
      </c>
      <c r="M863" t="s">
        <v>791</v>
      </c>
      <c r="N863">
        <v>16.89406779661017</v>
      </c>
      <c r="O863">
        <v>2.36</v>
      </c>
      <c r="P863">
        <v>1.44</v>
      </c>
      <c r="Q863">
        <v>0.6101694915254238</v>
      </c>
      <c r="R863">
        <v>1</v>
      </c>
      <c r="S863">
        <v>0.02001586442069092</v>
      </c>
      <c r="T863" t="s">
        <v>931</v>
      </c>
      <c r="U863">
        <v>0.013864991396902</v>
      </c>
      <c r="V863" t="s">
        <v>988</v>
      </c>
      <c r="W863" t="s">
        <v>999</v>
      </c>
      <c r="X863">
        <v>40319.827179</v>
      </c>
      <c r="Y863" s="2">
        <v>45064</v>
      </c>
      <c r="Z863" t="s">
        <v>1003</v>
      </c>
    </row>
    <row r="864" spans="1:26">
      <c r="A864" s="1" t="s">
        <v>888</v>
      </c>
      <c r="B864">
        <f>HYPERLINK("https://www.suredividend.com/sure-analysis-GWRS/","Global Water Resources Inc")</f>
        <v>0</v>
      </c>
      <c r="C864" t="s">
        <v>898</v>
      </c>
      <c r="D864">
        <v>10.95</v>
      </c>
      <c r="E864">
        <v>12.96</v>
      </c>
      <c r="F864">
        <v>8</v>
      </c>
      <c r="G864">
        <v>1.62</v>
      </c>
      <c r="H864">
        <v>0.02314814814814815</v>
      </c>
      <c r="I864">
        <v>-0.09197669085777971</v>
      </c>
      <c r="J864">
        <v>0.06</v>
      </c>
      <c r="K864">
        <v>-0.01048515970849839</v>
      </c>
      <c r="L864" t="s">
        <v>648</v>
      </c>
      <c r="M864" t="s">
        <v>648</v>
      </c>
      <c r="N864">
        <v>32.4</v>
      </c>
      <c r="O864">
        <v>0.4</v>
      </c>
      <c r="P864">
        <v>0.3</v>
      </c>
      <c r="Q864">
        <v>0.7499999999999999</v>
      </c>
      <c r="R864">
        <v>8</v>
      </c>
      <c r="S864">
        <v>0.01924487649145656</v>
      </c>
      <c r="T864" t="s">
        <v>902</v>
      </c>
      <c r="U864">
        <v>-0.05290158507443</v>
      </c>
      <c r="V864" t="s">
        <v>988</v>
      </c>
      <c r="W864" t="s">
        <v>999</v>
      </c>
      <c r="X864">
        <v>309.368756</v>
      </c>
      <c r="Y864" s="2">
        <v>45058</v>
      </c>
      <c r="Z864" t="s">
        <v>1012</v>
      </c>
    </row>
    <row r="865" spans="1:26">
      <c r="A865" s="1" t="s">
        <v>889</v>
      </c>
      <c r="B865">
        <f>HYPERLINK("https://www.suredividend.com/sure-analysis-CRT/","Cross Timbers Royalty Trust")</f>
        <v>0</v>
      </c>
      <c r="C865" t="s">
        <v>898</v>
      </c>
      <c r="D865">
        <v>21</v>
      </c>
      <c r="E865">
        <v>21.31</v>
      </c>
      <c r="F865">
        <v>23</v>
      </c>
      <c r="G865">
        <v>0.9265217391304347</v>
      </c>
      <c r="H865">
        <v>0.1173158141717504</v>
      </c>
      <c r="I865">
        <v>0.01538063694585268</v>
      </c>
      <c r="J865">
        <v>-0.15</v>
      </c>
      <c r="K865">
        <v>-0.03224464149750739</v>
      </c>
      <c r="L865" t="s">
        <v>648</v>
      </c>
      <c r="M865" t="s">
        <v>589</v>
      </c>
      <c r="N865">
        <v>8.523999999999999</v>
      </c>
      <c r="O865">
        <v>2.5</v>
      </c>
      <c r="P865">
        <v>2.5</v>
      </c>
      <c r="Q865">
        <v>1</v>
      </c>
      <c r="R865">
        <v>2</v>
      </c>
      <c r="S865">
        <v>-0.1498871242463717</v>
      </c>
      <c r="T865" t="s">
        <v>934</v>
      </c>
      <c r="U865">
        <v>0.387225289032392</v>
      </c>
      <c r="V865" t="s">
        <v>988</v>
      </c>
      <c r="W865" t="s">
        <v>1002</v>
      </c>
      <c r="X865">
        <v>127.86</v>
      </c>
      <c r="Y865" s="2">
        <v>45069</v>
      </c>
      <c r="Z865" t="s">
        <v>1007</v>
      </c>
    </row>
    <row r="866" spans="1:26">
      <c r="A866" s="1" t="s">
        <v>890</v>
      </c>
      <c r="B866">
        <f>HYPERLINK("https://www.suredividend.com/sure-analysis-SBR/","Sabine Royalty Trust")</f>
        <v>0</v>
      </c>
      <c r="C866" t="s">
        <v>898</v>
      </c>
      <c r="D866">
        <v>73</v>
      </c>
      <c r="E866">
        <v>63.92</v>
      </c>
      <c r="F866">
        <v>70</v>
      </c>
      <c r="G866">
        <v>0.9131428571428571</v>
      </c>
      <c r="H866">
        <v>0.06117021276595744</v>
      </c>
      <c r="I866">
        <v>0.01833871438668777</v>
      </c>
      <c r="J866">
        <v>-0.13</v>
      </c>
      <c r="K866">
        <v>-0.0360804917658637</v>
      </c>
      <c r="L866" t="s">
        <v>648</v>
      </c>
      <c r="M866" t="s">
        <v>589</v>
      </c>
      <c r="N866">
        <v>9.092460881934565</v>
      </c>
      <c r="O866">
        <v>7.03</v>
      </c>
      <c r="P866">
        <v>3.91</v>
      </c>
      <c r="Q866">
        <v>0.5561877667140825</v>
      </c>
      <c r="R866">
        <v>0</v>
      </c>
      <c r="S866">
        <v>-0.02191126414034839</v>
      </c>
      <c r="T866" t="s">
        <v>916</v>
      </c>
      <c r="U866">
        <v>0.20055144227699</v>
      </c>
      <c r="V866" t="s">
        <v>988</v>
      </c>
      <c r="W866" t="s">
        <v>1002</v>
      </c>
      <c r="X866">
        <v>931.911732</v>
      </c>
      <c r="Y866" s="2">
        <v>45068</v>
      </c>
      <c r="Z866" t="s">
        <v>1007</v>
      </c>
    </row>
    <row r="867" spans="1:26">
      <c r="A867" s="1" t="s">
        <v>891</v>
      </c>
      <c r="B867">
        <f>HYPERLINK("https://www.suredividend.com/sure-analysis-RYN/","Rayonier Inc.")</f>
        <v>0</v>
      </c>
      <c r="C867" t="s">
        <v>898</v>
      </c>
      <c r="D867">
        <v>30</v>
      </c>
      <c r="E867">
        <v>28.42</v>
      </c>
      <c r="F867">
        <v>15</v>
      </c>
      <c r="G867">
        <v>1.894666666666667</v>
      </c>
      <c r="H867">
        <v>0.03940886699507389</v>
      </c>
      <c r="I867">
        <v>-0.1199781869967078</v>
      </c>
      <c r="J867">
        <v>0.025</v>
      </c>
      <c r="K867">
        <v>-0.04503859567684454</v>
      </c>
      <c r="L867" t="s">
        <v>648</v>
      </c>
      <c r="M867" t="s">
        <v>791</v>
      </c>
      <c r="N867">
        <v>31.93258426966292</v>
      </c>
      <c r="O867">
        <v>0.89</v>
      </c>
      <c r="P867">
        <v>1.12</v>
      </c>
      <c r="Q867">
        <v>1.258426966292135</v>
      </c>
      <c r="R867">
        <v>1</v>
      </c>
      <c r="S867">
        <v>0</v>
      </c>
      <c r="T867" t="s">
        <v>902</v>
      </c>
      <c r="U867">
        <v>-0.234131539659697</v>
      </c>
      <c r="V867" t="s">
        <v>989</v>
      </c>
      <c r="W867" t="s">
        <v>1001</v>
      </c>
      <c r="X867">
        <v>4212.446106</v>
      </c>
      <c r="Y867" s="2">
        <v>45062</v>
      </c>
      <c r="Z867" t="s">
        <v>1011</v>
      </c>
    </row>
    <row r="868" spans="1:26">
      <c r="A868" s="1" t="s">
        <v>892</v>
      </c>
      <c r="B868">
        <f>HYPERLINK("https://www.suredividend.com/sure-analysis-INTC/","Intel Corp.")</f>
        <v>0</v>
      </c>
      <c r="C868" t="s">
        <v>898</v>
      </c>
      <c r="D868">
        <v>31</v>
      </c>
      <c r="E868">
        <v>33</v>
      </c>
      <c r="F868">
        <v>18</v>
      </c>
      <c r="G868">
        <v>1.833333333333333</v>
      </c>
      <c r="H868">
        <v>0.01515151515151515</v>
      </c>
      <c r="I868">
        <v>-0.1141672896552428</v>
      </c>
      <c r="J868">
        <v>0.05</v>
      </c>
      <c r="K868">
        <v>-0.05045956482119407</v>
      </c>
      <c r="L868" t="s">
        <v>648</v>
      </c>
      <c r="M868" t="s">
        <v>648</v>
      </c>
      <c r="N868">
        <v>82.5</v>
      </c>
      <c r="O868">
        <v>0.4</v>
      </c>
      <c r="P868">
        <v>0.5</v>
      </c>
      <c r="Q868">
        <v>1.25</v>
      </c>
      <c r="R868">
        <v>0</v>
      </c>
      <c r="S868">
        <v>0</v>
      </c>
      <c r="T868" t="s">
        <v>948</v>
      </c>
      <c r="U868">
        <v>-0.107082459581952</v>
      </c>
      <c r="V868" t="s">
        <v>988</v>
      </c>
      <c r="W868" t="s">
        <v>1000</v>
      </c>
      <c r="X868">
        <v>137643</v>
      </c>
      <c r="Y868" s="2">
        <v>45045</v>
      </c>
      <c r="Z868" t="s">
        <v>1003</v>
      </c>
    </row>
    <row r="869" spans="1:26">
      <c r="A869" s="1" t="s">
        <v>893</v>
      </c>
      <c r="B869">
        <f>HYPERLINK("https://www.suredividend.com/sure-analysis-PBT/","Permian Basin Royalty Trust")</f>
        <v>0</v>
      </c>
      <c r="C869" t="s">
        <v>898</v>
      </c>
      <c r="D869">
        <v>24</v>
      </c>
      <c r="E869">
        <v>22.58</v>
      </c>
      <c r="F869">
        <v>5.2</v>
      </c>
      <c r="G869">
        <v>4.342307692307692</v>
      </c>
      <c r="H869">
        <v>0.02790079716563331</v>
      </c>
      <c r="I869">
        <v>-0.2544858665648181</v>
      </c>
      <c r="J869">
        <v>0.03</v>
      </c>
      <c r="K869">
        <v>-0.1647683283367241</v>
      </c>
      <c r="L869" t="s">
        <v>648</v>
      </c>
      <c r="M869" t="s">
        <v>648</v>
      </c>
      <c r="N869">
        <v>56.45</v>
      </c>
      <c r="O869">
        <v>0.4</v>
      </c>
      <c r="P869">
        <v>0.63</v>
      </c>
      <c r="Q869">
        <v>1.575</v>
      </c>
      <c r="R869">
        <v>1</v>
      </c>
      <c r="S869">
        <v>0</v>
      </c>
      <c r="T869" t="s">
        <v>934</v>
      </c>
      <c r="U869">
        <v>0.447222524884151</v>
      </c>
      <c r="V869" t="s">
        <v>988</v>
      </c>
      <c r="W869" t="s">
        <v>1002</v>
      </c>
      <c r="X869">
        <v>1052.426614</v>
      </c>
      <c r="Y869" s="2">
        <v>45069</v>
      </c>
      <c r="Z869" t="s">
        <v>1007</v>
      </c>
    </row>
    <row r="870" spans="1:26">
      <c r="A870" s="1" t="s">
        <v>894</v>
      </c>
      <c r="B870">
        <f>HYPERLINK("https://www.suredividend.com/sure-analysis-HBI/","Hanesbrands Inc")</f>
        <v>0</v>
      </c>
      <c r="C870" t="s">
        <v>896</v>
      </c>
      <c r="D870">
        <v>6</v>
      </c>
      <c r="E870">
        <v>4.26</v>
      </c>
      <c r="F870">
        <v>3.6</v>
      </c>
      <c r="G870">
        <v>1.183333333333333</v>
      </c>
      <c r="H870">
        <v>0</v>
      </c>
      <c r="I870">
        <v>-0.03310663433375005</v>
      </c>
      <c r="J870">
        <v>0.25</v>
      </c>
      <c r="K870">
        <v>0.2086167070828124</v>
      </c>
      <c r="L870" t="s">
        <v>901</v>
      </c>
      <c r="M870" t="s">
        <v>901</v>
      </c>
      <c r="N870">
        <v>11.83333333333333</v>
      </c>
      <c r="O870">
        <v>0.36</v>
      </c>
      <c r="P870">
        <v>0</v>
      </c>
      <c r="Q870">
        <v>0</v>
      </c>
      <c r="R870">
        <v>0</v>
      </c>
      <c r="S870">
        <v>0.04008374958398786</v>
      </c>
      <c r="T870" t="s">
        <v>982</v>
      </c>
      <c r="U870">
        <v>-0.5872452983751411</v>
      </c>
      <c r="V870" t="s">
        <v>988</v>
      </c>
      <c r="W870" t="s">
        <v>995</v>
      </c>
      <c r="X870">
        <v>1488.998933</v>
      </c>
      <c r="Y870" s="2">
        <v>44965</v>
      </c>
      <c r="Z870" t="s">
        <v>1007</v>
      </c>
    </row>
    <row r="871" spans="1:26">
      <c r="A871" s="1" t="s">
        <v>895</v>
      </c>
      <c r="B871">
        <f>HYPERLINK("https://www.suredividend.com/sure-analysis-ZIM/","Zim Integrated Shipping Services Ltd")</f>
        <v>0</v>
      </c>
      <c r="C871" t="s">
        <v>896</v>
      </c>
      <c r="D871">
        <v>14.26</v>
      </c>
      <c r="E871">
        <v>12.18</v>
      </c>
      <c r="F871">
        <v>16</v>
      </c>
      <c r="G871">
        <v>0.76125</v>
      </c>
      <c r="H871">
        <v>0</v>
      </c>
      <c r="I871">
        <v>0.05607445770801145</v>
      </c>
      <c r="J871">
        <v>0</v>
      </c>
      <c r="K871">
        <v>0.1255248252592038</v>
      </c>
      <c r="L871" t="s">
        <v>901</v>
      </c>
      <c r="M871" t="s">
        <v>901</v>
      </c>
      <c r="N871">
        <v>3.045</v>
      </c>
      <c r="O871">
        <v>4</v>
      </c>
      <c r="P871">
        <v>0</v>
      </c>
      <c r="Q871">
        <v>0</v>
      </c>
      <c r="R871">
        <v>0</v>
      </c>
      <c r="S871">
        <v>0.01111384065820276</v>
      </c>
      <c r="T871" t="s">
        <v>959</v>
      </c>
      <c r="U871">
        <v>-0.547213579131676</v>
      </c>
      <c r="V871" t="s">
        <v>988</v>
      </c>
      <c r="W871" t="s">
        <v>993</v>
      </c>
      <c r="X871">
        <v>1463.842314</v>
      </c>
      <c r="Y871" s="2">
        <v>45071</v>
      </c>
      <c r="Z871" t="s">
        <v>1012</v>
      </c>
    </row>
  </sheetData>
  <autoFilter ref="A1:Z871"/>
  <conditionalFormatting sqref="A1:Z1">
    <cfRule type="cellIs" dxfId="1" priority="27" operator="notEqual">
      <formula>"None"</formula>
    </cfRule>
  </conditionalFormatting>
  <conditionalFormatting sqref="A2:A871">
    <cfRule type="cellIs" dxfId="0" priority="1"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7" priority="24" operator="notEqual">
      <formula>"None"</formula>
    </cfRule>
  </conditionalFormatting>
  <conditionalFormatting sqref="Y2:Y871">
    <cfRule type="cellIs" dxfId="0"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1019</v>
      </c>
      <c r="C1" s="1" t="s">
        <v>21</v>
      </c>
      <c r="D1" s="1" t="s">
        <v>1020</v>
      </c>
      <c r="E1" s="1" t="s">
        <v>1021</v>
      </c>
      <c r="F1" s="1" t="s">
        <v>1022</v>
      </c>
      <c r="G1" s="1" t="s">
        <v>6</v>
      </c>
      <c r="H1" s="1" t="s">
        <v>1023</v>
      </c>
      <c r="I1" s="1" t="s">
        <v>1024</v>
      </c>
      <c r="J1" s="1" t="s">
        <v>12</v>
      </c>
      <c r="K1" s="1" t="s">
        <v>15</v>
      </c>
      <c r="L1" s="1" t="s">
        <v>1025</v>
      </c>
      <c r="M1" s="1" t="s">
        <v>10</v>
      </c>
      <c r="N1" s="1" t="s">
        <v>1026</v>
      </c>
      <c r="O1" s="1" t="s">
        <v>7</v>
      </c>
      <c r="P1" s="1" t="s">
        <v>8</v>
      </c>
      <c r="Q1" s="1" t="s">
        <v>9</v>
      </c>
      <c r="R1" s="1"/>
      <c r="S1" s="1" t="s">
        <v>1027</v>
      </c>
      <c r="T1" s="1"/>
      <c r="U1" s="1"/>
      <c r="V1" s="1"/>
      <c r="W1" s="1"/>
    </row>
    <row r="2" spans="1:23">
      <c r="A2" s="1" t="s">
        <v>1028</v>
      </c>
      <c r="B2" t="s">
        <v>1028</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1028</v>
      </c>
      <c r="S2" t="s">
        <v>1029</v>
      </c>
      <c r="T2">
        <f>SUM($H:$H)</f>
        <v>0</v>
      </c>
      <c r="U2" t="s">
        <v>1028</v>
      </c>
      <c r="V2" t="s">
        <v>1028</v>
      </c>
      <c r="W2" t="s">
        <v>1028</v>
      </c>
    </row>
    <row r="3" spans="1:23">
      <c r="A3" s="1" t="s">
        <v>1028</v>
      </c>
      <c r="B3" t="s">
        <v>1028</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1028</v>
      </c>
      <c r="S3" t="s">
        <v>1030</v>
      </c>
      <c r="T3">
        <f>SUMPRODUCT($B:$B, $I:$I)</f>
        <v>0</v>
      </c>
      <c r="U3" t="s">
        <v>1028</v>
      </c>
      <c r="V3" t="s">
        <v>1028</v>
      </c>
      <c r="W3" t="s">
        <v>1028</v>
      </c>
    </row>
    <row r="4" spans="1:23">
      <c r="A4" s="1" t="s">
        <v>1028</v>
      </c>
      <c r="B4" t="s">
        <v>1028</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1028</v>
      </c>
      <c r="S4" t="s">
        <v>1022</v>
      </c>
      <c r="T4">
        <f>SUM($F:$F)</f>
        <v>0</v>
      </c>
      <c r="U4" t="s">
        <v>1028</v>
      </c>
      <c r="V4" t="s">
        <v>1028</v>
      </c>
      <c r="W4" t="s">
        <v>1028</v>
      </c>
    </row>
    <row r="5" spans="1:23">
      <c r="A5" s="1" t="s">
        <v>1028</v>
      </c>
      <c r="B5" t="s">
        <v>1028</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1028</v>
      </c>
      <c r="S5" t="s">
        <v>6</v>
      </c>
      <c r="T5">
        <f>SUM($H:$H)/SUM($F:$F)</f>
        <v>0</v>
      </c>
      <c r="U5" t="s">
        <v>1028</v>
      </c>
      <c r="V5" t="s">
        <v>1028</v>
      </c>
      <c r="W5" t="s">
        <v>1028</v>
      </c>
    </row>
    <row r="6" spans="1:23">
      <c r="A6" s="1" t="s">
        <v>1028</v>
      </c>
      <c r="B6" t="s">
        <v>1028</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1028</v>
      </c>
      <c r="S6" t="s">
        <v>15</v>
      </c>
      <c r="T6">
        <f>SUM($H:$H)/SUMPRODUCT($B:$B, $I:$I)</f>
        <v>0</v>
      </c>
      <c r="U6" t="s">
        <v>1028</v>
      </c>
      <c r="V6" t="s">
        <v>1028</v>
      </c>
      <c r="W6" t="s">
        <v>1028</v>
      </c>
    </row>
    <row r="7" spans="1:23">
      <c r="A7" s="1" t="s">
        <v>1028</v>
      </c>
      <c r="B7" t="s">
        <v>1028</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1028</v>
      </c>
      <c r="S7" t="s">
        <v>12</v>
      </c>
      <c r="T7">
        <f>SUM($F:$F)/SUMPRODUCT($B:$B, $I:$I)</f>
        <v>0</v>
      </c>
      <c r="U7" t="s">
        <v>1028</v>
      </c>
      <c r="V7" t="s">
        <v>1028</v>
      </c>
      <c r="W7" t="s">
        <v>1028</v>
      </c>
    </row>
    <row r="8" spans="1:23">
      <c r="A8" s="1" t="s">
        <v>1028</v>
      </c>
      <c r="B8" t="s">
        <v>1028</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1028</v>
      </c>
      <c r="S8" t="s">
        <v>9</v>
      </c>
      <c r="T8">
        <f>SUMPRODUCT($D:$D, $Q:$Q)</f>
        <v>0</v>
      </c>
      <c r="U8" t="s">
        <v>1028</v>
      </c>
      <c r="V8" t="s">
        <v>1028</v>
      </c>
      <c r="W8" t="s">
        <v>1028</v>
      </c>
    </row>
    <row r="9" spans="1:23">
      <c r="A9" s="1" t="s">
        <v>1028</v>
      </c>
      <c r="B9" t="s">
        <v>1028</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1028</v>
      </c>
      <c r="S9" t="s">
        <v>1028</v>
      </c>
      <c r="T9" t="s">
        <v>1028</v>
      </c>
      <c r="U9" t="s">
        <v>1028</v>
      </c>
      <c r="V9" t="s">
        <v>1028</v>
      </c>
      <c r="W9" t="s">
        <v>1028</v>
      </c>
    </row>
    <row r="10" spans="1:23">
      <c r="A10" s="1" t="s">
        <v>1028</v>
      </c>
      <c r="B10" t="s">
        <v>1028</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1028</v>
      </c>
      <c r="S10" t="s">
        <v>1031</v>
      </c>
      <c r="T10" t="s">
        <v>1028</v>
      </c>
      <c r="U10" t="s">
        <v>1028</v>
      </c>
      <c r="V10" t="s">
        <v>1028</v>
      </c>
      <c r="W10" t="s">
        <v>1028</v>
      </c>
    </row>
    <row r="11" spans="1:23">
      <c r="A11" s="1" t="s">
        <v>1028</v>
      </c>
      <c r="B11" t="s">
        <v>1028</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1028</v>
      </c>
      <c r="S11" t="s">
        <v>1032</v>
      </c>
      <c r="T11">
        <f>SUMIF($L$2:$L$300,"=1",$H$2:$H$300)/4 + SUMIF($L$2:$L$300,"=4",$H$2:$H$300)/12</f>
        <v>0</v>
      </c>
      <c r="U11" t="s">
        <v>1028</v>
      </c>
      <c r="V11" t="s">
        <v>1028</v>
      </c>
      <c r="W11" t="s">
        <v>1028</v>
      </c>
    </row>
    <row r="12" spans="1:23">
      <c r="A12" s="1" t="s">
        <v>1028</v>
      </c>
      <c r="B12" t="s">
        <v>1028</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1028</v>
      </c>
      <c r="S12" t="s">
        <v>1033</v>
      </c>
      <c r="T12">
        <f>SUMIF($L$2:$L$300,"=2",$H$2:$H$300)/4 + SUMIF($L$2:$L$300,"=4",$H$2:$H$300)/12</f>
        <v>0</v>
      </c>
      <c r="U12" t="s">
        <v>1028</v>
      </c>
      <c r="V12" t="s">
        <v>1028</v>
      </c>
      <c r="W12" t="s">
        <v>1028</v>
      </c>
    </row>
    <row r="13" spans="1:23">
      <c r="A13" s="1" t="s">
        <v>1028</v>
      </c>
      <c r="B13" t="s">
        <v>1028</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1028</v>
      </c>
      <c r="S13" t="s">
        <v>1034</v>
      </c>
      <c r="T13">
        <f>SUMIF($L$2:$L$300,"=0",$H$2:$H$300)/4 + SUMIF($L$2:$L$300,"=4",$H$2:$H$300)/12</f>
        <v>0</v>
      </c>
      <c r="U13" t="s">
        <v>1028</v>
      </c>
      <c r="V13" t="s">
        <v>1028</v>
      </c>
      <c r="W13" t="s">
        <v>1028</v>
      </c>
    </row>
    <row r="14" spans="1:23">
      <c r="A14" s="1" t="s">
        <v>1028</v>
      </c>
      <c r="B14" t="s">
        <v>1028</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1028</v>
      </c>
      <c r="S14" t="s">
        <v>1035</v>
      </c>
      <c r="T14">
        <f>SUMIF($L$2:$L$300,"=1",$H$2:$H$300)/4 + SUMIF($L$2:$L$300,"=4",$H$2:$H$300)/12</f>
        <v>0</v>
      </c>
      <c r="U14" t="s">
        <v>1028</v>
      </c>
      <c r="V14" t="s">
        <v>1028</v>
      </c>
      <c r="W14" t="s">
        <v>1028</v>
      </c>
    </row>
    <row r="15" spans="1:23">
      <c r="A15" s="1" t="s">
        <v>1028</v>
      </c>
      <c r="B15" t="s">
        <v>1028</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1028</v>
      </c>
      <c r="S15" t="s">
        <v>1036</v>
      </c>
      <c r="T15">
        <f>SUMIF($L$2:$L$300,"=2",$H$2:$H$300)/4 + SUMIF($L$2:$L$300,"=4",$H$2:$H$300)/12</f>
        <v>0</v>
      </c>
      <c r="U15" t="s">
        <v>1028</v>
      </c>
      <c r="V15" t="s">
        <v>1028</v>
      </c>
      <c r="W15" t="s">
        <v>1028</v>
      </c>
    </row>
    <row r="16" spans="1:23">
      <c r="A16" s="1" t="s">
        <v>1028</v>
      </c>
      <c r="B16" t="s">
        <v>1028</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1028</v>
      </c>
      <c r="S16" t="s">
        <v>1037</v>
      </c>
      <c r="T16">
        <f>SUMIF($L$2:$L$300,"=0",$H$2:$H$300)/4 + SUMIF($L$2:$L$300,"=4",$H$2:$H$300)/12</f>
        <v>0</v>
      </c>
      <c r="U16" t="s">
        <v>1028</v>
      </c>
      <c r="V16" t="s">
        <v>1028</v>
      </c>
      <c r="W16" t="s">
        <v>1028</v>
      </c>
    </row>
    <row r="17" spans="1:23">
      <c r="A17" s="1" t="s">
        <v>1028</v>
      </c>
      <c r="B17" t="s">
        <v>1028</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1028</v>
      </c>
      <c r="S17" t="s">
        <v>1038</v>
      </c>
      <c r="T17">
        <f>SUMIF($L$2:$L$300,"=1",$H$2:$H$300)/4 + SUMIF($L$2:$L$300,"=4",$H$2:$H$300)/12</f>
        <v>0</v>
      </c>
      <c r="U17" t="s">
        <v>1028</v>
      </c>
      <c r="V17" t="s">
        <v>1028</v>
      </c>
      <c r="W17" t="s">
        <v>1028</v>
      </c>
    </row>
    <row r="18" spans="1:23">
      <c r="A18" s="1" t="s">
        <v>1028</v>
      </c>
      <c r="B18" t="s">
        <v>1028</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1028</v>
      </c>
      <c r="S18" t="s">
        <v>1039</v>
      </c>
      <c r="T18">
        <f>SUMIF($L$2:$L$300,"=2",$H$2:$H$300)/4 + SUMIF($L$2:$L$300,"=4",$H$2:$H$300)/12</f>
        <v>0</v>
      </c>
      <c r="U18" t="s">
        <v>1028</v>
      </c>
      <c r="V18" t="s">
        <v>1028</v>
      </c>
      <c r="W18" t="s">
        <v>1028</v>
      </c>
    </row>
    <row r="19" spans="1:23">
      <c r="A19" s="1" t="s">
        <v>1028</v>
      </c>
      <c r="B19" t="s">
        <v>1028</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1028</v>
      </c>
      <c r="S19" t="s">
        <v>1040</v>
      </c>
      <c r="T19">
        <f>SUMIF($L$2:$L$300,"=0",$H$2:$H$300)/4 + SUMIF($L$2:$L$300,"=4",$H$2:$H$300)/12</f>
        <v>0</v>
      </c>
      <c r="U19" t="s">
        <v>1028</v>
      </c>
      <c r="V19" t="s">
        <v>1028</v>
      </c>
      <c r="W19" t="s">
        <v>1028</v>
      </c>
    </row>
    <row r="20" spans="1:23">
      <c r="A20" s="1" t="s">
        <v>1028</v>
      </c>
      <c r="B20" t="s">
        <v>1028</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1028</v>
      </c>
      <c r="S20" t="s">
        <v>1041</v>
      </c>
      <c r="T20">
        <f>SUMIF($L$2:$L$300,"=1",$H$2:$H$300)/4 + SUMIF($L$2:$L$300,"=4",$H$2:$H$300)/12</f>
        <v>0</v>
      </c>
      <c r="U20" t="s">
        <v>1028</v>
      </c>
      <c r="V20" t="s">
        <v>1028</v>
      </c>
      <c r="W20" t="s">
        <v>1028</v>
      </c>
    </row>
    <row r="21" spans="1:23">
      <c r="A21" s="1" t="s">
        <v>1028</v>
      </c>
      <c r="B21" t="s">
        <v>1028</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1028</v>
      </c>
      <c r="S21" t="s">
        <v>1042</v>
      </c>
      <c r="T21">
        <f>SUMIF($L$2:$L$300,"=2",$H$2:$H$300)/4 + SUMIF($L$2:$L$300,"=4",$H$2:$H$300)/12</f>
        <v>0</v>
      </c>
      <c r="U21" t="s">
        <v>1028</v>
      </c>
      <c r="V21" t="s">
        <v>1028</v>
      </c>
      <c r="W21" t="s">
        <v>1028</v>
      </c>
    </row>
    <row r="22" spans="1:23">
      <c r="A22" s="1" t="s">
        <v>1028</v>
      </c>
      <c r="B22" t="s">
        <v>1028</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1028</v>
      </c>
      <c r="S22" t="s">
        <v>1043</v>
      </c>
      <c r="T22">
        <f>SUMIF($L$2:$L$300,"=0",$H$2:$H$300)/4 + SUMIF($L$2:$L$300,"=4",$H$2:$H$300)/12</f>
        <v>0</v>
      </c>
      <c r="U22" t="s">
        <v>1028</v>
      </c>
      <c r="V22" t="s">
        <v>1028</v>
      </c>
      <c r="W22" t="s">
        <v>1028</v>
      </c>
    </row>
    <row r="23" spans="1:23">
      <c r="A23" s="1" t="s">
        <v>1028</v>
      </c>
      <c r="B23" t="s">
        <v>1028</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1028</v>
      </c>
      <c r="S23" t="s">
        <v>1028</v>
      </c>
      <c r="T23" t="s">
        <v>1028</v>
      </c>
      <c r="U23" t="s">
        <v>1028</v>
      </c>
      <c r="V23" t="s">
        <v>1028</v>
      </c>
      <c r="W23" t="s">
        <v>1028</v>
      </c>
    </row>
    <row r="24" spans="1:23">
      <c r="A24" s="1" t="s">
        <v>1028</v>
      </c>
      <c r="B24" t="s">
        <v>1028</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1028</v>
      </c>
      <c r="S24" t="s">
        <v>1044</v>
      </c>
      <c r="T24" t="s">
        <v>1028</v>
      </c>
      <c r="U24" t="s">
        <v>1028</v>
      </c>
      <c r="V24" t="s">
        <v>1028</v>
      </c>
      <c r="W24" t="s">
        <v>1028</v>
      </c>
    </row>
    <row r="25" spans="1:23">
      <c r="A25" s="1" t="s">
        <v>1028</v>
      </c>
      <c r="B25" t="s">
        <v>1028</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1028</v>
      </c>
      <c r="S25" t="s">
        <v>992</v>
      </c>
      <c r="T25">
        <f>SUMIF($C$2:$C$300,"=Materials",$H$2:$H$300)</f>
        <v>0</v>
      </c>
      <c r="U25" t="s">
        <v>1028</v>
      </c>
      <c r="V25" t="s">
        <v>1028</v>
      </c>
      <c r="W25" t="s">
        <v>1028</v>
      </c>
    </row>
    <row r="26" spans="1:23">
      <c r="A26" s="1" t="s">
        <v>1028</v>
      </c>
      <c r="B26" t="s">
        <v>1028</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1028</v>
      </c>
      <c r="S26" t="s">
        <v>998</v>
      </c>
      <c r="T26">
        <f>SUMIF($C$2:$C$300,"=Communication Services",$H$2:$H$300)</f>
        <v>0</v>
      </c>
      <c r="U26" t="s">
        <v>1028</v>
      </c>
      <c r="V26" t="s">
        <v>1028</v>
      </c>
      <c r="W26" t="s">
        <v>1028</v>
      </c>
    </row>
    <row r="27" spans="1:23">
      <c r="A27" s="1" t="s">
        <v>1028</v>
      </c>
      <c r="B27" t="s">
        <v>1028</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1028</v>
      </c>
      <c r="S27" t="s">
        <v>995</v>
      </c>
      <c r="T27">
        <f>SUMIF($C$2:$C$300,"=Consumer Discretionary",$H$2:$H$300)</f>
        <v>0</v>
      </c>
      <c r="U27" t="s">
        <v>1028</v>
      </c>
      <c r="V27" t="s">
        <v>1028</v>
      </c>
      <c r="W27" t="s">
        <v>1028</v>
      </c>
    </row>
    <row r="28" spans="1:23">
      <c r="A28" s="1" t="s">
        <v>1028</v>
      </c>
      <c r="B28" t="s">
        <v>1028</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1028</v>
      </c>
      <c r="S28" t="s">
        <v>997</v>
      </c>
      <c r="T28">
        <f>SUMIF($C$2:$C$300,"=Consumer Staples",$H$2:$H$300)</f>
        <v>0</v>
      </c>
      <c r="U28" t="s">
        <v>1028</v>
      </c>
      <c r="V28" t="s">
        <v>1028</v>
      </c>
      <c r="W28" t="s">
        <v>1028</v>
      </c>
    </row>
    <row r="29" spans="1:23">
      <c r="A29" s="1" t="s">
        <v>1028</v>
      </c>
      <c r="B29" t="s">
        <v>1028</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1028</v>
      </c>
      <c r="S29" t="s">
        <v>1002</v>
      </c>
      <c r="T29">
        <f>SUMIF($C$2:$C$300,"=Energy",$H$2:$H$300)</f>
        <v>0</v>
      </c>
      <c r="U29" t="s">
        <v>1028</v>
      </c>
      <c r="V29" t="s">
        <v>1028</v>
      </c>
      <c r="W29" t="s">
        <v>1028</v>
      </c>
    </row>
    <row r="30" spans="1:23">
      <c r="A30" s="1" t="s">
        <v>1028</v>
      </c>
      <c r="B30" t="s">
        <v>1028</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1028</v>
      </c>
      <c r="S30" t="s">
        <v>994</v>
      </c>
      <c r="T30">
        <f>SUMIF($C$2:$C$300,"=Financials",$H$2:$H$300)</f>
        <v>0</v>
      </c>
      <c r="U30" t="s">
        <v>1028</v>
      </c>
      <c r="V30" t="s">
        <v>1028</v>
      </c>
      <c r="W30" t="s">
        <v>1028</v>
      </c>
    </row>
    <row r="31" spans="1:23">
      <c r="A31" s="1" t="s">
        <v>1028</v>
      </c>
      <c r="B31" t="s">
        <v>1028</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1028</v>
      </c>
      <c r="S31" t="s">
        <v>996</v>
      </c>
      <c r="T31">
        <f>SUMIF($C$2:$C$300,"=Health Care",$H$2:$H$300)</f>
        <v>0</v>
      </c>
      <c r="U31" t="s">
        <v>1028</v>
      </c>
      <c r="V31" t="s">
        <v>1028</v>
      </c>
      <c r="W31" t="s">
        <v>1028</v>
      </c>
    </row>
    <row r="32" spans="1:23">
      <c r="A32" s="1" t="s">
        <v>1028</v>
      </c>
      <c r="B32" t="s">
        <v>1028</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1028</v>
      </c>
      <c r="S32" t="s">
        <v>993</v>
      </c>
      <c r="T32">
        <f>SUMIF($C$2:$C$300,"=Industrials",$H$2:$H$300)</f>
        <v>0</v>
      </c>
      <c r="U32" t="s">
        <v>1028</v>
      </c>
      <c r="V32" t="s">
        <v>1028</v>
      </c>
      <c r="W32" t="s">
        <v>1028</v>
      </c>
    </row>
    <row r="33" spans="1:23">
      <c r="A33" s="1" t="s">
        <v>1028</v>
      </c>
      <c r="B33" t="s">
        <v>1028</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1028</v>
      </c>
      <c r="S33" t="s">
        <v>1001</v>
      </c>
      <c r="T33">
        <f>SUMIF($C$2:$C$300,"=Real Estate",$H$2:$H$300)</f>
        <v>0</v>
      </c>
      <c r="U33" t="s">
        <v>1028</v>
      </c>
      <c r="V33" t="s">
        <v>1028</v>
      </c>
      <c r="W33" t="s">
        <v>1028</v>
      </c>
    </row>
    <row r="34" spans="1:23">
      <c r="A34" s="1" t="s">
        <v>1028</v>
      </c>
      <c r="B34" t="s">
        <v>1028</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1028</v>
      </c>
      <c r="S34" t="s">
        <v>1000</v>
      </c>
      <c r="T34">
        <f>SUMIF($C$2:$C$300,"=Information Technology",$H$2:$H$300)</f>
        <v>0</v>
      </c>
      <c r="U34" t="s">
        <v>1028</v>
      </c>
      <c r="V34" t="s">
        <v>1028</v>
      </c>
      <c r="W34" t="s">
        <v>1028</v>
      </c>
    </row>
    <row r="35" spans="1:23">
      <c r="A35" s="1" t="s">
        <v>1028</v>
      </c>
      <c r="B35" t="s">
        <v>1028</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1028</v>
      </c>
      <c r="S35" t="s">
        <v>999</v>
      </c>
      <c r="T35">
        <f>SUMIF($C$2:$C$300,"=Utilities",$H$2:$H$300)</f>
        <v>0</v>
      </c>
      <c r="U35" t="s">
        <v>1028</v>
      </c>
      <c r="V35" t="s">
        <v>1028</v>
      </c>
      <c r="W35" t="s">
        <v>1028</v>
      </c>
    </row>
    <row r="36" spans="1:23">
      <c r="A36" s="1" t="s">
        <v>1028</v>
      </c>
      <c r="B36" t="s">
        <v>1028</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1028</v>
      </c>
      <c r="S36" t="s">
        <v>1028</v>
      </c>
      <c r="T36" t="s">
        <v>1028</v>
      </c>
      <c r="U36" t="s">
        <v>1028</v>
      </c>
      <c r="V36" t="s">
        <v>1028</v>
      </c>
      <c r="W36" t="s">
        <v>1028</v>
      </c>
    </row>
    <row r="37" spans="1:23">
      <c r="A37" s="1" t="s">
        <v>1028</v>
      </c>
      <c r="B37" t="s">
        <v>1028</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1028</v>
      </c>
      <c r="S37" t="s">
        <v>1045</v>
      </c>
      <c r="T37" t="s">
        <v>1028</v>
      </c>
      <c r="U37" t="s">
        <v>1028</v>
      </c>
      <c r="V37" t="s">
        <v>1028</v>
      </c>
      <c r="W37" t="s">
        <v>1028</v>
      </c>
    </row>
    <row r="38" spans="1:23">
      <c r="A38" s="1" t="s">
        <v>1028</v>
      </c>
      <c r="B38" t="s">
        <v>1028</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1028</v>
      </c>
      <c r="S38" t="s">
        <v>1046</v>
      </c>
      <c r="T38">
        <f>SUM($H:$H)/12</f>
        <v>0</v>
      </c>
      <c r="U38" t="s">
        <v>1028</v>
      </c>
      <c r="V38" t="s">
        <v>1028</v>
      </c>
      <c r="W38" t="s">
        <v>1028</v>
      </c>
    </row>
    <row r="39" spans="1:23">
      <c r="A39" s="1" t="s">
        <v>1028</v>
      </c>
      <c r="B39" t="s">
        <v>1028</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1028</v>
      </c>
      <c r="S39" t="s">
        <v>1047</v>
      </c>
      <c r="T39">
        <f>SUM($H:$H)/52</f>
        <v>0</v>
      </c>
      <c r="U39" t="s">
        <v>1028</v>
      </c>
      <c r="V39" t="s">
        <v>1028</v>
      </c>
      <c r="W39" t="s">
        <v>1028</v>
      </c>
    </row>
    <row r="40" spans="1:23">
      <c r="A40" s="1" t="s">
        <v>1028</v>
      </c>
      <c r="B40" t="s">
        <v>1028</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1028</v>
      </c>
      <c r="S40" t="s">
        <v>1048</v>
      </c>
      <c r="T40">
        <f>SUM($H:$H)/365</f>
        <v>0</v>
      </c>
      <c r="U40" t="s">
        <v>1028</v>
      </c>
      <c r="V40" t="s">
        <v>1028</v>
      </c>
      <c r="W40" t="s">
        <v>1028</v>
      </c>
    </row>
    <row r="41" spans="1:23">
      <c r="A41" s="1" t="s">
        <v>1028</v>
      </c>
      <c r="B41" t="s">
        <v>1028</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1028</v>
      </c>
      <c r="S41" t="s">
        <v>1049</v>
      </c>
      <c r="T41">
        <f>SUM($H:$H)/8760</f>
        <v>0</v>
      </c>
      <c r="U41" t="s">
        <v>1028</v>
      </c>
      <c r="V41" t="s">
        <v>1028</v>
      </c>
      <c r="W41" t="s">
        <v>1028</v>
      </c>
    </row>
    <row r="42" spans="1:23">
      <c r="A42" s="1" t="s">
        <v>1028</v>
      </c>
      <c r="B42" t="s">
        <v>1028</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1028</v>
      </c>
      <c r="S42" t="s">
        <v>1028</v>
      </c>
      <c r="T42" t="s">
        <v>1028</v>
      </c>
      <c r="U42" t="s">
        <v>1028</v>
      </c>
      <c r="V42" t="s">
        <v>1028</v>
      </c>
      <c r="W42" t="s">
        <v>1028</v>
      </c>
    </row>
    <row r="43" spans="1:23">
      <c r="A43" s="1" t="s">
        <v>1028</v>
      </c>
      <c r="B43" t="s">
        <v>1028</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1028</v>
      </c>
      <c r="S43" t="s">
        <v>1028</v>
      </c>
      <c r="T43" t="s">
        <v>1028</v>
      </c>
      <c r="U43" t="s">
        <v>1028</v>
      </c>
      <c r="V43" t="s">
        <v>1028</v>
      </c>
      <c r="W43" t="s">
        <v>1028</v>
      </c>
    </row>
    <row r="44" spans="1:23">
      <c r="A44" s="1" t="s">
        <v>1028</v>
      </c>
      <c r="B44" t="s">
        <v>1028</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1028</v>
      </c>
      <c r="S44" t="s">
        <v>1028</v>
      </c>
      <c r="T44" t="s">
        <v>1028</v>
      </c>
      <c r="U44" t="s">
        <v>1028</v>
      </c>
      <c r="V44" t="s">
        <v>1028</v>
      </c>
      <c r="W44" t="s">
        <v>1028</v>
      </c>
    </row>
    <row r="45" spans="1:23">
      <c r="A45" s="1" t="s">
        <v>1028</v>
      </c>
      <c r="B45" t="s">
        <v>1028</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1028</v>
      </c>
      <c r="S45" t="s">
        <v>1028</v>
      </c>
      <c r="T45" t="s">
        <v>1028</v>
      </c>
      <c r="U45" t="s">
        <v>1028</v>
      </c>
      <c r="V45" t="s">
        <v>1028</v>
      </c>
      <c r="W45" t="s">
        <v>1028</v>
      </c>
    </row>
    <row r="46" spans="1:23">
      <c r="A46" s="1" t="s">
        <v>1028</v>
      </c>
      <c r="B46" t="s">
        <v>1028</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1028</v>
      </c>
      <c r="S46" t="s">
        <v>1028</v>
      </c>
      <c r="T46" t="s">
        <v>1028</v>
      </c>
      <c r="U46" t="s">
        <v>1028</v>
      </c>
      <c r="V46" t="s">
        <v>1028</v>
      </c>
      <c r="W46" t="s">
        <v>1028</v>
      </c>
    </row>
    <row r="47" spans="1:23">
      <c r="A47" s="1" t="s">
        <v>1028</v>
      </c>
      <c r="B47" t="s">
        <v>1028</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1028</v>
      </c>
      <c r="S47" t="s">
        <v>1028</v>
      </c>
      <c r="T47" t="s">
        <v>1028</v>
      </c>
      <c r="U47" t="s">
        <v>1028</v>
      </c>
      <c r="V47" t="s">
        <v>1028</v>
      </c>
      <c r="W47" t="s">
        <v>1028</v>
      </c>
    </row>
    <row r="48" spans="1:23">
      <c r="A48" s="1" t="s">
        <v>1028</v>
      </c>
      <c r="B48" t="s">
        <v>1028</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1028</v>
      </c>
      <c r="S48" t="s">
        <v>1028</v>
      </c>
      <c r="T48" t="s">
        <v>1028</v>
      </c>
      <c r="U48" t="s">
        <v>1028</v>
      </c>
      <c r="V48" t="s">
        <v>1028</v>
      </c>
      <c r="W48" t="s">
        <v>1028</v>
      </c>
    </row>
    <row r="49" spans="1:23">
      <c r="A49" s="1" t="s">
        <v>1028</v>
      </c>
      <c r="B49" t="s">
        <v>1028</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1028</v>
      </c>
      <c r="S49" t="s">
        <v>1028</v>
      </c>
      <c r="T49" t="s">
        <v>1028</v>
      </c>
      <c r="U49" t="s">
        <v>1028</v>
      </c>
      <c r="V49" t="s">
        <v>1028</v>
      </c>
      <c r="W49" t="s">
        <v>1028</v>
      </c>
    </row>
    <row r="50" spans="1:23">
      <c r="A50" s="1" t="s">
        <v>1028</v>
      </c>
      <c r="B50" t="s">
        <v>1028</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1028</v>
      </c>
      <c r="S50" t="s">
        <v>1028</v>
      </c>
      <c r="T50" t="s">
        <v>1028</v>
      </c>
      <c r="U50" t="s">
        <v>1028</v>
      </c>
      <c r="V50" t="s">
        <v>1028</v>
      </c>
      <c r="W50" t="s">
        <v>1028</v>
      </c>
    </row>
    <row r="51" spans="1:23">
      <c r="A51" s="1" t="s">
        <v>1028</v>
      </c>
      <c r="B51" t="s">
        <v>1028</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1028</v>
      </c>
      <c r="S51" t="s">
        <v>1028</v>
      </c>
      <c r="T51" t="s">
        <v>1028</v>
      </c>
      <c r="U51" t="s">
        <v>1028</v>
      </c>
      <c r="V51" t="s">
        <v>1028</v>
      </c>
      <c r="W51" t="s">
        <v>1028</v>
      </c>
    </row>
    <row r="52" spans="1:23">
      <c r="A52" s="1" t="s">
        <v>1028</v>
      </c>
      <c r="B52" t="s">
        <v>1028</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1028</v>
      </c>
      <c r="S52" t="s">
        <v>1028</v>
      </c>
      <c r="T52" t="s">
        <v>1028</v>
      </c>
      <c r="U52" t="s">
        <v>1028</v>
      </c>
      <c r="V52" t="s">
        <v>1028</v>
      </c>
      <c r="W52" t="s">
        <v>1028</v>
      </c>
    </row>
    <row r="53" spans="1:23">
      <c r="A53" s="1" t="s">
        <v>1028</v>
      </c>
      <c r="B53" t="s">
        <v>1028</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1028</v>
      </c>
      <c r="S53" t="s">
        <v>1028</v>
      </c>
      <c r="T53" t="s">
        <v>1028</v>
      </c>
      <c r="U53" t="s">
        <v>1028</v>
      </c>
      <c r="V53" t="s">
        <v>1028</v>
      </c>
      <c r="W53" t="s">
        <v>1028</v>
      </c>
    </row>
    <row r="54" spans="1:23">
      <c r="A54" s="1" t="s">
        <v>1028</v>
      </c>
      <c r="B54" t="s">
        <v>1028</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1028</v>
      </c>
      <c r="S54" t="s">
        <v>1028</v>
      </c>
      <c r="T54" t="s">
        <v>1028</v>
      </c>
      <c r="U54" t="s">
        <v>1028</v>
      </c>
      <c r="V54" t="s">
        <v>1028</v>
      </c>
      <c r="W54" t="s">
        <v>1028</v>
      </c>
    </row>
    <row r="55" spans="1:23">
      <c r="A55" s="1" t="s">
        <v>1028</v>
      </c>
      <c r="B55" t="s">
        <v>1028</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1028</v>
      </c>
      <c r="S55" t="s">
        <v>1028</v>
      </c>
      <c r="T55" t="s">
        <v>1028</v>
      </c>
      <c r="U55" t="s">
        <v>1028</v>
      </c>
      <c r="V55" t="s">
        <v>1028</v>
      </c>
      <c r="W55" t="s">
        <v>1028</v>
      </c>
    </row>
    <row r="56" spans="1:23">
      <c r="A56" s="1" t="s">
        <v>1028</v>
      </c>
      <c r="B56" t="s">
        <v>1028</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1028</v>
      </c>
      <c r="S56" t="s">
        <v>1028</v>
      </c>
      <c r="T56" t="s">
        <v>1028</v>
      </c>
      <c r="U56" t="s">
        <v>1028</v>
      </c>
      <c r="V56" t="s">
        <v>1028</v>
      </c>
      <c r="W56" t="s">
        <v>1028</v>
      </c>
    </row>
    <row r="57" spans="1:23">
      <c r="A57" s="1" t="s">
        <v>1028</v>
      </c>
      <c r="B57" t="s">
        <v>1028</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1028</v>
      </c>
      <c r="S57" t="s">
        <v>1028</v>
      </c>
      <c r="T57" t="s">
        <v>1028</v>
      </c>
      <c r="U57" t="s">
        <v>1028</v>
      </c>
      <c r="V57" t="s">
        <v>1028</v>
      </c>
      <c r="W57" t="s">
        <v>1028</v>
      </c>
    </row>
    <row r="58" spans="1:23">
      <c r="A58" s="1" t="s">
        <v>1028</v>
      </c>
      <c r="B58" t="s">
        <v>1028</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1028</v>
      </c>
      <c r="S58" t="s">
        <v>1028</v>
      </c>
      <c r="T58" t="s">
        <v>1028</v>
      </c>
      <c r="U58" t="s">
        <v>1028</v>
      </c>
      <c r="V58" t="s">
        <v>1028</v>
      </c>
      <c r="W58" t="s">
        <v>1028</v>
      </c>
    </row>
    <row r="59" spans="1:23">
      <c r="A59" s="1" t="s">
        <v>1028</v>
      </c>
      <c r="B59" t="s">
        <v>1028</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1028</v>
      </c>
      <c r="S59" t="s">
        <v>1028</v>
      </c>
      <c r="T59" t="s">
        <v>1028</v>
      </c>
      <c r="U59" t="s">
        <v>1028</v>
      </c>
      <c r="V59" t="s">
        <v>1028</v>
      </c>
      <c r="W59" t="s">
        <v>1028</v>
      </c>
    </row>
    <row r="60" spans="1:23">
      <c r="A60" s="1" t="s">
        <v>1028</v>
      </c>
      <c r="B60" t="s">
        <v>1028</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1028</v>
      </c>
      <c r="S60" t="s">
        <v>1028</v>
      </c>
      <c r="T60" t="s">
        <v>1028</v>
      </c>
      <c r="U60" t="s">
        <v>1028</v>
      </c>
      <c r="V60" t="s">
        <v>1028</v>
      </c>
      <c r="W60" t="s">
        <v>1028</v>
      </c>
    </row>
    <row r="61" spans="1:23">
      <c r="A61" s="1" t="s">
        <v>1028</v>
      </c>
      <c r="B61" t="s">
        <v>1028</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1028</v>
      </c>
      <c r="S61" t="s">
        <v>1028</v>
      </c>
      <c r="T61" t="s">
        <v>1028</v>
      </c>
      <c r="U61" t="s">
        <v>1028</v>
      </c>
      <c r="V61" t="s">
        <v>1028</v>
      </c>
      <c r="W61" t="s">
        <v>1028</v>
      </c>
    </row>
    <row r="62" spans="1:23">
      <c r="A62" s="1" t="s">
        <v>1028</v>
      </c>
      <c r="B62" t="s">
        <v>1028</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1028</v>
      </c>
      <c r="S62" t="s">
        <v>1028</v>
      </c>
      <c r="T62" t="s">
        <v>1028</v>
      </c>
      <c r="U62" t="s">
        <v>1028</v>
      </c>
      <c r="V62" t="s">
        <v>1028</v>
      </c>
      <c r="W62" t="s">
        <v>1028</v>
      </c>
    </row>
    <row r="63" spans="1:23">
      <c r="A63" s="1" t="s">
        <v>1028</v>
      </c>
      <c r="B63" t="s">
        <v>1028</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1028</v>
      </c>
      <c r="S63" t="s">
        <v>1028</v>
      </c>
      <c r="T63" t="s">
        <v>1028</v>
      </c>
      <c r="U63" t="s">
        <v>1028</v>
      </c>
      <c r="V63" t="s">
        <v>1028</v>
      </c>
      <c r="W63" t="s">
        <v>1028</v>
      </c>
    </row>
    <row r="64" spans="1:23">
      <c r="A64" s="1" t="s">
        <v>1028</v>
      </c>
      <c r="B64" t="s">
        <v>1028</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1028</v>
      </c>
      <c r="S64" t="s">
        <v>1028</v>
      </c>
      <c r="T64" t="s">
        <v>1028</v>
      </c>
      <c r="U64" t="s">
        <v>1028</v>
      </c>
      <c r="V64" t="s">
        <v>1028</v>
      </c>
      <c r="W64" t="s">
        <v>1028</v>
      </c>
    </row>
    <row r="65" spans="1:23">
      <c r="A65" s="1" t="s">
        <v>1028</v>
      </c>
      <c r="B65" t="s">
        <v>1028</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1028</v>
      </c>
      <c r="S65" t="s">
        <v>1028</v>
      </c>
      <c r="T65" t="s">
        <v>1028</v>
      </c>
      <c r="U65" t="s">
        <v>1028</v>
      </c>
      <c r="V65" t="s">
        <v>1028</v>
      </c>
      <c r="W65" t="s">
        <v>1028</v>
      </c>
    </row>
    <row r="66" spans="1:23">
      <c r="A66" s="1" t="s">
        <v>1028</v>
      </c>
      <c r="B66" t="s">
        <v>1028</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1028</v>
      </c>
      <c r="S66" t="s">
        <v>1028</v>
      </c>
      <c r="T66" t="s">
        <v>1028</v>
      </c>
      <c r="U66" t="s">
        <v>1028</v>
      </c>
      <c r="V66" t="s">
        <v>1028</v>
      </c>
      <c r="W66" t="s">
        <v>1028</v>
      </c>
    </row>
    <row r="67" spans="1:23">
      <c r="A67" s="1" t="s">
        <v>1028</v>
      </c>
      <c r="B67" t="s">
        <v>1028</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1028</v>
      </c>
      <c r="S67" t="s">
        <v>1028</v>
      </c>
      <c r="T67" t="s">
        <v>1028</v>
      </c>
      <c r="U67" t="s">
        <v>1028</v>
      </c>
      <c r="V67" t="s">
        <v>1028</v>
      </c>
      <c r="W67" t="s">
        <v>1028</v>
      </c>
    </row>
    <row r="68" spans="1:23">
      <c r="A68" s="1" t="s">
        <v>1028</v>
      </c>
      <c r="B68" t="s">
        <v>1028</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1028</v>
      </c>
      <c r="S68" t="s">
        <v>1028</v>
      </c>
      <c r="T68" t="s">
        <v>1028</v>
      </c>
      <c r="U68" t="s">
        <v>1028</v>
      </c>
      <c r="V68" t="s">
        <v>1028</v>
      </c>
      <c r="W68" t="s">
        <v>1028</v>
      </c>
    </row>
    <row r="69" spans="1:23">
      <c r="A69" s="1" t="s">
        <v>1028</v>
      </c>
      <c r="B69" t="s">
        <v>1028</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1028</v>
      </c>
      <c r="S69" t="s">
        <v>1028</v>
      </c>
      <c r="T69" t="s">
        <v>1028</v>
      </c>
      <c r="U69" t="s">
        <v>1028</v>
      </c>
      <c r="V69" t="s">
        <v>1028</v>
      </c>
      <c r="W69" t="s">
        <v>1028</v>
      </c>
    </row>
    <row r="70" spans="1:23">
      <c r="A70" s="1" t="s">
        <v>1028</v>
      </c>
      <c r="B70" t="s">
        <v>1028</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1028</v>
      </c>
      <c r="S70" t="s">
        <v>1028</v>
      </c>
      <c r="T70" t="s">
        <v>1028</v>
      </c>
      <c r="U70" t="s">
        <v>1028</v>
      </c>
      <c r="V70" t="s">
        <v>1028</v>
      </c>
      <c r="W70" t="s">
        <v>1028</v>
      </c>
    </row>
    <row r="71" spans="1:23">
      <c r="A71" s="1" t="s">
        <v>1028</v>
      </c>
      <c r="B71" t="s">
        <v>1028</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1028</v>
      </c>
      <c r="S71" t="s">
        <v>1028</v>
      </c>
      <c r="T71" t="s">
        <v>1028</v>
      </c>
      <c r="U71" t="s">
        <v>1028</v>
      </c>
      <c r="V71" t="s">
        <v>1028</v>
      </c>
      <c r="W71" t="s">
        <v>1028</v>
      </c>
    </row>
    <row r="72" spans="1:23">
      <c r="A72" s="1" t="s">
        <v>1028</v>
      </c>
      <c r="B72" t="s">
        <v>1028</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1028</v>
      </c>
      <c r="S72" t="s">
        <v>1028</v>
      </c>
      <c r="T72" t="s">
        <v>1028</v>
      </c>
      <c r="U72" t="s">
        <v>1028</v>
      </c>
      <c r="V72" t="s">
        <v>1028</v>
      </c>
      <c r="W72" t="s">
        <v>1028</v>
      </c>
    </row>
    <row r="73" spans="1:23">
      <c r="A73" s="1" t="s">
        <v>1028</v>
      </c>
      <c r="B73" t="s">
        <v>1028</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1028</v>
      </c>
      <c r="S73" t="s">
        <v>1028</v>
      </c>
      <c r="T73" t="s">
        <v>1028</v>
      </c>
      <c r="U73" t="s">
        <v>1028</v>
      </c>
      <c r="V73" t="s">
        <v>1028</v>
      </c>
      <c r="W73" t="s">
        <v>1028</v>
      </c>
    </row>
    <row r="74" spans="1:23">
      <c r="A74" s="1" t="s">
        <v>1028</v>
      </c>
      <c r="B74" t="s">
        <v>1028</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1028</v>
      </c>
      <c r="S74" t="s">
        <v>1028</v>
      </c>
      <c r="T74" t="s">
        <v>1028</v>
      </c>
      <c r="U74" t="s">
        <v>1028</v>
      </c>
      <c r="V74" t="s">
        <v>1028</v>
      </c>
      <c r="W74" t="s">
        <v>1028</v>
      </c>
    </row>
    <row r="75" spans="1:23">
      <c r="A75" s="1" t="s">
        <v>1028</v>
      </c>
      <c r="B75" t="s">
        <v>1028</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1028</v>
      </c>
      <c r="S75" t="s">
        <v>1028</v>
      </c>
      <c r="T75" t="s">
        <v>1028</v>
      </c>
      <c r="U75" t="s">
        <v>1028</v>
      </c>
      <c r="V75" t="s">
        <v>1028</v>
      </c>
      <c r="W75" t="s">
        <v>1028</v>
      </c>
    </row>
    <row r="76" spans="1:23">
      <c r="A76" s="1" t="s">
        <v>1028</v>
      </c>
      <c r="B76" t="s">
        <v>1028</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1028</v>
      </c>
      <c r="S76" t="s">
        <v>1028</v>
      </c>
      <c r="T76" t="s">
        <v>1028</v>
      </c>
      <c r="U76" t="s">
        <v>1028</v>
      </c>
      <c r="V76" t="s">
        <v>1028</v>
      </c>
      <c r="W76" t="s">
        <v>1028</v>
      </c>
    </row>
    <row r="77" spans="1:23">
      <c r="A77" s="1" t="s">
        <v>1028</v>
      </c>
      <c r="B77" t="s">
        <v>1028</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1028</v>
      </c>
      <c r="S77" t="s">
        <v>1028</v>
      </c>
      <c r="T77" t="s">
        <v>1028</v>
      </c>
      <c r="U77" t="s">
        <v>1028</v>
      </c>
      <c r="V77" t="s">
        <v>1028</v>
      </c>
      <c r="W77" t="s">
        <v>1028</v>
      </c>
    </row>
    <row r="78" spans="1:23">
      <c r="A78" s="1" t="s">
        <v>1028</v>
      </c>
      <c r="B78" t="s">
        <v>1028</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1028</v>
      </c>
      <c r="S78" t="s">
        <v>1028</v>
      </c>
      <c r="T78" t="s">
        <v>1028</v>
      </c>
      <c r="U78" t="s">
        <v>1028</v>
      </c>
      <c r="V78" t="s">
        <v>1028</v>
      </c>
      <c r="W78" t="s">
        <v>1028</v>
      </c>
    </row>
    <row r="79" spans="1:23">
      <c r="A79" s="1" t="s">
        <v>1028</v>
      </c>
      <c r="B79" t="s">
        <v>1028</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1028</v>
      </c>
      <c r="S79" t="s">
        <v>1028</v>
      </c>
      <c r="T79" t="s">
        <v>1028</v>
      </c>
      <c r="U79" t="s">
        <v>1028</v>
      </c>
      <c r="V79" t="s">
        <v>1028</v>
      </c>
      <c r="W79" t="s">
        <v>1028</v>
      </c>
    </row>
    <row r="80" spans="1:23">
      <c r="A80" s="1" t="s">
        <v>1028</v>
      </c>
      <c r="B80" t="s">
        <v>1028</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1028</v>
      </c>
      <c r="S80" t="s">
        <v>1028</v>
      </c>
      <c r="T80" t="s">
        <v>1028</v>
      </c>
      <c r="U80" t="s">
        <v>1028</v>
      </c>
      <c r="V80" t="s">
        <v>1028</v>
      </c>
      <c r="W80" t="s">
        <v>1028</v>
      </c>
    </row>
    <row r="81" spans="1:23">
      <c r="A81" s="1" t="s">
        <v>1028</v>
      </c>
      <c r="B81" t="s">
        <v>1028</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1028</v>
      </c>
      <c r="S81" t="s">
        <v>1028</v>
      </c>
      <c r="T81" t="s">
        <v>1028</v>
      </c>
      <c r="U81" t="s">
        <v>1028</v>
      </c>
      <c r="V81" t="s">
        <v>1028</v>
      </c>
      <c r="W81" t="s">
        <v>1028</v>
      </c>
    </row>
    <row r="82" spans="1:23">
      <c r="A82" s="1" t="s">
        <v>1028</v>
      </c>
      <c r="B82" t="s">
        <v>1028</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1028</v>
      </c>
      <c r="S82" t="s">
        <v>1028</v>
      </c>
      <c r="T82" t="s">
        <v>1028</v>
      </c>
      <c r="U82" t="s">
        <v>1028</v>
      </c>
      <c r="V82" t="s">
        <v>1028</v>
      </c>
      <c r="W82" t="s">
        <v>1028</v>
      </c>
    </row>
    <row r="83" spans="1:23">
      <c r="A83" s="1" t="s">
        <v>1028</v>
      </c>
      <c r="B83" t="s">
        <v>1028</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1028</v>
      </c>
      <c r="S83" t="s">
        <v>1028</v>
      </c>
      <c r="T83" t="s">
        <v>1028</v>
      </c>
      <c r="U83" t="s">
        <v>1028</v>
      </c>
      <c r="V83" t="s">
        <v>1028</v>
      </c>
      <c r="W83" t="s">
        <v>1028</v>
      </c>
    </row>
    <row r="84" spans="1:23">
      <c r="A84" s="1" t="s">
        <v>1028</v>
      </c>
      <c r="B84" t="s">
        <v>1028</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1028</v>
      </c>
      <c r="S84" t="s">
        <v>1028</v>
      </c>
      <c r="T84" t="s">
        <v>1028</v>
      </c>
      <c r="U84" t="s">
        <v>1028</v>
      </c>
      <c r="V84" t="s">
        <v>1028</v>
      </c>
      <c r="W84" t="s">
        <v>1028</v>
      </c>
    </row>
    <row r="85" spans="1:23">
      <c r="A85" s="1" t="s">
        <v>1028</v>
      </c>
      <c r="B85" t="s">
        <v>1028</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1028</v>
      </c>
      <c r="S85" t="s">
        <v>1028</v>
      </c>
      <c r="T85" t="s">
        <v>1028</v>
      </c>
      <c r="U85" t="s">
        <v>1028</v>
      </c>
      <c r="V85" t="s">
        <v>1028</v>
      </c>
      <c r="W85" t="s">
        <v>1028</v>
      </c>
    </row>
    <row r="86" spans="1:23">
      <c r="A86" s="1" t="s">
        <v>1028</v>
      </c>
      <c r="B86" t="s">
        <v>1028</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1028</v>
      </c>
      <c r="S86" t="s">
        <v>1028</v>
      </c>
      <c r="T86" t="s">
        <v>1028</v>
      </c>
      <c r="U86" t="s">
        <v>1028</v>
      </c>
      <c r="V86" t="s">
        <v>1028</v>
      </c>
      <c r="W86" t="s">
        <v>1028</v>
      </c>
    </row>
    <row r="87" spans="1:23">
      <c r="A87" s="1" t="s">
        <v>1028</v>
      </c>
      <c r="B87" t="s">
        <v>1028</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1028</v>
      </c>
      <c r="S87" t="s">
        <v>1028</v>
      </c>
      <c r="T87" t="s">
        <v>1028</v>
      </c>
      <c r="U87" t="s">
        <v>1028</v>
      </c>
      <c r="V87" t="s">
        <v>1028</v>
      </c>
      <c r="W87" t="s">
        <v>1028</v>
      </c>
    </row>
    <row r="88" spans="1:23">
      <c r="A88" s="1" t="s">
        <v>1028</v>
      </c>
      <c r="B88" t="s">
        <v>1028</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1028</v>
      </c>
      <c r="S88" t="s">
        <v>1028</v>
      </c>
      <c r="T88" t="s">
        <v>1028</v>
      </c>
      <c r="U88" t="s">
        <v>1028</v>
      </c>
      <c r="V88" t="s">
        <v>1028</v>
      </c>
      <c r="W88" t="s">
        <v>1028</v>
      </c>
    </row>
    <row r="89" spans="1:23">
      <c r="A89" s="1" t="s">
        <v>1028</v>
      </c>
      <c r="B89" t="s">
        <v>1028</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1028</v>
      </c>
      <c r="S89" t="s">
        <v>1028</v>
      </c>
      <c r="T89" t="s">
        <v>1028</v>
      </c>
      <c r="U89" t="s">
        <v>1028</v>
      </c>
      <c r="V89" t="s">
        <v>1028</v>
      </c>
      <c r="W89" t="s">
        <v>1028</v>
      </c>
    </row>
    <row r="90" spans="1:23">
      <c r="A90" s="1" t="s">
        <v>1028</v>
      </c>
      <c r="B90" t="s">
        <v>1028</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1028</v>
      </c>
      <c r="S90" t="s">
        <v>1028</v>
      </c>
      <c r="T90" t="s">
        <v>1028</v>
      </c>
      <c r="U90" t="s">
        <v>1028</v>
      </c>
      <c r="V90" t="s">
        <v>1028</v>
      </c>
      <c r="W90" t="s">
        <v>1028</v>
      </c>
    </row>
    <row r="91" spans="1:23">
      <c r="A91" s="1" t="s">
        <v>1028</v>
      </c>
      <c r="B91" t="s">
        <v>1028</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1028</v>
      </c>
      <c r="S91" t="s">
        <v>1028</v>
      </c>
      <c r="T91" t="s">
        <v>1028</v>
      </c>
      <c r="U91" t="s">
        <v>1028</v>
      </c>
      <c r="V91" t="s">
        <v>1028</v>
      </c>
      <c r="W91" t="s">
        <v>1028</v>
      </c>
    </row>
    <row r="92" spans="1:23">
      <c r="A92" s="1" t="s">
        <v>1028</v>
      </c>
      <c r="B92" t="s">
        <v>1028</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1028</v>
      </c>
      <c r="S92" t="s">
        <v>1028</v>
      </c>
      <c r="T92" t="s">
        <v>1028</v>
      </c>
      <c r="U92" t="s">
        <v>1028</v>
      </c>
      <c r="V92" t="s">
        <v>1028</v>
      </c>
      <c r="W92" t="s">
        <v>1028</v>
      </c>
    </row>
    <row r="93" spans="1:23">
      <c r="A93" s="1" t="s">
        <v>1028</v>
      </c>
      <c r="B93" t="s">
        <v>1028</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1028</v>
      </c>
      <c r="S93" t="s">
        <v>1028</v>
      </c>
      <c r="T93" t="s">
        <v>1028</v>
      </c>
      <c r="U93" t="s">
        <v>1028</v>
      </c>
      <c r="V93" t="s">
        <v>1028</v>
      </c>
      <c r="W93" t="s">
        <v>1028</v>
      </c>
    </row>
    <row r="94" spans="1:23">
      <c r="A94" s="1" t="s">
        <v>1028</v>
      </c>
      <c r="B94" t="s">
        <v>1028</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1028</v>
      </c>
      <c r="S94" t="s">
        <v>1028</v>
      </c>
      <c r="T94" t="s">
        <v>1028</v>
      </c>
      <c r="U94" t="s">
        <v>1028</v>
      </c>
      <c r="V94" t="s">
        <v>1028</v>
      </c>
      <c r="W94" t="s">
        <v>1028</v>
      </c>
    </row>
    <row r="95" spans="1:23">
      <c r="A95" s="1" t="s">
        <v>1028</v>
      </c>
      <c r="B95" t="s">
        <v>1028</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1028</v>
      </c>
      <c r="S95" t="s">
        <v>1028</v>
      </c>
      <c r="T95" t="s">
        <v>1028</v>
      </c>
      <c r="U95" t="s">
        <v>1028</v>
      </c>
      <c r="V95" t="s">
        <v>1028</v>
      </c>
      <c r="W95" t="s">
        <v>1028</v>
      </c>
    </row>
    <row r="96" spans="1:23">
      <c r="A96" s="1" t="s">
        <v>1028</v>
      </c>
      <c r="B96" t="s">
        <v>1028</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1028</v>
      </c>
      <c r="S96" t="s">
        <v>1028</v>
      </c>
      <c r="T96" t="s">
        <v>1028</v>
      </c>
      <c r="U96" t="s">
        <v>1028</v>
      </c>
      <c r="V96" t="s">
        <v>1028</v>
      </c>
      <c r="W96" t="s">
        <v>1028</v>
      </c>
    </row>
    <row r="97" spans="1:23">
      <c r="A97" s="1" t="s">
        <v>1028</v>
      </c>
      <c r="B97" t="s">
        <v>1028</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1028</v>
      </c>
      <c r="S97" t="s">
        <v>1028</v>
      </c>
      <c r="T97" t="s">
        <v>1028</v>
      </c>
      <c r="U97" t="s">
        <v>1028</v>
      </c>
      <c r="V97" t="s">
        <v>1028</v>
      </c>
      <c r="W97" t="s">
        <v>1028</v>
      </c>
    </row>
    <row r="98" spans="1:23">
      <c r="A98" s="1" t="s">
        <v>1028</v>
      </c>
      <c r="B98" t="s">
        <v>1028</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1028</v>
      </c>
      <c r="S98" t="s">
        <v>1028</v>
      </c>
      <c r="T98" t="s">
        <v>1028</v>
      </c>
      <c r="U98" t="s">
        <v>1028</v>
      </c>
      <c r="V98" t="s">
        <v>1028</v>
      </c>
      <c r="W98" t="s">
        <v>1028</v>
      </c>
    </row>
    <row r="99" spans="1:23">
      <c r="A99" s="1" t="s">
        <v>1028</v>
      </c>
      <c r="B99" t="s">
        <v>1028</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1028</v>
      </c>
      <c r="S99" t="s">
        <v>1028</v>
      </c>
      <c r="T99" t="s">
        <v>1028</v>
      </c>
      <c r="U99" t="s">
        <v>1028</v>
      </c>
      <c r="V99" t="s">
        <v>1028</v>
      </c>
      <c r="W99" t="s">
        <v>1028</v>
      </c>
    </row>
    <row r="100" spans="1:23">
      <c r="A100" s="1" t="s">
        <v>1028</v>
      </c>
      <c r="B100" t="s">
        <v>1028</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1028</v>
      </c>
      <c r="S100" t="s">
        <v>1028</v>
      </c>
      <c r="T100" t="s">
        <v>1028</v>
      </c>
      <c r="U100" t="s">
        <v>1028</v>
      </c>
      <c r="V100" t="s">
        <v>1028</v>
      </c>
      <c r="W100" t="s">
        <v>1028</v>
      </c>
    </row>
    <row r="101" spans="1:23">
      <c r="A101" s="1" t="s">
        <v>1028</v>
      </c>
      <c r="B101" t="s">
        <v>1028</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1028</v>
      </c>
      <c r="S101" t="s">
        <v>1028</v>
      </c>
      <c r="T101" t="s">
        <v>1028</v>
      </c>
      <c r="U101" t="s">
        <v>1028</v>
      </c>
      <c r="V101" t="s">
        <v>1028</v>
      </c>
      <c r="W101" t="s">
        <v>1028</v>
      </c>
    </row>
    <row r="102" spans="1:23">
      <c r="A102" s="1" t="s">
        <v>1028</v>
      </c>
      <c r="B102" t="s">
        <v>1028</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1028</v>
      </c>
      <c r="S102" t="s">
        <v>1028</v>
      </c>
      <c r="T102" t="s">
        <v>1028</v>
      </c>
      <c r="U102" t="s">
        <v>1028</v>
      </c>
      <c r="V102" t="s">
        <v>1028</v>
      </c>
      <c r="W102" t="s">
        <v>1028</v>
      </c>
    </row>
    <row r="103" spans="1:23">
      <c r="A103" s="1" t="s">
        <v>1028</v>
      </c>
      <c r="B103" t="s">
        <v>1028</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1028</v>
      </c>
      <c r="S103" t="s">
        <v>1028</v>
      </c>
      <c r="T103" t="s">
        <v>1028</v>
      </c>
      <c r="U103" t="s">
        <v>1028</v>
      </c>
      <c r="V103" t="s">
        <v>1028</v>
      </c>
      <c r="W103" t="s">
        <v>1028</v>
      </c>
    </row>
    <row r="104" spans="1:23">
      <c r="A104" s="1" t="s">
        <v>1028</v>
      </c>
      <c r="B104" t="s">
        <v>1028</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1028</v>
      </c>
      <c r="S104" t="s">
        <v>1028</v>
      </c>
      <c r="T104" t="s">
        <v>1028</v>
      </c>
      <c r="U104" t="s">
        <v>1028</v>
      </c>
      <c r="V104" t="s">
        <v>1028</v>
      </c>
      <c r="W104" t="s">
        <v>1028</v>
      </c>
    </row>
    <row r="105" spans="1:23">
      <c r="A105" s="1" t="s">
        <v>1028</v>
      </c>
      <c r="B105" t="s">
        <v>1028</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1028</v>
      </c>
      <c r="S105" t="s">
        <v>1028</v>
      </c>
      <c r="T105" t="s">
        <v>1028</v>
      </c>
      <c r="U105" t="s">
        <v>1028</v>
      </c>
      <c r="V105" t="s">
        <v>1028</v>
      </c>
      <c r="W105" t="s">
        <v>1028</v>
      </c>
    </row>
    <row r="106" spans="1:23">
      <c r="A106" s="1" t="s">
        <v>1028</v>
      </c>
      <c r="B106" t="s">
        <v>1028</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1028</v>
      </c>
      <c r="S106" t="s">
        <v>1028</v>
      </c>
      <c r="T106" t="s">
        <v>1028</v>
      </c>
      <c r="U106" t="s">
        <v>1028</v>
      </c>
      <c r="V106" t="s">
        <v>1028</v>
      </c>
      <c r="W106" t="s">
        <v>1028</v>
      </c>
    </row>
    <row r="107" spans="1:23">
      <c r="A107" s="1" t="s">
        <v>1028</v>
      </c>
      <c r="B107" t="s">
        <v>1028</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1028</v>
      </c>
      <c r="S107" t="s">
        <v>1028</v>
      </c>
      <c r="T107" t="s">
        <v>1028</v>
      </c>
      <c r="U107" t="s">
        <v>1028</v>
      </c>
      <c r="V107" t="s">
        <v>1028</v>
      </c>
      <c r="W107" t="s">
        <v>1028</v>
      </c>
    </row>
    <row r="108" spans="1:23">
      <c r="A108" s="1" t="s">
        <v>1028</v>
      </c>
      <c r="B108" t="s">
        <v>1028</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1028</v>
      </c>
      <c r="S108" t="s">
        <v>1028</v>
      </c>
      <c r="T108" t="s">
        <v>1028</v>
      </c>
      <c r="U108" t="s">
        <v>1028</v>
      </c>
      <c r="V108" t="s">
        <v>1028</v>
      </c>
      <c r="W108" t="s">
        <v>1028</v>
      </c>
    </row>
    <row r="109" spans="1:23">
      <c r="A109" s="1" t="s">
        <v>1028</v>
      </c>
      <c r="B109" t="s">
        <v>1028</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1028</v>
      </c>
      <c r="S109" t="s">
        <v>1028</v>
      </c>
      <c r="T109" t="s">
        <v>1028</v>
      </c>
      <c r="U109" t="s">
        <v>1028</v>
      </c>
      <c r="V109" t="s">
        <v>1028</v>
      </c>
      <c r="W109" t="s">
        <v>1028</v>
      </c>
    </row>
    <row r="110" spans="1:23">
      <c r="A110" s="1" t="s">
        <v>1028</v>
      </c>
      <c r="B110" t="s">
        <v>1028</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1028</v>
      </c>
      <c r="S110" t="s">
        <v>1028</v>
      </c>
      <c r="T110" t="s">
        <v>1028</v>
      </c>
      <c r="U110" t="s">
        <v>1028</v>
      </c>
      <c r="V110" t="s">
        <v>1028</v>
      </c>
      <c r="W110" t="s">
        <v>1028</v>
      </c>
    </row>
    <row r="111" spans="1:23">
      <c r="A111" s="1" t="s">
        <v>1028</v>
      </c>
      <c r="B111" t="s">
        <v>1028</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1028</v>
      </c>
      <c r="S111" t="s">
        <v>1028</v>
      </c>
      <c r="T111" t="s">
        <v>1028</v>
      </c>
      <c r="U111" t="s">
        <v>1028</v>
      </c>
      <c r="V111" t="s">
        <v>1028</v>
      </c>
      <c r="W111" t="s">
        <v>1028</v>
      </c>
    </row>
    <row r="112" spans="1:23">
      <c r="A112" s="1" t="s">
        <v>1028</v>
      </c>
      <c r="B112" t="s">
        <v>1028</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1028</v>
      </c>
      <c r="S112" t="s">
        <v>1028</v>
      </c>
      <c r="T112" t="s">
        <v>1028</v>
      </c>
      <c r="U112" t="s">
        <v>1028</v>
      </c>
      <c r="V112" t="s">
        <v>1028</v>
      </c>
      <c r="W112" t="s">
        <v>1028</v>
      </c>
    </row>
    <row r="113" spans="1:23">
      <c r="A113" s="1" t="s">
        <v>1028</v>
      </c>
      <c r="B113" t="s">
        <v>1028</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1028</v>
      </c>
      <c r="S113" t="s">
        <v>1028</v>
      </c>
      <c r="T113" t="s">
        <v>1028</v>
      </c>
      <c r="U113" t="s">
        <v>1028</v>
      </c>
      <c r="V113" t="s">
        <v>1028</v>
      </c>
      <c r="W113" t="s">
        <v>1028</v>
      </c>
    </row>
    <row r="114" spans="1:23">
      <c r="A114" s="1" t="s">
        <v>1028</v>
      </c>
      <c r="B114" t="s">
        <v>1028</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1028</v>
      </c>
      <c r="S114" t="s">
        <v>1028</v>
      </c>
      <c r="T114" t="s">
        <v>1028</v>
      </c>
      <c r="U114" t="s">
        <v>1028</v>
      </c>
      <c r="V114" t="s">
        <v>1028</v>
      </c>
      <c r="W114" t="s">
        <v>1028</v>
      </c>
    </row>
    <row r="115" spans="1:23">
      <c r="A115" s="1" t="s">
        <v>1028</v>
      </c>
      <c r="B115" t="s">
        <v>1028</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1028</v>
      </c>
      <c r="S115" t="s">
        <v>1028</v>
      </c>
      <c r="T115" t="s">
        <v>1028</v>
      </c>
      <c r="U115" t="s">
        <v>1028</v>
      </c>
      <c r="V115" t="s">
        <v>1028</v>
      </c>
      <c r="W115" t="s">
        <v>1028</v>
      </c>
    </row>
    <row r="116" spans="1:23">
      <c r="A116" s="1" t="s">
        <v>1028</v>
      </c>
      <c r="B116" t="s">
        <v>1028</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1028</v>
      </c>
      <c r="S116" t="s">
        <v>1028</v>
      </c>
      <c r="T116" t="s">
        <v>1028</v>
      </c>
      <c r="U116" t="s">
        <v>1028</v>
      </c>
      <c r="V116" t="s">
        <v>1028</v>
      </c>
      <c r="W116" t="s">
        <v>1028</v>
      </c>
    </row>
    <row r="117" spans="1:23">
      <c r="A117" s="1" t="s">
        <v>1028</v>
      </c>
      <c r="B117" t="s">
        <v>1028</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1028</v>
      </c>
      <c r="S117" t="s">
        <v>1028</v>
      </c>
      <c r="T117" t="s">
        <v>1028</v>
      </c>
      <c r="U117" t="s">
        <v>1028</v>
      </c>
      <c r="V117" t="s">
        <v>1028</v>
      </c>
      <c r="W117" t="s">
        <v>1028</v>
      </c>
    </row>
    <row r="118" spans="1:23">
      <c r="A118" s="1" t="s">
        <v>1028</v>
      </c>
      <c r="B118" t="s">
        <v>1028</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1028</v>
      </c>
      <c r="S118" t="s">
        <v>1028</v>
      </c>
      <c r="T118" t="s">
        <v>1028</v>
      </c>
      <c r="U118" t="s">
        <v>1028</v>
      </c>
      <c r="V118" t="s">
        <v>1028</v>
      </c>
      <c r="W118" t="s">
        <v>1028</v>
      </c>
    </row>
    <row r="119" spans="1:23">
      <c r="A119" s="1" t="s">
        <v>1028</v>
      </c>
      <c r="B119" t="s">
        <v>1028</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1028</v>
      </c>
      <c r="S119" t="s">
        <v>1028</v>
      </c>
      <c r="T119" t="s">
        <v>1028</v>
      </c>
      <c r="U119" t="s">
        <v>1028</v>
      </c>
      <c r="V119" t="s">
        <v>1028</v>
      </c>
      <c r="W119" t="s">
        <v>1028</v>
      </c>
    </row>
    <row r="120" spans="1:23">
      <c r="A120" s="1" t="s">
        <v>1028</v>
      </c>
      <c r="B120" t="s">
        <v>1028</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1028</v>
      </c>
      <c r="S120" t="s">
        <v>1028</v>
      </c>
      <c r="T120" t="s">
        <v>1028</v>
      </c>
      <c r="U120" t="s">
        <v>1028</v>
      </c>
      <c r="V120" t="s">
        <v>1028</v>
      </c>
      <c r="W120" t="s">
        <v>1028</v>
      </c>
    </row>
    <row r="121" spans="1:23">
      <c r="A121" s="1" t="s">
        <v>1028</v>
      </c>
      <c r="B121" t="s">
        <v>1028</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1028</v>
      </c>
      <c r="S121" t="s">
        <v>1028</v>
      </c>
      <c r="T121" t="s">
        <v>1028</v>
      </c>
      <c r="U121" t="s">
        <v>1028</v>
      </c>
      <c r="V121" t="s">
        <v>1028</v>
      </c>
      <c r="W121" t="s">
        <v>1028</v>
      </c>
    </row>
    <row r="122" spans="1:23">
      <c r="A122" s="1" t="s">
        <v>1028</v>
      </c>
      <c r="B122" t="s">
        <v>1028</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1028</v>
      </c>
      <c r="S122" t="s">
        <v>1028</v>
      </c>
      <c r="T122" t="s">
        <v>1028</v>
      </c>
      <c r="U122" t="s">
        <v>1028</v>
      </c>
      <c r="V122" t="s">
        <v>1028</v>
      </c>
      <c r="W122" t="s">
        <v>1028</v>
      </c>
    </row>
    <row r="123" spans="1:23">
      <c r="A123" s="1" t="s">
        <v>1028</v>
      </c>
      <c r="B123" t="s">
        <v>1028</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1028</v>
      </c>
      <c r="S123" t="s">
        <v>1028</v>
      </c>
      <c r="T123" t="s">
        <v>1028</v>
      </c>
      <c r="U123" t="s">
        <v>1028</v>
      </c>
      <c r="V123" t="s">
        <v>1028</v>
      </c>
      <c r="W123" t="s">
        <v>1028</v>
      </c>
    </row>
    <row r="124" spans="1:23">
      <c r="A124" s="1" t="s">
        <v>1028</v>
      </c>
      <c r="B124" t="s">
        <v>1028</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1028</v>
      </c>
      <c r="S124" t="s">
        <v>1028</v>
      </c>
      <c r="T124" t="s">
        <v>1028</v>
      </c>
      <c r="U124" t="s">
        <v>1028</v>
      </c>
      <c r="V124" t="s">
        <v>1028</v>
      </c>
      <c r="W124" t="s">
        <v>1028</v>
      </c>
    </row>
    <row r="125" spans="1:23">
      <c r="A125" s="1" t="s">
        <v>1028</v>
      </c>
      <c r="B125" t="s">
        <v>1028</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1028</v>
      </c>
      <c r="S125" t="s">
        <v>1028</v>
      </c>
      <c r="T125" t="s">
        <v>1028</v>
      </c>
      <c r="U125" t="s">
        <v>1028</v>
      </c>
      <c r="V125" t="s">
        <v>1028</v>
      </c>
      <c r="W125" t="s">
        <v>1028</v>
      </c>
    </row>
    <row r="126" spans="1:23">
      <c r="A126" s="1" t="s">
        <v>1028</v>
      </c>
      <c r="B126" t="s">
        <v>1028</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1028</v>
      </c>
      <c r="S126" t="s">
        <v>1028</v>
      </c>
      <c r="T126" t="s">
        <v>1028</v>
      </c>
      <c r="U126" t="s">
        <v>1028</v>
      </c>
      <c r="V126" t="s">
        <v>1028</v>
      </c>
      <c r="W126" t="s">
        <v>1028</v>
      </c>
    </row>
    <row r="127" spans="1:23">
      <c r="A127" s="1" t="s">
        <v>1028</v>
      </c>
      <c r="B127" t="s">
        <v>1028</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1028</v>
      </c>
      <c r="S127" t="s">
        <v>1028</v>
      </c>
      <c r="T127" t="s">
        <v>1028</v>
      </c>
      <c r="U127" t="s">
        <v>1028</v>
      </c>
      <c r="V127" t="s">
        <v>1028</v>
      </c>
      <c r="W127" t="s">
        <v>1028</v>
      </c>
    </row>
    <row r="128" spans="1:23">
      <c r="A128" s="1" t="s">
        <v>1028</v>
      </c>
      <c r="B128" t="s">
        <v>1028</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1028</v>
      </c>
      <c r="S128" t="s">
        <v>1028</v>
      </c>
      <c r="T128" t="s">
        <v>1028</v>
      </c>
      <c r="U128" t="s">
        <v>1028</v>
      </c>
      <c r="V128" t="s">
        <v>1028</v>
      </c>
      <c r="W128" t="s">
        <v>1028</v>
      </c>
    </row>
    <row r="129" spans="1:23">
      <c r="A129" s="1" t="s">
        <v>1028</v>
      </c>
      <c r="B129" t="s">
        <v>1028</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1028</v>
      </c>
      <c r="S129" t="s">
        <v>1028</v>
      </c>
      <c r="T129" t="s">
        <v>1028</v>
      </c>
      <c r="U129" t="s">
        <v>1028</v>
      </c>
      <c r="V129" t="s">
        <v>1028</v>
      </c>
      <c r="W129" t="s">
        <v>1028</v>
      </c>
    </row>
    <row r="130" spans="1:23">
      <c r="A130" s="1" t="s">
        <v>1028</v>
      </c>
      <c r="B130" t="s">
        <v>1028</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1028</v>
      </c>
      <c r="S130" t="s">
        <v>1028</v>
      </c>
      <c r="T130" t="s">
        <v>1028</v>
      </c>
      <c r="U130" t="s">
        <v>1028</v>
      </c>
      <c r="V130" t="s">
        <v>1028</v>
      </c>
      <c r="W130" t="s">
        <v>1028</v>
      </c>
    </row>
    <row r="131" spans="1:23">
      <c r="A131" s="1" t="s">
        <v>1028</v>
      </c>
      <c r="B131" t="s">
        <v>1028</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1028</v>
      </c>
      <c r="S131" t="s">
        <v>1028</v>
      </c>
      <c r="T131" t="s">
        <v>1028</v>
      </c>
      <c r="U131" t="s">
        <v>1028</v>
      </c>
      <c r="V131" t="s">
        <v>1028</v>
      </c>
      <c r="W131" t="s">
        <v>1028</v>
      </c>
    </row>
    <row r="132" spans="1:23">
      <c r="A132" s="1" t="s">
        <v>1028</v>
      </c>
      <c r="B132" t="s">
        <v>1028</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1028</v>
      </c>
      <c r="S132" t="s">
        <v>1028</v>
      </c>
      <c r="T132" t="s">
        <v>1028</v>
      </c>
      <c r="U132" t="s">
        <v>1028</v>
      </c>
      <c r="V132" t="s">
        <v>1028</v>
      </c>
      <c r="W132" t="s">
        <v>1028</v>
      </c>
    </row>
    <row r="133" spans="1:23">
      <c r="A133" s="1" t="s">
        <v>1028</v>
      </c>
      <c r="B133" t="s">
        <v>1028</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1028</v>
      </c>
      <c r="S133" t="s">
        <v>1028</v>
      </c>
      <c r="T133" t="s">
        <v>1028</v>
      </c>
      <c r="U133" t="s">
        <v>1028</v>
      </c>
      <c r="V133" t="s">
        <v>1028</v>
      </c>
      <c r="W133" t="s">
        <v>1028</v>
      </c>
    </row>
    <row r="134" spans="1:23">
      <c r="A134" s="1" t="s">
        <v>1028</v>
      </c>
      <c r="B134" t="s">
        <v>1028</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1028</v>
      </c>
      <c r="S134" t="s">
        <v>1028</v>
      </c>
      <c r="T134" t="s">
        <v>1028</v>
      </c>
      <c r="U134" t="s">
        <v>1028</v>
      </c>
      <c r="V134" t="s">
        <v>1028</v>
      </c>
      <c r="W134" t="s">
        <v>1028</v>
      </c>
    </row>
    <row r="135" spans="1:23">
      <c r="A135" s="1" t="s">
        <v>1028</v>
      </c>
      <c r="B135" t="s">
        <v>1028</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1028</v>
      </c>
      <c r="S135" t="s">
        <v>1028</v>
      </c>
      <c r="T135" t="s">
        <v>1028</v>
      </c>
      <c r="U135" t="s">
        <v>1028</v>
      </c>
      <c r="V135" t="s">
        <v>1028</v>
      </c>
      <c r="W135" t="s">
        <v>1028</v>
      </c>
    </row>
    <row r="136" spans="1:23">
      <c r="A136" s="1" t="s">
        <v>1028</v>
      </c>
      <c r="B136" t="s">
        <v>1028</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1028</v>
      </c>
      <c r="S136" t="s">
        <v>1028</v>
      </c>
      <c r="T136" t="s">
        <v>1028</v>
      </c>
      <c r="U136" t="s">
        <v>1028</v>
      </c>
      <c r="V136" t="s">
        <v>1028</v>
      </c>
      <c r="W136" t="s">
        <v>1028</v>
      </c>
    </row>
    <row r="137" spans="1:23">
      <c r="A137" s="1" t="s">
        <v>1028</v>
      </c>
      <c r="B137" t="s">
        <v>1028</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1028</v>
      </c>
      <c r="S137" t="s">
        <v>1028</v>
      </c>
      <c r="T137" t="s">
        <v>1028</v>
      </c>
      <c r="U137" t="s">
        <v>1028</v>
      </c>
      <c r="V137" t="s">
        <v>1028</v>
      </c>
      <c r="W137" t="s">
        <v>1028</v>
      </c>
    </row>
    <row r="138" spans="1:23">
      <c r="A138" s="1" t="s">
        <v>1028</v>
      </c>
      <c r="B138" t="s">
        <v>1028</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1028</v>
      </c>
      <c r="S138" t="s">
        <v>1028</v>
      </c>
      <c r="T138" t="s">
        <v>1028</v>
      </c>
      <c r="U138" t="s">
        <v>1028</v>
      </c>
      <c r="V138" t="s">
        <v>1028</v>
      </c>
      <c r="W138" t="s">
        <v>1028</v>
      </c>
    </row>
    <row r="139" spans="1:23">
      <c r="A139" s="1" t="s">
        <v>1028</v>
      </c>
      <c r="B139" t="s">
        <v>1028</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1028</v>
      </c>
      <c r="S139" t="s">
        <v>1028</v>
      </c>
      <c r="T139" t="s">
        <v>1028</v>
      </c>
      <c r="U139" t="s">
        <v>1028</v>
      </c>
      <c r="V139" t="s">
        <v>1028</v>
      </c>
      <c r="W139" t="s">
        <v>1028</v>
      </c>
    </row>
    <row r="140" spans="1:23">
      <c r="A140" s="1" t="s">
        <v>1028</v>
      </c>
      <c r="B140" t="s">
        <v>1028</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1028</v>
      </c>
      <c r="S140" t="s">
        <v>1028</v>
      </c>
      <c r="T140" t="s">
        <v>1028</v>
      </c>
      <c r="U140" t="s">
        <v>1028</v>
      </c>
      <c r="V140" t="s">
        <v>1028</v>
      </c>
      <c r="W140" t="s">
        <v>1028</v>
      </c>
    </row>
    <row r="141" spans="1:23">
      <c r="A141" s="1" t="s">
        <v>1028</v>
      </c>
      <c r="B141" t="s">
        <v>1028</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1028</v>
      </c>
      <c r="S141" t="s">
        <v>1028</v>
      </c>
      <c r="T141" t="s">
        <v>1028</v>
      </c>
      <c r="U141" t="s">
        <v>1028</v>
      </c>
      <c r="V141" t="s">
        <v>1028</v>
      </c>
      <c r="W141" t="s">
        <v>1028</v>
      </c>
    </row>
    <row r="142" spans="1:23">
      <c r="A142" s="1" t="s">
        <v>1028</v>
      </c>
      <c r="B142" t="s">
        <v>1028</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1028</v>
      </c>
      <c r="S142" t="s">
        <v>1028</v>
      </c>
      <c r="T142" t="s">
        <v>1028</v>
      </c>
      <c r="U142" t="s">
        <v>1028</v>
      </c>
      <c r="V142" t="s">
        <v>1028</v>
      </c>
      <c r="W142" t="s">
        <v>1028</v>
      </c>
    </row>
    <row r="143" spans="1:23">
      <c r="A143" s="1" t="s">
        <v>1028</v>
      </c>
      <c r="B143" t="s">
        <v>1028</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1028</v>
      </c>
      <c r="S143" t="s">
        <v>1028</v>
      </c>
      <c r="T143" t="s">
        <v>1028</v>
      </c>
      <c r="U143" t="s">
        <v>1028</v>
      </c>
      <c r="V143" t="s">
        <v>1028</v>
      </c>
      <c r="W143" t="s">
        <v>1028</v>
      </c>
    </row>
    <row r="144" spans="1:23">
      <c r="A144" s="1" t="s">
        <v>1028</v>
      </c>
      <c r="B144" t="s">
        <v>1028</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1028</v>
      </c>
      <c r="S144" t="s">
        <v>1028</v>
      </c>
      <c r="T144" t="s">
        <v>1028</v>
      </c>
      <c r="U144" t="s">
        <v>1028</v>
      </c>
      <c r="V144" t="s">
        <v>1028</v>
      </c>
      <c r="W144" t="s">
        <v>1028</v>
      </c>
    </row>
    <row r="145" spans="1:23">
      <c r="A145" s="1" t="s">
        <v>1028</v>
      </c>
      <c r="B145" t="s">
        <v>1028</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1028</v>
      </c>
      <c r="S145" t="s">
        <v>1028</v>
      </c>
      <c r="T145" t="s">
        <v>1028</v>
      </c>
      <c r="U145" t="s">
        <v>1028</v>
      </c>
      <c r="V145" t="s">
        <v>1028</v>
      </c>
      <c r="W145" t="s">
        <v>1028</v>
      </c>
    </row>
    <row r="146" spans="1:23">
      <c r="A146" s="1" t="s">
        <v>1028</v>
      </c>
      <c r="B146" t="s">
        <v>1028</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1028</v>
      </c>
      <c r="S146" t="s">
        <v>1028</v>
      </c>
      <c r="T146" t="s">
        <v>1028</v>
      </c>
      <c r="U146" t="s">
        <v>1028</v>
      </c>
      <c r="V146" t="s">
        <v>1028</v>
      </c>
      <c r="W146" t="s">
        <v>1028</v>
      </c>
    </row>
    <row r="147" spans="1:23">
      <c r="A147" s="1" t="s">
        <v>1028</v>
      </c>
      <c r="B147" t="s">
        <v>1028</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1028</v>
      </c>
      <c r="S147" t="s">
        <v>1028</v>
      </c>
      <c r="T147" t="s">
        <v>1028</v>
      </c>
      <c r="U147" t="s">
        <v>1028</v>
      </c>
      <c r="V147" t="s">
        <v>1028</v>
      </c>
      <c r="W147" t="s">
        <v>1028</v>
      </c>
    </row>
    <row r="148" spans="1:23">
      <c r="A148" s="1" t="s">
        <v>1028</v>
      </c>
      <c r="B148" t="s">
        <v>1028</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1028</v>
      </c>
      <c r="S148" t="s">
        <v>1028</v>
      </c>
      <c r="T148" t="s">
        <v>1028</v>
      </c>
      <c r="U148" t="s">
        <v>1028</v>
      </c>
      <c r="V148" t="s">
        <v>1028</v>
      </c>
      <c r="W148" t="s">
        <v>1028</v>
      </c>
    </row>
    <row r="149" spans="1:23">
      <c r="A149" s="1" t="s">
        <v>1028</v>
      </c>
      <c r="B149" t="s">
        <v>1028</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1028</v>
      </c>
      <c r="S149" t="s">
        <v>1028</v>
      </c>
      <c r="T149" t="s">
        <v>1028</v>
      </c>
      <c r="U149" t="s">
        <v>1028</v>
      </c>
      <c r="V149" t="s">
        <v>1028</v>
      </c>
      <c r="W149" t="s">
        <v>1028</v>
      </c>
    </row>
    <row r="150" spans="1:23">
      <c r="A150" s="1" t="s">
        <v>1028</v>
      </c>
      <c r="B150" t="s">
        <v>1028</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1028</v>
      </c>
      <c r="S150" t="s">
        <v>1028</v>
      </c>
      <c r="T150" t="s">
        <v>1028</v>
      </c>
      <c r="U150" t="s">
        <v>1028</v>
      </c>
      <c r="V150" t="s">
        <v>1028</v>
      </c>
      <c r="W150" t="s">
        <v>1028</v>
      </c>
    </row>
    <row r="151" spans="1:23">
      <c r="A151" s="1" t="s">
        <v>1028</v>
      </c>
      <c r="B151" t="s">
        <v>1028</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1028</v>
      </c>
      <c r="S151" t="s">
        <v>1028</v>
      </c>
      <c r="T151" t="s">
        <v>1028</v>
      </c>
      <c r="U151" t="s">
        <v>1028</v>
      </c>
      <c r="V151" t="s">
        <v>1028</v>
      </c>
      <c r="W151" t="s">
        <v>1028</v>
      </c>
    </row>
    <row r="152" spans="1:23">
      <c r="A152" s="1" t="s">
        <v>1028</v>
      </c>
      <c r="B152" t="s">
        <v>1028</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1028</v>
      </c>
      <c r="S152" t="s">
        <v>1028</v>
      </c>
      <c r="T152" t="s">
        <v>1028</v>
      </c>
      <c r="U152" t="s">
        <v>1028</v>
      </c>
      <c r="V152" t="s">
        <v>1028</v>
      </c>
      <c r="W152" t="s">
        <v>1028</v>
      </c>
    </row>
    <row r="153" spans="1:23">
      <c r="A153" s="1" t="s">
        <v>1028</v>
      </c>
      <c r="B153" t="s">
        <v>1028</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1028</v>
      </c>
      <c r="S153" t="s">
        <v>1028</v>
      </c>
      <c r="T153" t="s">
        <v>1028</v>
      </c>
      <c r="U153" t="s">
        <v>1028</v>
      </c>
      <c r="V153" t="s">
        <v>1028</v>
      </c>
      <c r="W153" t="s">
        <v>1028</v>
      </c>
    </row>
    <row r="154" spans="1:23">
      <c r="A154" s="1" t="s">
        <v>1028</v>
      </c>
      <c r="B154" t="s">
        <v>1028</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1028</v>
      </c>
      <c r="S154" t="s">
        <v>1028</v>
      </c>
      <c r="T154" t="s">
        <v>1028</v>
      </c>
      <c r="U154" t="s">
        <v>1028</v>
      </c>
      <c r="V154" t="s">
        <v>1028</v>
      </c>
      <c r="W154" t="s">
        <v>1028</v>
      </c>
    </row>
    <row r="155" spans="1:23">
      <c r="A155" s="1" t="s">
        <v>1028</v>
      </c>
      <c r="B155" t="s">
        <v>1028</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1028</v>
      </c>
      <c r="S155" t="s">
        <v>1028</v>
      </c>
      <c r="T155" t="s">
        <v>1028</v>
      </c>
      <c r="U155" t="s">
        <v>1028</v>
      </c>
      <c r="V155" t="s">
        <v>1028</v>
      </c>
      <c r="W155" t="s">
        <v>1028</v>
      </c>
    </row>
    <row r="156" spans="1:23">
      <c r="A156" s="1" t="s">
        <v>1028</v>
      </c>
      <c r="B156" t="s">
        <v>1028</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1028</v>
      </c>
      <c r="S156" t="s">
        <v>1028</v>
      </c>
      <c r="T156" t="s">
        <v>1028</v>
      </c>
      <c r="U156" t="s">
        <v>1028</v>
      </c>
      <c r="V156" t="s">
        <v>1028</v>
      </c>
      <c r="W156" t="s">
        <v>1028</v>
      </c>
    </row>
    <row r="157" spans="1:23">
      <c r="A157" s="1" t="s">
        <v>1028</v>
      </c>
      <c r="B157" t="s">
        <v>1028</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1028</v>
      </c>
      <c r="S157" t="s">
        <v>1028</v>
      </c>
      <c r="T157" t="s">
        <v>1028</v>
      </c>
      <c r="U157" t="s">
        <v>1028</v>
      </c>
      <c r="V157" t="s">
        <v>1028</v>
      </c>
      <c r="W157" t="s">
        <v>1028</v>
      </c>
    </row>
    <row r="158" spans="1:23">
      <c r="A158" s="1" t="s">
        <v>1028</v>
      </c>
      <c r="B158" t="s">
        <v>1028</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1028</v>
      </c>
      <c r="S158" t="s">
        <v>1028</v>
      </c>
      <c r="T158" t="s">
        <v>1028</v>
      </c>
      <c r="U158" t="s">
        <v>1028</v>
      </c>
      <c r="V158" t="s">
        <v>1028</v>
      </c>
      <c r="W158" t="s">
        <v>1028</v>
      </c>
    </row>
    <row r="159" spans="1:23">
      <c r="A159" s="1" t="s">
        <v>1028</v>
      </c>
      <c r="B159" t="s">
        <v>1028</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1028</v>
      </c>
      <c r="S159" t="s">
        <v>1028</v>
      </c>
      <c r="T159" t="s">
        <v>1028</v>
      </c>
      <c r="U159" t="s">
        <v>1028</v>
      </c>
      <c r="V159" t="s">
        <v>1028</v>
      </c>
      <c r="W159" t="s">
        <v>1028</v>
      </c>
    </row>
    <row r="160" spans="1:23">
      <c r="A160" s="1" t="s">
        <v>1028</v>
      </c>
      <c r="B160" t="s">
        <v>1028</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1028</v>
      </c>
      <c r="S160" t="s">
        <v>1028</v>
      </c>
      <c r="T160" t="s">
        <v>1028</v>
      </c>
      <c r="U160" t="s">
        <v>1028</v>
      </c>
      <c r="V160" t="s">
        <v>1028</v>
      </c>
      <c r="W160" t="s">
        <v>1028</v>
      </c>
    </row>
    <row r="161" spans="1:23">
      <c r="A161" s="1" t="s">
        <v>1028</v>
      </c>
      <c r="B161" t="s">
        <v>1028</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1028</v>
      </c>
      <c r="S161" t="s">
        <v>1028</v>
      </c>
      <c r="T161" t="s">
        <v>1028</v>
      </c>
      <c r="U161" t="s">
        <v>1028</v>
      </c>
      <c r="V161" t="s">
        <v>1028</v>
      </c>
      <c r="W161" t="s">
        <v>1028</v>
      </c>
    </row>
    <row r="162" spans="1:23">
      <c r="A162" s="1" t="s">
        <v>1028</v>
      </c>
      <c r="B162" t="s">
        <v>1028</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1028</v>
      </c>
      <c r="S162" t="s">
        <v>1028</v>
      </c>
      <c r="T162" t="s">
        <v>1028</v>
      </c>
      <c r="U162" t="s">
        <v>1028</v>
      </c>
      <c r="V162" t="s">
        <v>1028</v>
      </c>
      <c r="W162" t="s">
        <v>1028</v>
      </c>
    </row>
    <row r="163" spans="1:23">
      <c r="A163" s="1" t="s">
        <v>1028</v>
      </c>
      <c r="B163" t="s">
        <v>1028</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1028</v>
      </c>
      <c r="S163" t="s">
        <v>1028</v>
      </c>
      <c r="T163" t="s">
        <v>1028</v>
      </c>
      <c r="U163" t="s">
        <v>1028</v>
      </c>
      <c r="V163" t="s">
        <v>1028</v>
      </c>
      <c r="W163" t="s">
        <v>1028</v>
      </c>
    </row>
    <row r="164" spans="1:23">
      <c r="A164" s="1" t="s">
        <v>1028</v>
      </c>
      <c r="B164" t="s">
        <v>1028</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1028</v>
      </c>
      <c r="S164" t="s">
        <v>1028</v>
      </c>
      <c r="T164" t="s">
        <v>1028</v>
      </c>
      <c r="U164" t="s">
        <v>1028</v>
      </c>
      <c r="V164" t="s">
        <v>1028</v>
      </c>
      <c r="W164" t="s">
        <v>1028</v>
      </c>
    </row>
    <row r="165" spans="1:23">
      <c r="A165" s="1" t="s">
        <v>1028</v>
      </c>
      <c r="B165" t="s">
        <v>1028</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1028</v>
      </c>
      <c r="S165" t="s">
        <v>1028</v>
      </c>
      <c r="T165" t="s">
        <v>1028</v>
      </c>
      <c r="U165" t="s">
        <v>1028</v>
      </c>
      <c r="V165" t="s">
        <v>1028</v>
      </c>
      <c r="W165" t="s">
        <v>1028</v>
      </c>
    </row>
    <row r="166" spans="1:23">
      <c r="A166" s="1" t="s">
        <v>1028</v>
      </c>
      <c r="B166" t="s">
        <v>1028</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1028</v>
      </c>
      <c r="S166" t="s">
        <v>1028</v>
      </c>
      <c r="T166" t="s">
        <v>1028</v>
      </c>
      <c r="U166" t="s">
        <v>1028</v>
      </c>
      <c r="V166" t="s">
        <v>1028</v>
      </c>
      <c r="W166" t="s">
        <v>1028</v>
      </c>
    </row>
    <row r="167" spans="1:23">
      <c r="A167" s="1" t="s">
        <v>1028</v>
      </c>
      <c r="B167" t="s">
        <v>1028</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1028</v>
      </c>
      <c r="S167" t="s">
        <v>1028</v>
      </c>
      <c r="T167" t="s">
        <v>1028</v>
      </c>
      <c r="U167" t="s">
        <v>1028</v>
      </c>
      <c r="V167" t="s">
        <v>1028</v>
      </c>
      <c r="W167" t="s">
        <v>1028</v>
      </c>
    </row>
    <row r="168" spans="1:23">
      <c r="A168" s="1" t="s">
        <v>1028</v>
      </c>
      <c r="B168" t="s">
        <v>1028</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1028</v>
      </c>
      <c r="S168" t="s">
        <v>1028</v>
      </c>
      <c r="T168" t="s">
        <v>1028</v>
      </c>
      <c r="U168" t="s">
        <v>1028</v>
      </c>
      <c r="V168" t="s">
        <v>1028</v>
      </c>
      <c r="W168" t="s">
        <v>1028</v>
      </c>
    </row>
    <row r="169" spans="1:23">
      <c r="A169" s="1" t="s">
        <v>1028</v>
      </c>
      <c r="B169" t="s">
        <v>1028</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1028</v>
      </c>
      <c r="S169" t="s">
        <v>1028</v>
      </c>
      <c r="T169" t="s">
        <v>1028</v>
      </c>
      <c r="U169" t="s">
        <v>1028</v>
      </c>
      <c r="V169" t="s">
        <v>1028</v>
      </c>
      <c r="W169" t="s">
        <v>1028</v>
      </c>
    </row>
    <row r="170" spans="1:23">
      <c r="A170" s="1" t="s">
        <v>1028</v>
      </c>
      <c r="B170" t="s">
        <v>1028</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1028</v>
      </c>
      <c r="S170" t="s">
        <v>1028</v>
      </c>
      <c r="T170" t="s">
        <v>1028</v>
      </c>
      <c r="U170" t="s">
        <v>1028</v>
      </c>
      <c r="V170" t="s">
        <v>1028</v>
      </c>
      <c r="W170" t="s">
        <v>1028</v>
      </c>
    </row>
    <row r="171" spans="1:23">
      <c r="A171" s="1" t="s">
        <v>1028</v>
      </c>
      <c r="B171" t="s">
        <v>1028</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1028</v>
      </c>
      <c r="S171" t="s">
        <v>1028</v>
      </c>
      <c r="T171" t="s">
        <v>1028</v>
      </c>
      <c r="U171" t="s">
        <v>1028</v>
      </c>
      <c r="V171" t="s">
        <v>1028</v>
      </c>
      <c r="W171" t="s">
        <v>1028</v>
      </c>
    </row>
    <row r="172" spans="1:23">
      <c r="A172" s="1" t="s">
        <v>1028</v>
      </c>
      <c r="B172" t="s">
        <v>1028</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1028</v>
      </c>
      <c r="S172" t="s">
        <v>1028</v>
      </c>
      <c r="T172" t="s">
        <v>1028</v>
      </c>
      <c r="U172" t="s">
        <v>1028</v>
      </c>
      <c r="V172" t="s">
        <v>1028</v>
      </c>
      <c r="W172" t="s">
        <v>1028</v>
      </c>
    </row>
    <row r="173" spans="1:23">
      <c r="A173" s="1" t="s">
        <v>1028</v>
      </c>
      <c r="B173" t="s">
        <v>1028</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1028</v>
      </c>
      <c r="S173" t="s">
        <v>1028</v>
      </c>
      <c r="T173" t="s">
        <v>1028</v>
      </c>
      <c r="U173" t="s">
        <v>1028</v>
      </c>
      <c r="V173" t="s">
        <v>1028</v>
      </c>
      <c r="W173" t="s">
        <v>1028</v>
      </c>
    </row>
    <row r="174" spans="1:23">
      <c r="A174" s="1" t="s">
        <v>1028</v>
      </c>
      <c r="B174" t="s">
        <v>1028</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1028</v>
      </c>
      <c r="S174" t="s">
        <v>1028</v>
      </c>
      <c r="T174" t="s">
        <v>1028</v>
      </c>
      <c r="U174" t="s">
        <v>1028</v>
      </c>
      <c r="V174" t="s">
        <v>1028</v>
      </c>
      <c r="W174" t="s">
        <v>1028</v>
      </c>
    </row>
    <row r="175" spans="1:23">
      <c r="A175" s="1" t="s">
        <v>1028</v>
      </c>
      <c r="B175" t="s">
        <v>1028</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1028</v>
      </c>
      <c r="S175" t="s">
        <v>1028</v>
      </c>
      <c r="T175" t="s">
        <v>1028</v>
      </c>
      <c r="U175" t="s">
        <v>1028</v>
      </c>
      <c r="V175" t="s">
        <v>1028</v>
      </c>
      <c r="W175" t="s">
        <v>1028</v>
      </c>
    </row>
    <row r="176" spans="1:23">
      <c r="A176" s="1" t="s">
        <v>1028</v>
      </c>
      <c r="B176" t="s">
        <v>1028</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1028</v>
      </c>
      <c r="S176" t="s">
        <v>1028</v>
      </c>
      <c r="T176" t="s">
        <v>1028</v>
      </c>
      <c r="U176" t="s">
        <v>1028</v>
      </c>
      <c r="V176" t="s">
        <v>1028</v>
      </c>
      <c r="W176" t="s">
        <v>1028</v>
      </c>
    </row>
    <row r="177" spans="1:23">
      <c r="A177" s="1" t="s">
        <v>1028</v>
      </c>
      <c r="B177" t="s">
        <v>1028</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1028</v>
      </c>
      <c r="S177" t="s">
        <v>1028</v>
      </c>
      <c r="T177" t="s">
        <v>1028</v>
      </c>
      <c r="U177" t="s">
        <v>1028</v>
      </c>
      <c r="V177" t="s">
        <v>1028</v>
      </c>
      <c r="W177" t="s">
        <v>1028</v>
      </c>
    </row>
    <row r="178" spans="1:23">
      <c r="A178" s="1" t="s">
        <v>1028</v>
      </c>
      <c r="B178" t="s">
        <v>1028</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1028</v>
      </c>
      <c r="S178" t="s">
        <v>1028</v>
      </c>
      <c r="T178" t="s">
        <v>1028</v>
      </c>
      <c r="U178" t="s">
        <v>1028</v>
      </c>
      <c r="V178" t="s">
        <v>1028</v>
      </c>
      <c r="W178" t="s">
        <v>1028</v>
      </c>
    </row>
    <row r="179" spans="1:23">
      <c r="A179" s="1" t="s">
        <v>1028</v>
      </c>
      <c r="B179" t="s">
        <v>1028</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1028</v>
      </c>
      <c r="S179" t="s">
        <v>1028</v>
      </c>
      <c r="T179" t="s">
        <v>1028</v>
      </c>
      <c r="U179" t="s">
        <v>1028</v>
      </c>
      <c r="V179" t="s">
        <v>1028</v>
      </c>
      <c r="W179" t="s">
        <v>1028</v>
      </c>
    </row>
    <row r="180" spans="1:23">
      <c r="A180" s="1" t="s">
        <v>1028</v>
      </c>
      <c r="B180" t="s">
        <v>1028</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1028</v>
      </c>
      <c r="S180" t="s">
        <v>1028</v>
      </c>
      <c r="T180" t="s">
        <v>1028</v>
      </c>
      <c r="U180" t="s">
        <v>1028</v>
      </c>
      <c r="V180" t="s">
        <v>1028</v>
      </c>
      <c r="W180" t="s">
        <v>1028</v>
      </c>
    </row>
    <row r="181" spans="1:23">
      <c r="A181" s="1" t="s">
        <v>1028</v>
      </c>
      <c r="B181" t="s">
        <v>1028</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1028</v>
      </c>
      <c r="S181" t="s">
        <v>1028</v>
      </c>
      <c r="T181" t="s">
        <v>1028</v>
      </c>
      <c r="U181" t="s">
        <v>1028</v>
      </c>
      <c r="V181" t="s">
        <v>1028</v>
      </c>
      <c r="W181" t="s">
        <v>1028</v>
      </c>
    </row>
    <row r="182" spans="1:23">
      <c r="A182" s="1" t="s">
        <v>1028</v>
      </c>
      <c r="B182" t="s">
        <v>1028</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1028</v>
      </c>
      <c r="S182" t="s">
        <v>1028</v>
      </c>
      <c r="T182" t="s">
        <v>1028</v>
      </c>
      <c r="U182" t="s">
        <v>1028</v>
      </c>
      <c r="V182" t="s">
        <v>1028</v>
      </c>
      <c r="W182" t="s">
        <v>1028</v>
      </c>
    </row>
    <row r="183" spans="1:23">
      <c r="A183" s="1" t="s">
        <v>1028</v>
      </c>
      <c r="B183" t="s">
        <v>1028</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1028</v>
      </c>
      <c r="S183" t="s">
        <v>1028</v>
      </c>
      <c r="T183" t="s">
        <v>1028</v>
      </c>
      <c r="U183" t="s">
        <v>1028</v>
      </c>
      <c r="V183" t="s">
        <v>1028</v>
      </c>
      <c r="W183" t="s">
        <v>1028</v>
      </c>
    </row>
    <row r="184" spans="1:23">
      <c r="A184" s="1" t="s">
        <v>1028</v>
      </c>
      <c r="B184" t="s">
        <v>1028</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1028</v>
      </c>
      <c r="S184" t="s">
        <v>1028</v>
      </c>
      <c r="T184" t="s">
        <v>1028</v>
      </c>
      <c r="U184" t="s">
        <v>1028</v>
      </c>
      <c r="V184" t="s">
        <v>1028</v>
      </c>
      <c r="W184" t="s">
        <v>1028</v>
      </c>
    </row>
    <row r="185" spans="1:23">
      <c r="A185" s="1" t="s">
        <v>1028</v>
      </c>
      <c r="B185" t="s">
        <v>1028</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1028</v>
      </c>
      <c r="S185" t="s">
        <v>1028</v>
      </c>
      <c r="T185" t="s">
        <v>1028</v>
      </c>
      <c r="U185" t="s">
        <v>1028</v>
      </c>
      <c r="V185" t="s">
        <v>1028</v>
      </c>
      <c r="W185" t="s">
        <v>1028</v>
      </c>
    </row>
    <row r="186" spans="1:23">
      <c r="A186" s="1" t="s">
        <v>1028</v>
      </c>
      <c r="B186" t="s">
        <v>1028</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1028</v>
      </c>
      <c r="S186" t="s">
        <v>1028</v>
      </c>
      <c r="T186" t="s">
        <v>1028</v>
      </c>
      <c r="U186" t="s">
        <v>1028</v>
      </c>
      <c r="V186" t="s">
        <v>1028</v>
      </c>
      <c r="W186" t="s">
        <v>1028</v>
      </c>
    </row>
    <row r="187" spans="1:23">
      <c r="A187" s="1" t="s">
        <v>1028</v>
      </c>
      <c r="B187" t="s">
        <v>1028</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1028</v>
      </c>
      <c r="S187" t="s">
        <v>1028</v>
      </c>
      <c r="T187" t="s">
        <v>1028</v>
      </c>
      <c r="U187" t="s">
        <v>1028</v>
      </c>
      <c r="V187" t="s">
        <v>1028</v>
      </c>
      <c r="W187" t="s">
        <v>1028</v>
      </c>
    </row>
    <row r="188" spans="1:23">
      <c r="A188" s="1" t="s">
        <v>1028</v>
      </c>
      <c r="B188" t="s">
        <v>1028</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1028</v>
      </c>
      <c r="S188" t="s">
        <v>1028</v>
      </c>
      <c r="T188" t="s">
        <v>1028</v>
      </c>
      <c r="U188" t="s">
        <v>1028</v>
      </c>
      <c r="V188" t="s">
        <v>1028</v>
      </c>
      <c r="W188" t="s">
        <v>1028</v>
      </c>
    </row>
    <row r="189" spans="1:23">
      <c r="A189" s="1" t="s">
        <v>1028</v>
      </c>
      <c r="B189" t="s">
        <v>1028</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1028</v>
      </c>
      <c r="S189" t="s">
        <v>1028</v>
      </c>
      <c r="T189" t="s">
        <v>1028</v>
      </c>
      <c r="U189" t="s">
        <v>1028</v>
      </c>
      <c r="V189" t="s">
        <v>1028</v>
      </c>
      <c r="W189" t="s">
        <v>1028</v>
      </c>
    </row>
    <row r="190" spans="1:23">
      <c r="A190" s="1" t="s">
        <v>1028</v>
      </c>
      <c r="B190" t="s">
        <v>1028</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1028</v>
      </c>
      <c r="S190" t="s">
        <v>1028</v>
      </c>
      <c r="T190" t="s">
        <v>1028</v>
      </c>
      <c r="U190" t="s">
        <v>1028</v>
      </c>
      <c r="V190" t="s">
        <v>1028</v>
      </c>
      <c r="W190" t="s">
        <v>1028</v>
      </c>
    </row>
    <row r="191" spans="1:23">
      <c r="A191" s="1" t="s">
        <v>1028</v>
      </c>
      <c r="B191" t="s">
        <v>1028</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1028</v>
      </c>
      <c r="S191" t="s">
        <v>1028</v>
      </c>
      <c r="T191" t="s">
        <v>1028</v>
      </c>
      <c r="U191" t="s">
        <v>1028</v>
      </c>
      <c r="V191" t="s">
        <v>1028</v>
      </c>
      <c r="W191" t="s">
        <v>1028</v>
      </c>
    </row>
    <row r="192" spans="1:23">
      <c r="A192" s="1" t="s">
        <v>1028</v>
      </c>
      <c r="B192" t="s">
        <v>1028</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1028</v>
      </c>
      <c r="S192" t="s">
        <v>1028</v>
      </c>
      <c r="T192" t="s">
        <v>1028</v>
      </c>
      <c r="U192" t="s">
        <v>1028</v>
      </c>
      <c r="V192" t="s">
        <v>1028</v>
      </c>
      <c r="W192" t="s">
        <v>1028</v>
      </c>
    </row>
    <row r="193" spans="1:23">
      <c r="A193" s="1" t="s">
        <v>1028</v>
      </c>
      <c r="B193" t="s">
        <v>1028</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1028</v>
      </c>
      <c r="S193" t="s">
        <v>1028</v>
      </c>
      <c r="T193" t="s">
        <v>1028</v>
      </c>
      <c r="U193" t="s">
        <v>1028</v>
      </c>
      <c r="V193" t="s">
        <v>1028</v>
      </c>
      <c r="W193" t="s">
        <v>1028</v>
      </c>
    </row>
    <row r="194" spans="1:23">
      <c r="A194" s="1" t="s">
        <v>1028</v>
      </c>
      <c r="B194" t="s">
        <v>1028</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1028</v>
      </c>
      <c r="S194" t="s">
        <v>1028</v>
      </c>
      <c r="T194" t="s">
        <v>1028</v>
      </c>
      <c r="U194" t="s">
        <v>1028</v>
      </c>
      <c r="V194" t="s">
        <v>1028</v>
      </c>
      <c r="W194" t="s">
        <v>1028</v>
      </c>
    </row>
    <row r="195" spans="1:23">
      <c r="A195" s="1" t="s">
        <v>1028</v>
      </c>
      <c r="B195" t="s">
        <v>1028</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1028</v>
      </c>
      <c r="S195" t="s">
        <v>1028</v>
      </c>
      <c r="T195" t="s">
        <v>1028</v>
      </c>
      <c r="U195" t="s">
        <v>1028</v>
      </c>
      <c r="V195" t="s">
        <v>1028</v>
      </c>
      <c r="W195" t="s">
        <v>1028</v>
      </c>
    </row>
    <row r="196" spans="1:23">
      <c r="A196" s="1" t="s">
        <v>1028</v>
      </c>
      <c r="B196" t="s">
        <v>1028</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1028</v>
      </c>
      <c r="S196" t="s">
        <v>1028</v>
      </c>
      <c r="T196" t="s">
        <v>1028</v>
      </c>
      <c r="U196" t="s">
        <v>1028</v>
      </c>
      <c r="V196" t="s">
        <v>1028</v>
      </c>
      <c r="W196" t="s">
        <v>1028</v>
      </c>
    </row>
    <row r="197" spans="1:23">
      <c r="A197" s="1" t="s">
        <v>1028</v>
      </c>
      <c r="B197" t="s">
        <v>1028</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1028</v>
      </c>
      <c r="S197" t="s">
        <v>1028</v>
      </c>
      <c r="T197" t="s">
        <v>1028</v>
      </c>
      <c r="U197" t="s">
        <v>1028</v>
      </c>
      <c r="V197" t="s">
        <v>1028</v>
      </c>
      <c r="W197" t="s">
        <v>1028</v>
      </c>
    </row>
    <row r="198" spans="1:23">
      <c r="A198" s="1" t="s">
        <v>1028</v>
      </c>
      <c r="B198" t="s">
        <v>1028</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1028</v>
      </c>
      <c r="S198" t="s">
        <v>1028</v>
      </c>
      <c r="T198" t="s">
        <v>1028</v>
      </c>
      <c r="U198" t="s">
        <v>1028</v>
      </c>
      <c r="V198" t="s">
        <v>1028</v>
      </c>
      <c r="W198" t="s">
        <v>1028</v>
      </c>
    </row>
    <row r="199" spans="1:23">
      <c r="A199" s="1" t="s">
        <v>1028</v>
      </c>
      <c r="B199" t="s">
        <v>1028</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1028</v>
      </c>
      <c r="S199" t="s">
        <v>1028</v>
      </c>
      <c r="T199" t="s">
        <v>1028</v>
      </c>
      <c r="U199" t="s">
        <v>1028</v>
      </c>
      <c r="V199" t="s">
        <v>1028</v>
      </c>
      <c r="W199" t="s">
        <v>1028</v>
      </c>
    </row>
    <row r="200" spans="1:23">
      <c r="A200" s="1" t="s">
        <v>1028</v>
      </c>
      <c r="B200" t="s">
        <v>1028</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1028</v>
      </c>
      <c r="S200" t="s">
        <v>1028</v>
      </c>
      <c r="T200" t="s">
        <v>1028</v>
      </c>
      <c r="U200" t="s">
        <v>1028</v>
      </c>
      <c r="V200" t="s">
        <v>1028</v>
      </c>
      <c r="W200" t="s">
        <v>1028</v>
      </c>
    </row>
    <row r="201" spans="1:23">
      <c r="A201" s="1" t="s">
        <v>1028</v>
      </c>
      <c r="B201" t="s">
        <v>1028</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1028</v>
      </c>
      <c r="S201" t="s">
        <v>1028</v>
      </c>
      <c r="T201" t="s">
        <v>1028</v>
      </c>
      <c r="U201" t="s">
        <v>1028</v>
      </c>
      <c r="V201" t="s">
        <v>1028</v>
      </c>
      <c r="W201" t="s">
        <v>1028</v>
      </c>
    </row>
    <row r="202" spans="1:23">
      <c r="A202" s="1" t="s">
        <v>1028</v>
      </c>
      <c r="B202" t="s">
        <v>1028</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1028</v>
      </c>
      <c r="S202" t="s">
        <v>1028</v>
      </c>
      <c r="T202" t="s">
        <v>1028</v>
      </c>
      <c r="U202" t="s">
        <v>1028</v>
      </c>
      <c r="V202" t="s">
        <v>1028</v>
      </c>
      <c r="W202" t="s">
        <v>1028</v>
      </c>
    </row>
    <row r="203" spans="1:23">
      <c r="A203" s="1" t="s">
        <v>1028</v>
      </c>
      <c r="B203" t="s">
        <v>1028</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1028</v>
      </c>
      <c r="S203" t="s">
        <v>1028</v>
      </c>
      <c r="T203" t="s">
        <v>1028</v>
      </c>
      <c r="U203" t="s">
        <v>1028</v>
      </c>
      <c r="V203" t="s">
        <v>1028</v>
      </c>
      <c r="W203" t="s">
        <v>1028</v>
      </c>
    </row>
    <row r="204" spans="1:23">
      <c r="A204" s="1" t="s">
        <v>1028</v>
      </c>
      <c r="B204" t="s">
        <v>1028</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1028</v>
      </c>
      <c r="S204" t="s">
        <v>1028</v>
      </c>
      <c r="T204" t="s">
        <v>1028</v>
      </c>
      <c r="U204" t="s">
        <v>1028</v>
      </c>
      <c r="V204" t="s">
        <v>1028</v>
      </c>
      <c r="W204" t="s">
        <v>1028</v>
      </c>
    </row>
    <row r="205" spans="1:23">
      <c r="A205" s="1" t="s">
        <v>1028</v>
      </c>
      <c r="B205" t="s">
        <v>1028</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1028</v>
      </c>
      <c r="S205" t="s">
        <v>1028</v>
      </c>
      <c r="T205" t="s">
        <v>1028</v>
      </c>
      <c r="U205" t="s">
        <v>1028</v>
      </c>
      <c r="V205" t="s">
        <v>1028</v>
      </c>
      <c r="W205" t="s">
        <v>1028</v>
      </c>
    </row>
    <row r="206" spans="1:23">
      <c r="A206" s="1" t="s">
        <v>1028</v>
      </c>
      <c r="B206" t="s">
        <v>1028</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1028</v>
      </c>
      <c r="S206" t="s">
        <v>1028</v>
      </c>
      <c r="T206" t="s">
        <v>1028</v>
      </c>
      <c r="U206" t="s">
        <v>1028</v>
      </c>
      <c r="V206" t="s">
        <v>1028</v>
      </c>
      <c r="W206" t="s">
        <v>1028</v>
      </c>
    </row>
    <row r="207" spans="1:23">
      <c r="A207" s="1" t="s">
        <v>1028</v>
      </c>
      <c r="B207" t="s">
        <v>1028</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1028</v>
      </c>
      <c r="S207" t="s">
        <v>1028</v>
      </c>
      <c r="T207" t="s">
        <v>1028</v>
      </c>
      <c r="U207" t="s">
        <v>1028</v>
      </c>
      <c r="V207" t="s">
        <v>1028</v>
      </c>
      <c r="W207" t="s">
        <v>1028</v>
      </c>
    </row>
    <row r="208" spans="1:23">
      <c r="A208" s="1" t="s">
        <v>1028</v>
      </c>
      <c r="B208" t="s">
        <v>1028</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1028</v>
      </c>
      <c r="S208" t="s">
        <v>1028</v>
      </c>
      <c r="T208" t="s">
        <v>1028</v>
      </c>
      <c r="U208" t="s">
        <v>1028</v>
      </c>
      <c r="V208" t="s">
        <v>1028</v>
      </c>
      <c r="W208" t="s">
        <v>1028</v>
      </c>
    </row>
    <row r="209" spans="1:23">
      <c r="A209" s="1" t="s">
        <v>1028</v>
      </c>
      <c r="B209" t="s">
        <v>1028</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1028</v>
      </c>
      <c r="S209" t="s">
        <v>1028</v>
      </c>
      <c r="T209" t="s">
        <v>1028</v>
      </c>
      <c r="U209" t="s">
        <v>1028</v>
      </c>
      <c r="V209" t="s">
        <v>1028</v>
      </c>
      <c r="W209" t="s">
        <v>1028</v>
      </c>
    </row>
    <row r="210" spans="1:23">
      <c r="A210" s="1" t="s">
        <v>1028</v>
      </c>
      <c r="B210" t="s">
        <v>1028</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1028</v>
      </c>
      <c r="S210" t="s">
        <v>1028</v>
      </c>
      <c r="T210" t="s">
        <v>1028</v>
      </c>
      <c r="U210" t="s">
        <v>1028</v>
      </c>
      <c r="V210" t="s">
        <v>1028</v>
      </c>
      <c r="W210" t="s">
        <v>1028</v>
      </c>
    </row>
    <row r="211" spans="1:23">
      <c r="A211" s="1" t="s">
        <v>1028</v>
      </c>
      <c r="B211" t="s">
        <v>1028</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1028</v>
      </c>
      <c r="S211" t="s">
        <v>1028</v>
      </c>
      <c r="T211" t="s">
        <v>1028</v>
      </c>
      <c r="U211" t="s">
        <v>1028</v>
      </c>
      <c r="V211" t="s">
        <v>1028</v>
      </c>
      <c r="W211" t="s">
        <v>1028</v>
      </c>
    </row>
    <row r="212" spans="1:23">
      <c r="A212" s="1" t="s">
        <v>1028</v>
      </c>
      <c r="B212" t="s">
        <v>1028</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1028</v>
      </c>
      <c r="S212" t="s">
        <v>1028</v>
      </c>
      <c r="T212" t="s">
        <v>1028</v>
      </c>
      <c r="U212" t="s">
        <v>1028</v>
      </c>
      <c r="V212" t="s">
        <v>1028</v>
      </c>
      <c r="W212" t="s">
        <v>1028</v>
      </c>
    </row>
    <row r="213" spans="1:23">
      <c r="A213" s="1" t="s">
        <v>1028</v>
      </c>
      <c r="B213" t="s">
        <v>1028</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1028</v>
      </c>
      <c r="S213" t="s">
        <v>1028</v>
      </c>
      <c r="T213" t="s">
        <v>1028</v>
      </c>
      <c r="U213" t="s">
        <v>1028</v>
      </c>
      <c r="V213" t="s">
        <v>1028</v>
      </c>
      <c r="W213" t="s">
        <v>1028</v>
      </c>
    </row>
    <row r="214" spans="1:23">
      <c r="A214" s="1" t="s">
        <v>1028</v>
      </c>
      <c r="B214" t="s">
        <v>1028</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1028</v>
      </c>
      <c r="S214" t="s">
        <v>1028</v>
      </c>
      <c r="T214" t="s">
        <v>1028</v>
      </c>
      <c r="U214" t="s">
        <v>1028</v>
      </c>
      <c r="V214" t="s">
        <v>1028</v>
      </c>
      <c r="W214" t="s">
        <v>1028</v>
      </c>
    </row>
    <row r="215" spans="1:23">
      <c r="A215" s="1" t="s">
        <v>1028</v>
      </c>
      <c r="B215" t="s">
        <v>1028</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1028</v>
      </c>
      <c r="S215" t="s">
        <v>1028</v>
      </c>
      <c r="T215" t="s">
        <v>1028</v>
      </c>
      <c r="U215" t="s">
        <v>1028</v>
      </c>
      <c r="V215" t="s">
        <v>1028</v>
      </c>
      <c r="W215" t="s">
        <v>1028</v>
      </c>
    </row>
    <row r="216" spans="1:23">
      <c r="A216" s="1" t="s">
        <v>1028</v>
      </c>
      <c r="B216" t="s">
        <v>1028</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1028</v>
      </c>
      <c r="S216" t="s">
        <v>1028</v>
      </c>
      <c r="T216" t="s">
        <v>1028</v>
      </c>
      <c r="U216" t="s">
        <v>1028</v>
      </c>
      <c r="V216" t="s">
        <v>1028</v>
      </c>
      <c r="W216" t="s">
        <v>1028</v>
      </c>
    </row>
    <row r="217" spans="1:23">
      <c r="A217" s="1" t="s">
        <v>1028</v>
      </c>
      <c r="B217" t="s">
        <v>1028</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1028</v>
      </c>
      <c r="S217" t="s">
        <v>1028</v>
      </c>
      <c r="T217" t="s">
        <v>1028</v>
      </c>
      <c r="U217" t="s">
        <v>1028</v>
      </c>
      <c r="V217" t="s">
        <v>1028</v>
      </c>
      <c r="W217" t="s">
        <v>1028</v>
      </c>
    </row>
    <row r="218" spans="1:23">
      <c r="A218" s="1" t="s">
        <v>1028</v>
      </c>
      <c r="B218" t="s">
        <v>1028</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1028</v>
      </c>
      <c r="S218" t="s">
        <v>1028</v>
      </c>
      <c r="T218" t="s">
        <v>1028</v>
      </c>
      <c r="U218" t="s">
        <v>1028</v>
      </c>
      <c r="V218" t="s">
        <v>1028</v>
      </c>
      <c r="W218" t="s">
        <v>1028</v>
      </c>
    </row>
    <row r="219" spans="1:23">
      <c r="A219" s="1" t="s">
        <v>1028</v>
      </c>
      <c r="B219" t="s">
        <v>1028</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1028</v>
      </c>
      <c r="S219" t="s">
        <v>1028</v>
      </c>
      <c r="T219" t="s">
        <v>1028</v>
      </c>
      <c r="U219" t="s">
        <v>1028</v>
      </c>
      <c r="V219" t="s">
        <v>1028</v>
      </c>
      <c r="W219" t="s">
        <v>1028</v>
      </c>
    </row>
    <row r="220" spans="1:23">
      <c r="A220" s="1" t="s">
        <v>1028</v>
      </c>
      <c r="B220" t="s">
        <v>1028</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1028</v>
      </c>
      <c r="S220" t="s">
        <v>1028</v>
      </c>
      <c r="T220" t="s">
        <v>1028</v>
      </c>
      <c r="U220" t="s">
        <v>1028</v>
      </c>
      <c r="V220" t="s">
        <v>1028</v>
      </c>
      <c r="W220" t="s">
        <v>1028</v>
      </c>
    </row>
    <row r="221" spans="1:23">
      <c r="A221" s="1" t="s">
        <v>1028</v>
      </c>
      <c r="B221" t="s">
        <v>1028</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1028</v>
      </c>
      <c r="S221" t="s">
        <v>1028</v>
      </c>
      <c r="T221" t="s">
        <v>1028</v>
      </c>
      <c r="U221" t="s">
        <v>1028</v>
      </c>
      <c r="V221" t="s">
        <v>1028</v>
      </c>
      <c r="W221" t="s">
        <v>1028</v>
      </c>
    </row>
    <row r="222" spans="1:23">
      <c r="A222" s="1" t="s">
        <v>1028</v>
      </c>
      <c r="B222" t="s">
        <v>1028</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1028</v>
      </c>
      <c r="S222" t="s">
        <v>1028</v>
      </c>
      <c r="T222" t="s">
        <v>1028</v>
      </c>
      <c r="U222" t="s">
        <v>1028</v>
      </c>
      <c r="V222" t="s">
        <v>1028</v>
      </c>
      <c r="W222" t="s">
        <v>1028</v>
      </c>
    </row>
    <row r="223" spans="1:23">
      <c r="A223" s="1" t="s">
        <v>1028</v>
      </c>
      <c r="B223" t="s">
        <v>1028</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1028</v>
      </c>
      <c r="S223" t="s">
        <v>1028</v>
      </c>
      <c r="T223" t="s">
        <v>1028</v>
      </c>
      <c r="U223" t="s">
        <v>1028</v>
      </c>
      <c r="V223" t="s">
        <v>1028</v>
      </c>
      <c r="W223" t="s">
        <v>1028</v>
      </c>
    </row>
    <row r="224" spans="1:23">
      <c r="A224" s="1" t="s">
        <v>1028</v>
      </c>
      <c r="B224" t="s">
        <v>1028</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1028</v>
      </c>
      <c r="S224" t="s">
        <v>1028</v>
      </c>
      <c r="T224" t="s">
        <v>1028</v>
      </c>
      <c r="U224" t="s">
        <v>1028</v>
      </c>
      <c r="V224" t="s">
        <v>1028</v>
      </c>
      <c r="W224" t="s">
        <v>1028</v>
      </c>
    </row>
    <row r="225" spans="1:23">
      <c r="A225" s="1" t="s">
        <v>1028</v>
      </c>
      <c r="B225" t="s">
        <v>1028</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1028</v>
      </c>
      <c r="S225" t="s">
        <v>1028</v>
      </c>
      <c r="T225" t="s">
        <v>1028</v>
      </c>
      <c r="U225" t="s">
        <v>1028</v>
      </c>
      <c r="V225" t="s">
        <v>1028</v>
      </c>
      <c r="W225" t="s">
        <v>1028</v>
      </c>
    </row>
    <row r="226" spans="1:23">
      <c r="A226" s="1" t="s">
        <v>1028</v>
      </c>
      <c r="B226" t="s">
        <v>1028</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1028</v>
      </c>
      <c r="S226" t="s">
        <v>1028</v>
      </c>
      <c r="T226" t="s">
        <v>1028</v>
      </c>
      <c r="U226" t="s">
        <v>1028</v>
      </c>
      <c r="V226" t="s">
        <v>1028</v>
      </c>
      <c r="W226" t="s">
        <v>1028</v>
      </c>
    </row>
    <row r="227" spans="1:23">
      <c r="A227" s="1" t="s">
        <v>1028</v>
      </c>
      <c r="B227" t="s">
        <v>1028</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1028</v>
      </c>
      <c r="S227" t="s">
        <v>1028</v>
      </c>
      <c r="T227" t="s">
        <v>1028</v>
      </c>
      <c r="U227" t="s">
        <v>1028</v>
      </c>
      <c r="V227" t="s">
        <v>1028</v>
      </c>
      <c r="W227" t="s">
        <v>1028</v>
      </c>
    </row>
    <row r="228" spans="1:23">
      <c r="A228" s="1" t="s">
        <v>1028</v>
      </c>
      <c r="B228" t="s">
        <v>1028</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1028</v>
      </c>
      <c r="S228" t="s">
        <v>1028</v>
      </c>
      <c r="T228" t="s">
        <v>1028</v>
      </c>
      <c r="U228" t="s">
        <v>1028</v>
      </c>
      <c r="V228" t="s">
        <v>1028</v>
      </c>
      <c r="W228" t="s">
        <v>1028</v>
      </c>
    </row>
    <row r="229" spans="1:23">
      <c r="A229" s="1" t="s">
        <v>1028</v>
      </c>
      <c r="B229" t="s">
        <v>1028</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1028</v>
      </c>
      <c r="S229" t="s">
        <v>1028</v>
      </c>
      <c r="T229" t="s">
        <v>1028</v>
      </c>
      <c r="U229" t="s">
        <v>1028</v>
      </c>
      <c r="V229" t="s">
        <v>1028</v>
      </c>
      <c r="W229" t="s">
        <v>1028</v>
      </c>
    </row>
    <row r="230" spans="1:23">
      <c r="A230" s="1" t="s">
        <v>1028</v>
      </c>
      <c r="B230" t="s">
        <v>1028</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1028</v>
      </c>
      <c r="S230" t="s">
        <v>1028</v>
      </c>
      <c r="T230" t="s">
        <v>1028</v>
      </c>
      <c r="U230" t="s">
        <v>1028</v>
      </c>
      <c r="V230" t="s">
        <v>1028</v>
      </c>
      <c r="W230" t="s">
        <v>1028</v>
      </c>
    </row>
    <row r="231" spans="1:23">
      <c r="A231" s="1" t="s">
        <v>1028</v>
      </c>
      <c r="B231" t="s">
        <v>1028</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1028</v>
      </c>
      <c r="S231" t="s">
        <v>1028</v>
      </c>
      <c r="T231" t="s">
        <v>1028</v>
      </c>
      <c r="U231" t="s">
        <v>1028</v>
      </c>
      <c r="V231" t="s">
        <v>1028</v>
      </c>
      <c r="W231" t="s">
        <v>1028</v>
      </c>
    </row>
    <row r="232" spans="1:23">
      <c r="A232" s="1" t="s">
        <v>1028</v>
      </c>
      <c r="B232" t="s">
        <v>1028</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1028</v>
      </c>
      <c r="S232" t="s">
        <v>1028</v>
      </c>
      <c r="T232" t="s">
        <v>1028</v>
      </c>
      <c r="U232" t="s">
        <v>1028</v>
      </c>
      <c r="V232" t="s">
        <v>1028</v>
      </c>
      <c r="W232" t="s">
        <v>1028</v>
      </c>
    </row>
    <row r="233" spans="1:23">
      <c r="A233" s="1" t="s">
        <v>1028</v>
      </c>
      <c r="B233" t="s">
        <v>1028</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1028</v>
      </c>
      <c r="S233" t="s">
        <v>1028</v>
      </c>
      <c r="T233" t="s">
        <v>1028</v>
      </c>
      <c r="U233" t="s">
        <v>1028</v>
      </c>
      <c r="V233" t="s">
        <v>1028</v>
      </c>
      <c r="W233" t="s">
        <v>1028</v>
      </c>
    </row>
    <row r="234" spans="1:23">
      <c r="A234" s="1" t="s">
        <v>1028</v>
      </c>
      <c r="B234" t="s">
        <v>1028</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1028</v>
      </c>
      <c r="S234" t="s">
        <v>1028</v>
      </c>
      <c r="T234" t="s">
        <v>1028</v>
      </c>
      <c r="U234" t="s">
        <v>1028</v>
      </c>
      <c r="V234" t="s">
        <v>1028</v>
      </c>
      <c r="W234" t="s">
        <v>1028</v>
      </c>
    </row>
    <row r="235" spans="1:23">
      <c r="A235" s="1" t="s">
        <v>1028</v>
      </c>
      <c r="B235" t="s">
        <v>1028</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1028</v>
      </c>
      <c r="S235" t="s">
        <v>1028</v>
      </c>
      <c r="T235" t="s">
        <v>1028</v>
      </c>
      <c r="U235" t="s">
        <v>1028</v>
      </c>
      <c r="V235" t="s">
        <v>1028</v>
      </c>
      <c r="W235" t="s">
        <v>1028</v>
      </c>
    </row>
    <row r="236" spans="1:23">
      <c r="A236" s="1" t="s">
        <v>1028</v>
      </c>
      <c r="B236" t="s">
        <v>1028</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1028</v>
      </c>
      <c r="S236" t="s">
        <v>1028</v>
      </c>
      <c r="T236" t="s">
        <v>1028</v>
      </c>
      <c r="U236" t="s">
        <v>1028</v>
      </c>
      <c r="V236" t="s">
        <v>1028</v>
      </c>
      <c r="W236" t="s">
        <v>1028</v>
      </c>
    </row>
    <row r="237" spans="1:23">
      <c r="A237" s="1" t="s">
        <v>1028</v>
      </c>
      <c r="B237" t="s">
        <v>1028</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1028</v>
      </c>
      <c r="S237" t="s">
        <v>1028</v>
      </c>
      <c r="T237" t="s">
        <v>1028</v>
      </c>
      <c r="U237" t="s">
        <v>1028</v>
      </c>
      <c r="V237" t="s">
        <v>1028</v>
      </c>
      <c r="W237" t="s">
        <v>1028</v>
      </c>
    </row>
    <row r="238" spans="1:23">
      <c r="A238" s="1" t="s">
        <v>1028</v>
      </c>
      <c r="B238" t="s">
        <v>1028</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1028</v>
      </c>
      <c r="S238" t="s">
        <v>1028</v>
      </c>
      <c r="T238" t="s">
        <v>1028</v>
      </c>
      <c r="U238" t="s">
        <v>1028</v>
      </c>
      <c r="V238" t="s">
        <v>1028</v>
      </c>
      <c r="W238" t="s">
        <v>1028</v>
      </c>
    </row>
    <row r="239" spans="1:23">
      <c r="A239" s="1" t="s">
        <v>1028</v>
      </c>
      <c r="B239" t="s">
        <v>1028</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1028</v>
      </c>
      <c r="S239" t="s">
        <v>1028</v>
      </c>
      <c r="T239" t="s">
        <v>1028</v>
      </c>
      <c r="U239" t="s">
        <v>1028</v>
      </c>
      <c r="V239" t="s">
        <v>1028</v>
      </c>
      <c r="W239" t="s">
        <v>1028</v>
      </c>
    </row>
    <row r="240" spans="1:23">
      <c r="A240" s="1" t="s">
        <v>1028</v>
      </c>
      <c r="B240" t="s">
        <v>1028</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1028</v>
      </c>
      <c r="S240" t="s">
        <v>1028</v>
      </c>
      <c r="T240" t="s">
        <v>1028</v>
      </c>
      <c r="U240" t="s">
        <v>1028</v>
      </c>
      <c r="V240" t="s">
        <v>1028</v>
      </c>
      <c r="W240" t="s">
        <v>1028</v>
      </c>
    </row>
    <row r="241" spans="1:23">
      <c r="A241" s="1" t="s">
        <v>1028</v>
      </c>
      <c r="B241" t="s">
        <v>1028</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1028</v>
      </c>
      <c r="S241" t="s">
        <v>1028</v>
      </c>
      <c r="T241" t="s">
        <v>1028</v>
      </c>
      <c r="U241" t="s">
        <v>1028</v>
      </c>
      <c r="V241" t="s">
        <v>1028</v>
      </c>
      <c r="W241" t="s">
        <v>1028</v>
      </c>
    </row>
    <row r="242" spans="1:23">
      <c r="A242" s="1" t="s">
        <v>1028</v>
      </c>
      <c r="B242" t="s">
        <v>1028</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1028</v>
      </c>
      <c r="S242" t="s">
        <v>1028</v>
      </c>
      <c r="T242" t="s">
        <v>1028</v>
      </c>
      <c r="U242" t="s">
        <v>1028</v>
      </c>
      <c r="V242" t="s">
        <v>1028</v>
      </c>
      <c r="W242" t="s">
        <v>1028</v>
      </c>
    </row>
    <row r="243" spans="1:23">
      <c r="A243" s="1" t="s">
        <v>1028</v>
      </c>
      <c r="B243" t="s">
        <v>1028</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1028</v>
      </c>
      <c r="S243" t="s">
        <v>1028</v>
      </c>
      <c r="T243" t="s">
        <v>1028</v>
      </c>
      <c r="U243" t="s">
        <v>1028</v>
      </c>
      <c r="V243" t="s">
        <v>1028</v>
      </c>
      <c r="W243" t="s">
        <v>1028</v>
      </c>
    </row>
    <row r="244" spans="1:23">
      <c r="A244" s="1" t="s">
        <v>1028</v>
      </c>
      <c r="B244" t="s">
        <v>1028</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1028</v>
      </c>
      <c r="S244" t="s">
        <v>1028</v>
      </c>
      <c r="T244" t="s">
        <v>1028</v>
      </c>
      <c r="U244" t="s">
        <v>1028</v>
      </c>
      <c r="V244" t="s">
        <v>1028</v>
      </c>
      <c r="W244" t="s">
        <v>1028</v>
      </c>
    </row>
    <row r="245" spans="1:23">
      <c r="A245" s="1" t="s">
        <v>1028</v>
      </c>
      <c r="B245" t="s">
        <v>1028</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1028</v>
      </c>
      <c r="S245" t="s">
        <v>1028</v>
      </c>
      <c r="T245" t="s">
        <v>1028</v>
      </c>
      <c r="U245" t="s">
        <v>1028</v>
      </c>
      <c r="V245" t="s">
        <v>1028</v>
      </c>
      <c r="W245" t="s">
        <v>1028</v>
      </c>
    </row>
    <row r="246" spans="1:23">
      <c r="A246" s="1" t="s">
        <v>1028</v>
      </c>
      <c r="B246" t="s">
        <v>1028</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1028</v>
      </c>
      <c r="S246" t="s">
        <v>1028</v>
      </c>
      <c r="T246" t="s">
        <v>1028</v>
      </c>
      <c r="U246" t="s">
        <v>1028</v>
      </c>
      <c r="V246" t="s">
        <v>1028</v>
      </c>
      <c r="W246" t="s">
        <v>1028</v>
      </c>
    </row>
    <row r="247" spans="1:23">
      <c r="A247" s="1" t="s">
        <v>1028</v>
      </c>
      <c r="B247" t="s">
        <v>1028</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1028</v>
      </c>
      <c r="S247" t="s">
        <v>1028</v>
      </c>
      <c r="T247" t="s">
        <v>1028</v>
      </c>
      <c r="U247" t="s">
        <v>1028</v>
      </c>
      <c r="V247" t="s">
        <v>1028</v>
      </c>
      <c r="W247" t="s">
        <v>1028</v>
      </c>
    </row>
    <row r="248" spans="1:23">
      <c r="A248" s="1" t="s">
        <v>1028</v>
      </c>
      <c r="B248" t="s">
        <v>1028</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1028</v>
      </c>
      <c r="S248" t="s">
        <v>1028</v>
      </c>
      <c r="T248" t="s">
        <v>1028</v>
      </c>
      <c r="U248" t="s">
        <v>1028</v>
      </c>
      <c r="V248" t="s">
        <v>1028</v>
      </c>
      <c r="W248" t="s">
        <v>1028</v>
      </c>
    </row>
    <row r="249" spans="1:23">
      <c r="A249" s="1" t="s">
        <v>1028</v>
      </c>
      <c r="B249" t="s">
        <v>1028</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1028</v>
      </c>
      <c r="S249" t="s">
        <v>1028</v>
      </c>
      <c r="T249" t="s">
        <v>1028</v>
      </c>
      <c r="U249" t="s">
        <v>1028</v>
      </c>
      <c r="V249" t="s">
        <v>1028</v>
      </c>
      <c r="W249" t="s">
        <v>1028</v>
      </c>
    </row>
    <row r="250" spans="1:23">
      <c r="A250" s="1" t="s">
        <v>1028</v>
      </c>
      <c r="B250" t="s">
        <v>1028</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1028</v>
      </c>
      <c r="S250" t="s">
        <v>1028</v>
      </c>
      <c r="T250" t="s">
        <v>1028</v>
      </c>
      <c r="U250" t="s">
        <v>1028</v>
      </c>
      <c r="V250" t="s">
        <v>1028</v>
      </c>
      <c r="W250" t="s">
        <v>1028</v>
      </c>
    </row>
    <row r="251" spans="1:23">
      <c r="A251" s="1" t="s">
        <v>1028</v>
      </c>
      <c r="B251" t="s">
        <v>1028</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1028</v>
      </c>
      <c r="S251" t="s">
        <v>1028</v>
      </c>
      <c r="T251" t="s">
        <v>1028</v>
      </c>
      <c r="U251" t="s">
        <v>1028</v>
      </c>
      <c r="V251" t="s">
        <v>1028</v>
      </c>
      <c r="W251" t="s">
        <v>1028</v>
      </c>
    </row>
    <row r="252" spans="1:23">
      <c r="A252" s="1" t="s">
        <v>1028</v>
      </c>
      <c r="B252" t="s">
        <v>1028</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1028</v>
      </c>
      <c r="S252" t="s">
        <v>1028</v>
      </c>
      <c r="T252" t="s">
        <v>1028</v>
      </c>
      <c r="U252" t="s">
        <v>1028</v>
      </c>
      <c r="V252" t="s">
        <v>1028</v>
      </c>
      <c r="W252" t="s">
        <v>1028</v>
      </c>
    </row>
    <row r="253" spans="1:23">
      <c r="A253" s="1" t="s">
        <v>1028</v>
      </c>
      <c r="B253" t="s">
        <v>1028</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1028</v>
      </c>
      <c r="S253" t="s">
        <v>1028</v>
      </c>
      <c r="T253" t="s">
        <v>1028</v>
      </c>
      <c r="U253" t="s">
        <v>1028</v>
      </c>
      <c r="V253" t="s">
        <v>1028</v>
      </c>
      <c r="W253" t="s">
        <v>1028</v>
      </c>
    </row>
    <row r="254" spans="1:23">
      <c r="A254" s="1" t="s">
        <v>1028</v>
      </c>
      <c r="B254" t="s">
        <v>1028</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1028</v>
      </c>
      <c r="S254" t="s">
        <v>1028</v>
      </c>
      <c r="T254" t="s">
        <v>1028</v>
      </c>
      <c r="U254" t="s">
        <v>1028</v>
      </c>
      <c r="V254" t="s">
        <v>1028</v>
      </c>
      <c r="W254" t="s">
        <v>1028</v>
      </c>
    </row>
    <row r="255" spans="1:23">
      <c r="A255" s="1" t="s">
        <v>1028</v>
      </c>
      <c r="B255" t="s">
        <v>1028</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1028</v>
      </c>
      <c r="S255" t="s">
        <v>1028</v>
      </c>
      <c r="T255" t="s">
        <v>1028</v>
      </c>
      <c r="U255" t="s">
        <v>1028</v>
      </c>
      <c r="V255" t="s">
        <v>1028</v>
      </c>
      <c r="W255" t="s">
        <v>1028</v>
      </c>
    </row>
    <row r="256" spans="1:23">
      <c r="A256" s="1" t="s">
        <v>1028</v>
      </c>
      <c r="B256" t="s">
        <v>1028</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1028</v>
      </c>
      <c r="S256" t="s">
        <v>1028</v>
      </c>
      <c r="T256" t="s">
        <v>1028</v>
      </c>
      <c r="U256" t="s">
        <v>1028</v>
      </c>
      <c r="V256" t="s">
        <v>1028</v>
      </c>
      <c r="W256" t="s">
        <v>1028</v>
      </c>
    </row>
    <row r="257" spans="1:23">
      <c r="A257" s="1" t="s">
        <v>1028</v>
      </c>
      <c r="B257" t="s">
        <v>1028</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1028</v>
      </c>
      <c r="S257" t="s">
        <v>1028</v>
      </c>
      <c r="T257" t="s">
        <v>1028</v>
      </c>
      <c r="U257" t="s">
        <v>1028</v>
      </c>
      <c r="V257" t="s">
        <v>1028</v>
      </c>
      <c r="W257" t="s">
        <v>1028</v>
      </c>
    </row>
    <row r="258" spans="1:23">
      <c r="A258" s="1" t="s">
        <v>1028</v>
      </c>
      <c r="B258" t="s">
        <v>1028</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1028</v>
      </c>
      <c r="S258" t="s">
        <v>1028</v>
      </c>
      <c r="T258" t="s">
        <v>1028</v>
      </c>
      <c r="U258" t="s">
        <v>1028</v>
      </c>
      <c r="V258" t="s">
        <v>1028</v>
      </c>
      <c r="W258" t="s">
        <v>1028</v>
      </c>
    </row>
    <row r="259" spans="1:23">
      <c r="A259" s="1" t="s">
        <v>1028</v>
      </c>
      <c r="B259" t="s">
        <v>1028</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1028</v>
      </c>
      <c r="S259" t="s">
        <v>1028</v>
      </c>
      <c r="T259" t="s">
        <v>1028</v>
      </c>
      <c r="U259" t="s">
        <v>1028</v>
      </c>
      <c r="V259" t="s">
        <v>1028</v>
      </c>
      <c r="W259" t="s">
        <v>1028</v>
      </c>
    </row>
    <row r="260" spans="1:23">
      <c r="A260" s="1" t="s">
        <v>1028</v>
      </c>
      <c r="B260" t="s">
        <v>1028</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1028</v>
      </c>
      <c r="S260" t="s">
        <v>1028</v>
      </c>
      <c r="T260" t="s">
        <v>1028</v>
      </c>
      <c r="U260" t="s">
        <v>1028</v>
      </c>
      <c r="V260" t="s">
        <v>1028</v>
      </c>
      <c r="W260" t="s">
        <v>1028</v>
      </c>
    </row>
    <row r="261" spans="1:23">
      <c r="A261" s="1" t="s">
        <v>1028</v>
      </c>
      <c r="B261" t="s">
        <v>1028</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1028</v>
      </c>
      <c r="S261" t="s">
        <v>1028</v>
      </c>
      <c r="T261" t="s">
        <v>1028</v>
      </c>
      <c r="U261" t="s">
        <v>1028</v>
      </c>
      <c r="V261" t="s">
        <v>1028</v>
      </c>
      <c r="W261" t="s">
        <v>1028</v>
      </c>
    </row>
    <row r="262" spans="1:23">
      <c r="A262" s="1" t="s">
        <v>1028</v>
      </c>
      <c r="B262" t="s">
        <v>1028</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1028</v>
      </c>
      <c r="S262" t="s">
        <v>1028</v>
      </c>
      <c r="T262" t="s">
        <v>1028</v>
      </c>
      <c r="U262" t="s">
        <v>1028</v>
      </c>
      <c r="V262" t="s">
        <v>1028</v>
      </c>
      <c r="W262" t="s">
        <v>1028</v>
      </c>
    </row>
    <row r="263" spans="1:23">
      <c r="A263" s="1" t="s">
        <v>1028</v>
      </c>
      <c r="B263" t="s">
        <v>1028</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1028</v>
      </c>
      <c r="S263" t="s">
        <v>1028</v>
      </c>
      <c r="T263" t="s">
        <v>1028</v>
      </c>
      <c r="U263" t="s">
        <v>1028</v>
      </c>
      <c r="V263" t="s">
        <v>1028</v>
      </c>
      <c r="W263" t="s">
        <v>1028</v>
      </c>
    </row>
    <row r="264" spans="1:23">
      <c r="A264" s="1" t="s">
        <v>1028</v>
      </c>
      <c r="B264" t="s">
        <v>1028</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1028</v>
      </c>
      <c r="S264" t="s">
        <v>1028</v>
      </c>
      <c r="T264" t="s">
        <v>1028</v>
      </c>
      <c r="U264" t="s">
        <v>1028</v>
      </c>
      <c r="V264" t="s">
        <v>1028</v>
      </c>
      <c r="W264" t="s">
        <v>1028</v>
      </c>
    </row>
    <row r="265" spans="1:23">
      <c r="A265" s="1" t="s">
        <v>1028</v>
      </c>
      <c r="B265" t="s">
        <v>1028</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1028</v>
      </c>
      <c r="S265" t="s">
        <v>1028</v>
      </c>
      <c r="T265" t="s">
        <v>1028</v>
      </c>
      <c r="U265" t="s">
        <v>1028</v>
      </c>
      <c r="V265" t="s">
        <v>1028</v>
      </c>
      <c r="W265" t="s">
        <v>1028</v>
      </c>
    </row>
    <row r="266" spans="1:23">
      <c r="A266" s="1" t="s">
        <v>1028</v>
      </c>
      <c r="B266" t="s">
        <v>1028</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1028</v>
      </c>
      <c r="S266" t="s">
        <v>1028</v>
      </c>
      <c r="T266" t="s">
        <v>1028</v>
      </c>
      <c r="U266" t="s">
        <v>1028</v>
      </c>
      <c r="V266" t="s">
        <v>1028</v>
      </c>
      <c r="W266" t="s">
        <v>1028</v>
      </c>
    </row>
    <row r="267" spans="1:23">
      <c r="A267" s="1" t="s">
        <v>1028</v>
      </c>
      <c r="B267" t="s">
        <v>1028</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1028</v>
      </c>
      <c r="S267" t="s">
        <v>1028</v>
      </c>
      <c r="T267" t="s">
        <v>1028</v>
      </c>
      <c r="U267" t="s">
        <v>1028</v>
      </c>
      <c r="V267" t="s">
        <v>1028</v>
      </c>
      <c r="W267" t="s">
        <v>1028</v>
      </c>
    </row>
    <row r="268" spans="1:23">
      <c r="A268" s="1" t="s">
        <v>1028</v>
      </c>
      <c r="B268" t="s">
        <v>1028</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1028</v>
      </c>
      <c r="S268" t="s">
        <v>1028</v>
      </c>
      <c r="T268" t="s">
        <v>1028</v>
      </c>
      <c r="U268" t="s">
        <v>1028</v>
      </c>
      <c r="V268" t="s">
        <v>1028</v>
      </c>
      <c r="W268" t="s">
        <v>1028</v>
      </c>
    </row>
    <row r="269" spans="1:23">
      <c r="A269" s="1" t="s">
        <v>1028</v>
      </c>
      <c r="B269" t="s">
        <v>1028</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1028</v>
      </c>
      <c r="S269" t="s">
        <v>1028</v>
      </c>
      <c r="T269" t="s">
        <v>1028</v>
      </c>
      <c r="U269" t="s">
        <v>1028</v>
      </c>
      <c r="V269" t="s">
        <v>1028</v>
      </c>
      <c r="W269" t="s">
        <v>1028</v>
      </c>
    </row>
    <row r="270" spans="1:23">
      <c r="A270" s="1" t="s">
        <v>1028</v>
      </c>
      <c r="B270" t="s">
        <v>1028</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1028</v>
      </c>
      <c r="S270" t="s">
        <v>1028</v>
      </c>
      <c r="T270" t="s">
        <v>1028</v>
      </c>
      <c r="U270" t="s">
        <v>1028</v>
      </c>
      <c r="V270" t="s">
        <v>1028</v>
      </c>
      <c r="W270" t="s">
        <v>1028</v>
      </c>
    </row>
    <row r="271" spans="1:23">
      <c r="A271" s="1" t="s">
        <v>1028</v>
      </c>
      <c r="B271" t="s">
        <v>1028</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1028</v>
      </c>
      <c r="S271" t="s">
        <v>1028</v>
      </c>
      <c r="T271" t="s">
        <v>1028</v>
      </c>
      <c r="U271" t="s">
        <v>1028</v>
      </c>
      <c r="V271" t="s">
        <v>1028</v>
      </c>
      <c r="W271" t="s">
        <v>1028</v>
      </c>
    </row>
    <row r="272" spans="1:23">
      <c r="A272" s="1" t="s">
        <v>1028</v>
      </c>
      <c r="B272" t="s">
        <v>1028</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1028</v>
      </c>
      <c r="S272" t="s">
        <v>1028</v>
      </c>
      <c r="T272" t="s">
        <v>1028</v>
      </c>
      <c r="U272" t="s">
        <v>1028</v>
      </c>
      <c r="V272" t="s">
        <v>1028</v>
      </c>
      <c r="W272" t="s">
        <v>1028</v>
      </c>
    </row>
    <row r="273" spans="1:23">
      <c r="A273" s="1" t="s">
        <v>1028</v>
      </c>
      <c r="B273" t="s">
        <v>1028</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1028</v>
      </c>
      <c r="S273" t="s">
        <v>1028</v>
      </c>
      <c r="T273" t="s">
        <v>1028</v>
      </c>
      <c r="U273" t="s">
        <v>1028</v>
      </c>
      <c r="V273" t="s">
        <v>1028</v>
      </c>
      <c r="W273" t="s">
        <v>1028</v>
      </c>
    </row>
    <row r="274" spans="1:23">
      <c r="A274" s="1" t="s">
        <v>1028</v>
      </c>
      <c r="B274" t="s">
        <v>1028</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1028</v>
      </c>
      <c r="S274" t="s">
        <v>1028</v>
      </c>
      <c r="T274" t="s">
        <v>1028</v>
      </c>
      <c r="U274" t="s">
        <v>1028</v>
      </c>
      <c r="V274" t="s">
        <v>1028</v>
      </c>
      <c r="W274" t="s">
        <v>1028</v>
      </c>
    </row>
    <row r="275" spans="1:23">
      <c r="A275" s="1" t="s">
        <v>1028</v>
      </c>
      <c r="B275" t="s">
        <v>1028</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1028</v>
      </c>
      <c r="S275" t="s">
        <v>1028</v>
      </c>
      <c r="T275" t="s">
        <v>1028</v>
      </c>
      <c r="U275" t="s">
        <v>1028</v>
      </c>
      <c r="V275" t="s">
        <v>1028</v>
      </c>
      <c r="W275" t="s">
        <v>1028</v>
      </c>
    </row>
    <row r="276" spans="1:23">
      <c r="A276" s="1" t="s">
        <v>1028</v>
      </c>
      <c r="B276" t="s">
        <v>1028</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1028</v>
      </c>
      <c r="S276" t="s">
        <v>1028</v>
      </c>
      <c r="T276" t="s">
        <v>1028</v>
      </c>
      <c r="U276" t="s">
        <v>1028</v>
      </c>
      <c r="V276" t="s">
        <v>1028</v>
      </c>
      <c r="W276" t="s">
        <v>1028</v>
      </c>
    </row>
    <row r="277" spans="1:23">
      <c r="A277" s="1" t="s">
        <v>1028</v>
      </c>
      <c r="B277" t="s">
        <v>1028</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1028</v>
      </c>
      <c r="S277" t="s">
        <v>1028</v>
      </c>
      <c r="T277" t="s">
        <v>1028</v>
      </c>
      <c r="U277" t="s">
        <v>1028</v>
      </c>
      <c r="V277" t="s">
        <v>1028</v>
      </c>
      <c r="W277" t="s">
        <v>1028</v>
      </c>
    </row>
    <row r="278" spans="1:23">
      <c r="A278" s="1" t="s">
        <v>1028</v>
      </c>
      <c r="B278" t="s">
        <v>1028</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1028</v>
      </c>
      <c r="S278" t="s">
        <v>1028</v>
      </c>
      <c r="T278" t="s">
        <v>1028</v>
      </c>
      <c r="U278" t="s">
        <v>1028</v>
      </c>
      <c r="V278" t="s">
        <v>1028</v>
      </c>
      <c r="W278" t="s">
        <v>1028</v>
      </c>
    </row>
    <row r="279" spans="1:23">
      <c r="A279" s="1" t="s">
        <v>1028</v>
      </c>
      <c r="B279" t="s">
        <v>1028</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1028</v>
      </c>
      <c r="S279" t="s">
        <v>1028</v>
      </c>
      <c r="T279" t="s">
        <v>1028</v>
      </c>
      <c r="U279" t="s">
        <v>1028</v>
      </c>
      <c r="V279" t="s">
        <v>1028</v>
      </c>
      <c r="W279" t="s">
        <v>1028</v>
      </c>
    </row>
    <row r="280" spans="1:23">
      <c r="A280" s="1" t="s">
        <v>1028</v>
      </c>
      <c r="B280" t="s">
        <v>1028</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1028</v>
      </c>
      <c r="S280" t="s">
        <v>1028</v>
      </c>
      <c r="T280" t="s">
        <v>1028</v>
      </c>
      <c r="U280" t="s">
        <v>1028</v>
      </c>
      <c r="V280" t="s">
        <v>1028</v>
      </c>
      <c r="W280" t="s">
        <v>1028</v>
      </c>
    </row>
    <row r="281" spans="1:23">
      <c r="A281" s="1" t="s">
        <v>1028</v>
      </c>
      <c r="B281" t="s">
        <v>1028</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1028</v>
      </c>
      <c r="S281" t="s">
        <v>1028</v>
      </c>
      <c r="T281" t="s">
        <v>1028</v>
      </c>
      <c r="U281" t="s">
        <v>1028</v>
      </c>
      <c r="V281" t="s">
        <v>1028</v>
      </c>
      <c r="W281" t="s">
        <v>1028</v>
      </c>
    </row>
    <row r="282" spans="1:23">
      <c r="A282" s="1" t="s">
        <v>1028</v>
      </c>
      <c r="B282" t="s">
        <v>1028</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1028</v>
      </c>
      <c r="S282" t="s">
        <v>1028</v>
      </c>
      <c r="T282" t="s">
        <v>1028</v>
      </c>
      <c r="U282" t="s">
        <v>1028</v>
      </c>
      <c r="V282" t="s">
        <v>1028</v>
      </c>
      <c r="W282" t="s">
        <v>1028</v>
      </c>
    </row>
    <row r="283" spans="1:23">
      <c r="A283" s="1" t="s">
        <v>1028</v>
      </c>
      <c r="B283" t="s">
        <v>1028</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1028</v>
      </c>
      <c r="S283" t="s">
        <v>1028</v>
      </c>
      <c r="T283" t="s">
        <v>1028</v>
      </c>
      <c r="U283" t="s">
        <v>1028</v>
      </c>
      <c r="V283" t="s">
        <v>1028</v>
      </c>
      <c r="W283" t="s">
        <v>1028</v>
      </c>
    </row>
    <row r="284" spans="1:23">
      <c r="A284" s="1" t="s">
        <v>1028</v>
      </c>
      <c r="B284" t="s">
        <v>1028</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1028</v>
      </c>
      <c r="S284" t="s">
        <v>1028</v>
      </c>
      <c r="T284" t="s">
        <v>1028</v>
      </c>
      <c r="U284" t="s">
        <v>1028</v>
      </c>
      <c r="V284" t="s">
        <v>1028</v>
      </c>
      <c r="W284" t="s">
        <v>1028</v>
      </c>
    </row>
    <row r="285" spans="1:23">
      <c r="A285" s="1" t="s">
        <v>1028</v>
      </c>
      <c r="B285" t="s">
        <v>1028</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1028</v>
      </c>
      <c r="S285" t="s">
        <v>1028</v>
      </c>
      <c r="T285" t="s">
        <v>1028</v>
      </c>
      <c r="U285" t="s">
        <v>1028</v>
      </c>
      <c r="V285" t="s">
        <v>1028</v>
      </c>
      <c r="W285" t="s">
        <v>1028</v>
      </c>
    </row>
    <row r="286" spans="1:23">
      <c r="A286" s="1" t="s">
        <v>1028</v>
      </c>
      <c r="B286" t="s">
        <v>1028</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1028</v>
      </c>
      <c r="S286" t="s">
        <v>1028</v>
      </c>
      <c r="T286" t="s">
        <v>1028</v>
      </c>
      <c r="U286" t="s">
        <v>1028</v>
      </c>
      <c r="V286" t="s">
        <v>1028</v>
      </c>
      <c r="W286" t="s">
        <v>1028</v>
      </c>
    </row>
    <row r="287" spans="1:23">
      <c r="A287" s="1" t="s">
        <v>1028</v>
      </c>
      <c r="B287" t="s">
        <v>1028</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1028</v>
      </c>
      <c r="S287" t="s">
        <v>1028</v>
      </c>
      <c r="T287" t="s">
        <v>1028</v>
      </c>
      <c r="U287" t="s">
        <v>1028</v>
      </c>
      <c r="V287" t="s">
        <v>1028</v>
      </c>
      <c r="W287" t="s">
        <v>1028</v>
      </c>
    </row>
    <row r="288" spans="1:23">
      <c r="A288" s="1" t="s">
        <v>1028</v>
      </c>
      <c r="B288" t="s">
        <v>1028</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1028</v>
      </c>
      <c r="S288" t="s">
        <v>1028</v>
      </c>
      <c r="T288" t="s">
        <v>1028</v>
      </c>
      <c r="U288" t="s">
        <v>1028</v>
      </c>
      <c r="V288" t="s">
        <v>1028</v>
      </c>
      <c r="W288" t="s">
        <v>1028</v>
      </c>
    </row>
    <row r="289" spans="1:23">
      <c r="A289" s="1" t="s">
        <v>1028</v>
      </c>
      <c r="B289" t="s">
        <v>1028</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1028</v>
      </c>
      <c r="S289" t="s">
        <v>1028</v>
      </c>
      <c r="T289" t="s">
        <v>1028</v>
      </c>
      <c r="U289" t="s">
        <v>1028</v>
      </c>
      <c r="V289" t="s">
        <v>1028</v>
      </c>
      <c r="W289" t="s">
        <v>1028</v>
      </c>
    </row>
    <row r="290" spans="1:23">
      <c r="A290" s="1" t="s">
        <v>1028</v>
      </c>
      <c r="B290" t="s">
        <v>1028</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1028</v>
      </c>
      <c r="S290" t="s">
        <v>1028</v>
      </c>
      <c r="T290" t="s">
        <v>1028</v>
      </c>
      <c r="U290" t="s">
        <v>1028</v>
      </c>
      <c r="V290" t="s">
        <v>1028</v>
      </c>
      <c r="W290" t="s">
        <v>1028</v>
      </c>
    </row>
    <row r="291" spans="1:23">
      <c r="A291" s="1" t="s">
        <v>1028</v>
      </c>
      <c r="B291" t="s">
        <v>1028</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1028</v>
      </c>
      <c r="S291" t="s">
        <v>1028</v>
      </c>
      <c r="T291" t="s">
        <v>1028</v>
      </c>
      <c r="U291" t="s">
        <v>1028</v>
      </c>
      <c r="V291" t="s">
        <v>1028</v>
      </c>
      <c r="W291" t="s">
        <v>1028</v>
      </c>
    </row>
    <row r="292" spans="1:23">
      <c r="A292" s="1" t="s">
        <v>1028</v>
      </c>
      <c r="B292" t="s">
        <v>1028</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1028</v>
      </c>
      <c r="S292" t="s">
        <v>1028</v>
      </c>
      <c r="T292" t="s">
        <v>1028</v>
      </c>
      <c r="U292" t="s">
        <v>1028</v>
      </c>
      <c r="V292" t="s">
        <v>1028</v>
      </c>
      <c r="W292" t="s">
        <v>1028</v>
      </c>
    </row>
    <row r="293" spans="1:23">
      <c r="A293" s="1" t="s">
        <v>1028</v>
      </c>
      <c r="B293" t="s">
        <v>1028</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1028</v>
      </c>
      <c r="S293" t="s">
        <v>1028</v>
      </c>
      <c r="T293" t="s">
        <v>1028</v>
      </c>
      <c r="U293" t="s">
        <v>1028</v>
      </c>
      <c r="V293" t="s">
        <v>1028</v>
      </c>
      <c r="W293" t="s">
        <v>1028</v>
      </c>
    </row>
    <row r="294" spans="1:23">
      <c r="A294" s="1" t="s">
        <v>1028</v>
      </c>
      <c r="B294" t="s">
        <v>1028</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1028</v>
      </c>
      <c r="S294" t="s">
        <v>1028</v>
      </c>
      <c r="T294" t="s">
        <v>1028</v>
      </c>
      <c r="U294" t="s">
        <v>1028</v>
      </c>
      <c r="V294" t="s">
        <v>1028</v>
      </c>
      <c r="W294" t="s">
        <v>1028</v>
      </c>
    </row>
    <row r="295" spans="1:23">
      <c r="A295" s="1" t="s">
        <v>1028</v>
      </c>
      <c r="B295" t="s">
        <v>1028</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1028</v>
      </c>
      <c r="S295" t="s">
        <v>1028</v>
      </c>
      <c r="T295" t="s">
        <v>1028</v>
      </c>
      <c r="U295" t="s">
        <v>1028</v>
      </c>
      <c r="V295" t="s">
        <v>1028</v>
      </c>
      <c r="W295" t="s">
        <v>1028</v>
      </c>
    </row>
    <row r="296" spans="1:23">
      <c r="A296" s="1" t="s">
        <v>1028</v>
      </c>
      <c r="B296" t="s">
        <v>1028</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1028</v>
      </c>
      <c r="S296" t="s">
        <v>1028</v>
      </c>
      <c r="T296" t="s">
        <v>1028</v>
      </c>
      <c r="U296" t="s">
        <v>1028</v>
      </c>
      <c r="V296" t="s">
        <v>1028</v>
      </c>
      <c r="W296" t="s">
        <v>1028</v>
      </c>
    </row>
    <row r="297" spans="1:23">
      <c r="A297" s="1" t="s">
        <v>1028</v>
      </c>
      <c r="B297" t="s">
        <v>1028</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1028</v>
      </c>
      <c r="S297" t="s">
        <v>1028</v>
      </c>
      <c r="T297" t="s">
        <v>1028</v>
      </c>
      <c r="U297" t="s">
        <v>1028</v>
      </c>
      <c r="V297" t="s">
        <v>1028</v>
      </c>
      <c r="W297" t="s">
        <v>1028</v>
      </c>
    </row>
    <row r="298" spans="1:23">
      <c r="A298" s="1" t="s">
        <v>1028</v>
      </c>
      <c r="B298" t="s">
        <v>1028</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1028</v>
      </c>
      <c r="S298" t="s">
        <v>1028</v>
      </c>
      <c r="T298" t="s">
        <v>1028</v>
      </c>
      <c r="U298" t="s">
        <v>1028</v>
      </c>
      <c r="V298" t="s">
        <v>1028</v>
      </c>
      <c r="W298" t="s">
        <v>1028</v>
      </c>
    </row>
    <row r="299" spans="1:23">
      <c r="A299" s="1" t="s">
        <v>1028</v>
      </c>
      <c r="B299" t="s">
        <v>1028</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1028</v>
      </c>
      <c r="S299" t="s">
        <v>1028</v>
      </c>
      <c r="T299" t="s">
        <v>1028</v>
      </c>
      <c r="U299" t="s">
        <v>1028</v>
      </c>
      <c r="V299" t="s">
        <v>1028</v>
      </c>
      <c r="W299" t="s">
        <v>1028</v>
      </c>
    </row>
    <row r="300" spans="1:23">
      <c r="A300" s="1" t="s">
        <v>1028</v>
      </c>
      <c r="B300" t="s">
        <v>1028</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1028</v>
      </c>
      <c r="S300" t="s">
        <v>1028</v>
      </c>
      <c r="T300" t="s">
        <v>1028</v>
      </c>
      <c r="U300" t="s">
        <v>1028</v>
      </c>
      <c r="V300" t="s">
        <v>1028</v>
      </c>
      <c r="W300" t="s">
        <v>1028</v>
      </c>
    </row>
    <row r="301" spans="1:23">
      <c r="A301" s="1" t="s">
        <v>1028</v>
      </c>
      <c r="B301" t="s">
        <v>1028</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1028</v>
      </c>
      <c r="S301" t="s">
        <v>1028</v>
      </c>
      <c r="T301" t="s">
        <v>1028</v>
      </c>
      <c r="U301" t="s">
        <v>1028</v>
      </c>
      <c r="V301" t="s">
        <v>1028</v>
      </c>
      <c r="W301" t="s">
        <v>1028</v>
      </c>
    </row>
    <row r="302" spans="1:23">
      <c r="A302" s="1" t="s">
        <v>1028</v>
      </c>
      <c r="B302" t="s">
        <v>1028</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1028</v>
      </c>
      <c r="S302" t="s">
        <v>1028</v>
      </c>
      <c r="T302" t="s">
        <v>1028</v>
      </c>
      <c r="U302" t="s">
        <v>1028</v>
      </c>
      <c r="V302" t="s">
        <v>1028</v>
      </c>
      <c r="W302" t="s">
        <v>1028</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1051</v>
      </c>
      <c r="B1" s="1" t="s">
        <v>1050</v>
      </c>
    </row>
    <row r="2" spans="1:2">
      <c r="A2" s="1" t="s">
        <v>1052</v>
      </c>
      <c r="B2" t="s">
        <v>10222</v>
      </c>
    </row>
    <row r="3" spans="1:2">
      <c r="A3" s="1" t="s">
        <v>1053</v>
      </c>
      <c r="B3" t="s">
        <v>901</v>
      </c>
    </row>
    <row r="4" spans="1:2">
      <c r="A4" s="1" t="s">
        <v>1054</v>
      </c>
      <c r="B4" t="s">
        <v>901</v>
      </c>
    </row>
    <row r="5" spans="1:2">
      <c r="A5" s="1" t="s">
        <v>1055</v>
      </c>
      <c r="B5" t="s">
        <v>901</v>
      </c>
    </row>
    <row r="6" spans="1:2">
      <c r="A6" s="1" t="s">
        <v>1056</v>
      </c>
      <c r="B6" t="s">
        <v>901</v>
      </c>
    </row>
    <row r="7" spans="1:2">
      <c r="A7" s="1" t="s">
        <v>1057</v>
      </c>
      <c r="B7" t="s">
        <v>901</v>
      </c>
    </row>
    <row r="8" spans="1:2">
      <c r="A8" s="1" t="s">
        <v>1058</v>
      </c>
      <c r="B8" t="s">
        <v>901</v>
      </c>
    </row>
    <row r="9" spans="1:2">
      <c r="A9" s="1" t="s">
        <v>1059</v>
      </c>
      <c r="B9" t="s">
        <v>901</v>
      </c>
    </row>
    <row r="10" spans="1:2">
      <c r="A10" s="1" t="s">
        <v>1060</v>
      </c>
      <c r="B10" t="s">
        <v>901</v>
      </c>
    </row>
    <row r="11" spans="1:2">
      <c r="A11" s="1" t="s">
        <v>1061</v>
      </c>
      <c r="B11" t="s">
        <v>901</v>
      </c>
    </row>
    <row r="12" spans="1:2">
      <c r="A12" s="1" t="s">
        <v>1062</v>
      </c>
      <c r="B12" t="s">
        <v>901</v>
      </c>
    </row>
    <row r="13" spans="1:2">
      <c r="A13" s="1" t="s">
        <v>1063</v>
      </c>
      <c r="B13" t="s">
        <v>901</v>
      </c>
    </row>
    <row r="14" spans="1:2">
      <c r="A14" s="1" t="s">
        <v>1064</v>
      </c>
      <c r="B14" t="s">
        <v>901</v>
      </c>
    </row>
    <row r="15" spans="1:2">
      <c r="A15" s="1" t="s">
        <v>1065</v>
      </c>
      <c r="B15" t="s">
        <v>901</v>
      </c>
    </row>
    <row r="16" spans="1:2">
      <c r="A16" s="1" t="s">
        <v>1066</v>
      </c>
      <c r="B16" t="s">
        <v>901</v>
      </c>
    </row>
    <row r="17" spans="1:2">
      <c r="A17" s="1" t="s">
        <v>1067</v>
      </c>
      <c r="B17" t="s">
        <v>901</v>
      </c>
    </row>
    <row r="18" spans="1:2">
      <c r="A18" s="1" t="s">
        <v>1068</v>
      </c>
      <c r="B18" t="s">
        <v>901</v>
      </c>
    </row>
    <row r="19" spans="1:2">
      <c r="A19" s="1" t="s">
        <v>1069</v>
      </c>
      <c r="B19" t="s">
        <v>901</v>
      </c>
    </row>
    <row r="20" spans="1:2">
      <c r="A20" s="1" t="s">
        <v>1070</v>
      </c>
      <c r="B20" t="s">
        <v>901</v>
      </c>
    </row>
    <row r="21" spans="1:2">
      <c r="A21" s="1" t="s">
        <v>1071</v>
      </c>
      <c r="B21" t="s">
        <v>901</v>
      </c>
    </row>
    <row r="22" spans="1:2">
      <c r="A22" s="1" t="s">
        <v>1072</v>
      </c>
      <c r="B22" t="s">
        <v>901</v>
      </c>
    </row>
    <row r="23" spans="1:2">
      <c r="A23" s="1" t="s">
        <v>1073</v>
      </c>
      <c r="B23" t="s">
        <v>901</v>
      </c>
    </row>
    <row r="24" spans="1:2">
      <c r="A24" s="1" t="s">
        <v>1074</v>
      </c>
      <c r="B24" t="s">
        <v>901</v>
      </c>
    </row>
    <row r="25" spans="1:2">
      <c r="A25" s="1" t="s">
        <v>1075</v>
      </c>
      <c r="B25" t="s">
        <v>901</v>
      </c>
    </row>
    <row r="26" spans="1:2">
      <c r="A26" s="1" t="s">
        <v>1076</v>
      </c>
      <c r="B26" t="s">
        <v>901</v>
      </c>
    </row>
    <row r="27" spans="1:2">
      <c r="A27" s="1" t="s">
        <v>1077</v>
      </c>
      <c r="B27" t="s">
        <v>901</v>
      </c>
    </row>
    <row r="28" spans="1:2">
      <c r="A28" s="1" t="s">
        <v>1078</v>
      </c>
      <c r="B28" t="s">
        <v>901</v>
      </c>
    </row>
    <row r="29" spans="1:2">
      <c r="A29" s="1" t="s">
        <v>1079</v>
      </c>
      <c r="B29" t="s">
        <v>901</v>
      </c>
    </row>
    <row r="30" spans="1:2">
      <c r="A30" s="1" t="s">
        <v>1080</v>
      </c>
      <c r="B30" t="s">
        <v>901</v>
      </c>
    </row>
    <row r="31" spans="1:2">
      <c r="A31" s="1" t="s">
        <v>1081</v>
      </c>
      <c r="B31" t="s">
        <v>901</v>
      </c>
    </row>
    <row r="32" spans="1:2">
      <c r="A32" s="1" t="s">
        <v>1082</v>
      </c>
      <c r="B32" t="s">
        <v>901</v>
      </c>
    </row>
    <row r="33" spans="1:2">
      <c r="A33" s="1" t="s">
        <v>1083</v>
      </c>
      <c r="B33" t="s">
        <v>901</v>
      </c>
    </row>
    <row r="34" spans="1:2">
      <c r="A34" s="1" t="s">
        <v>1084</v>
      </c>
      <c r="B34" t="s">
        <v>901</v>
      </c>
    </row>
    <row r="35" spans="1:2">
      <c r="A35" s="1" t="s">
        <v>1085</v>
      </c>
      <c r="B35" t="s">
        <v>901</v>
      </c>
    </row>
    <row r="36" spans="1:2">
      <c r="A36" s="1" t="s">
        <v>1086</v>
      </c>
      <c r="B36" t="s">
        <v>901</v>
      </c>
    </row>
    <row r="37" spans="1:2">
      <c r="A37" s="1" t="s">
        <v>1087</v>
      </c>
      <c r="B37" t="s">
        <v>901</v>
      </c>
    </row>
    <row r="38" spans="1:2">
      <c r="A38" s="1" t="s">
        <v>1088</v>
      </c>
      <c r="B38" t="s">
        <v>901</v>
      </c>
    </row>
    <row r="39" spans="1:2">
      <c r="A39" s="1" t="s">
        <v>1089</v>
      </c>
      <c r="B39" t="s">
        <v>901</v>
      </c>
    </row>
    <row r="40" spans="1:2">
      <c r="A40" s="1" t="s">
        <v>1090</v>
      </c>
      <c r="B40" t="s">
        <v>901</v>
      </c>
    </row>
    <row r="41" spans="1:2">
      <c r="A41" s="1" t="s">
        <v>1091</v>
      </c>
      <c r="B41" t="s">
        <v>901</v>
      </c>
    </row>
    <row r="42" spans="1:2">
      <c r="A42" s="1" t="s">
        <v>1092</v>
      </c>
      <c r="B42" t="s">
        <v>901</v>
      </c>
    </row>
    <row r="43" spans="1:2">
      <c r="A43" s="1" t="s">
        <v>1093</v>
      </c>
      <c r="B43" t="s">
        <v>901</v>
      </c>
    </row>
    <row r="44" spans="1:2">
      <c r="A44" s="1" t="s">
        <v>1094</v>
      </c>
      <c r="B44" t="s">
        <v>901</v>
      </c>
    </row>
    <row r="45" spans="1:2">
      <c r="A45" s="1" t="s">
        <v>1095</v>
      </c>
      <c r="B45" t="s">
        <v>901</v>
      </c>
    </row>
    <row r="46" spans="1:2">
      <c r="A46" s="1" t="s">
        <v>1096</v>
      </c>
      <c r="B46" t="s">
        <v>901</v>
      </c>
    </row>
    <row r="47" spans="1:2">
      <c r="A47" s="1" t="s">
        <v>1097</v>
      </c>
      <c r="B47" t="s">
        <v>901</v>
      </c>
    </row>
    <row r="48" spans="1:2">
      <c r="A48" s="1" t="s">
        <v>1098</v>
      </c>
      <c r="B48" t="s">
        <v>901</v>
      </c>
    </row>
    <row r="49" spans="1:2">
      <c r="A49" s="1" t="s">
        <v>1099</v>
      </c>
      <c r="B49" t="s">
        <v>901</v>
      </c>
    </row>
    <row r="50" spans="1:2">
      <c r="A50" s="1" t="s">
        <v>1100</v>
      </c>
      <c r="B50" t="s">
        <v>10223</v>
      </c>
    </row>
    <row r="51" spans="1:2">
      <c r="A51" s="1" t="s">
        <v>1101</v>
      </c>
      <c r="B51" t="s">
        <v>901</v>
      </c>
    </row>
    <row r="52" spans="1:2">
      <c r="A52" s="1" t="s">
        <v>1102</v>
      </c>
      <c r="B52" t="s">
        <v>901</v>
      </c>
    </row>
    <row r="53" spans="1:2">
      <c r="A53" s="1" t="s">
        <v>1103</v>
      </c>
      <c r="B53" t="s">
        <v>901</v>
      </c>
    </row>
    <row r="54" spans="1:2">
      <c r="A54" s="1" t="s">
        <v>1104</v>
      </c>
      <c r="B54" t="s">
        <v>901</v>
      </c>
    </row>
    <row r="55" spans="1:2">
      <c r="A55" s="1" t="s">
        <v>1105</v>
      </c>
      <c r="B55" t="s">
        <v>901</v>
      </c>
    </row>
    <row r="56" spans="1:2">
      <c r="A56" s="1" t="s">
        <v>1106</v>
      </c>
      <c r="B56" t="s">
        <v>901</v>
      </c>
    </row>
    <row r="57" spans="1:2">
      <c r="A57" s="1" t="s">
        <v>1107</v>
      </c>
      <c r="B57" t="s">
        <v>901</v>
      </c>
    </row>
    <row r="58" spans="1:2">
      <c r="A58" s="1" t="s">
        <v>1108</v>
      </c>
      <c r="B58" t="s">
        <v>901</v>
      </c>
    </row>
    <row r="59" spans="1:2">
      <c r="A59" s="1" t="s">
        <v>1109</v>
      </c>
      <c r="B59" t="s">
        <v>901</v>
      </c>
    </row>
    <row r="60" spans="1:2">
      <c r="A60" s="1" t="s">
        <v>1110</v>
      </c>
      <c r="B60" t="s">
        <v>901</v>
      </c>
    </row>
    <row r="61" spans="1:2">
      <c r="A61" s="1" t="s">
        <v>1111</v>
      </c>
      <c r="B61" t="s">
        <v>901</v>
      </c>
    </row>
    <row r="62" spans="1:2">
      <c r="A62" s="1" t="s">
        <v>1112</v>
      </c>
      <c r="B62" t="s">
        <v>901</v>
      </c>
    </row>
    <row r="63" spans="1:2">
      <c r="A63" s="1" t="s">
        <v>1113</v>
      </c>
      <c r="B63" t="s">
        <v>901</v>
      </c>
    </row>
    <row r="64" spans="1:2">
      <c r="A64" s="1" t="s">
        <v>1114</v>
      </c>
      <c r="B64" t="s">
        <v>10224</v>
      </c>
    </row>
    <row r="65" spans="1:2">
      <c r="A65" s="1" t="s">
        <v>1115</v>
      </c>
      <c r="B65" t="s">
        <v>901</v>
      </c>
    </row>
    <row r="66" spans="1:2">
      <c r="A66" s="1" t="s">
        <v>1116</v>
      </c>
      <c r="B66" t="s">
        <v>901</v>
      </c>
    </row>
    <row r="67" spans="1:2">
      <c r="A67" s="1" t="s">
        <v>1117</v>
      </c>
      <c r="B67" t="s">
        <v>901</v>
      </c>
    </row>
    <row r="68" spans="1:2">
      <c r="A68" s="1" t="s">
        <v>1118</v>
      </c>
      <c r="B68" t="s">
        <v>901</v>
      </c>
    </row>
    <row r="69" spans="1:2">
      <c r="A69" s="1" t="s">
        <v>1119</v>
      </c>
      <c r="B69" t="s">
        <v>901</v>
      </c>
    </row>
    <row r="70" spans="1:2">
      <c r="A70" s="1" t="s">
        <v>1120</v>
      </c>
      <c r="B70" t="s">
        <v>901</v>
      </c>
    </row>
    <row r="71" spans="1:2">
      <c r="A71" s="1" t="s">
        <v>1121</v>
      </c>
      <c r="B71" t="s">
        <v>901</v>
      </c>
    </row>
    <row r="72" spans="1:2">
      <c r="A72" s="1" t="s">
        <v>1122</v>
      </c>
      <c r="B72" t="s">
        <v>10225</v>
      </c>
    </row>
    <row r="73" spans="1:2">
      <c r="A73" s="1" t="s">
        <v>1123</v>
      </c>
      <c r="B73" t="s">
        <v>901</v>
      </c>
    </row>
    <row r="74" spans="1:2">
      <c r="A74" s="1" t="s">
        <v>1124</v>
      </c>
      <c r="B74" t="s">
        <v>901</v>
      </c>
    </row>
    <row r="75" spans="1:2">
      <c r="A75" s="1" t="s">
        <v>1125</v>
      </c>
      <c r="B75" t="s">
        <v>901</v>
      </c>
    </row>
    <row r="76" spans="1:2">
      <c r="A76" s="1" t="s">
        <v>1126</v>
      </c>
      <c r="B76" t="s">
        <v>10226</v>
      </c>
    </row>
    <row r="77" spans="1:2">
      <c r="A77" s="1" t="s">
        <v>1127</v>
      </c>
      <c r="B77" t="s">
        <v>901</v>
      </c>
    </row>
    <row r="78" spans="1:2">
      <c r="A78" s="1" t="s">
        <v>1128</v>
      </c>
      <c r="B78" t="s">
        <v>901</v>
      </c>
    </row>
    <row r="79" spans="1:2">
      <c r="A79" s="1" t="s">
        <v>1129</v>
      </c>
      <c r="B79" t="s">
        <v>901</v>
      </c>
    </row>
    <row r="80" spans="1:2">
      <c r="A80" s="1" t="s">
        <v>1130</v>
      </c>
      <c r="B80" t="s">
        <v>901</v>
      </c>
    </row>
    <row r="81" spans="1:2">
      <c r="A81" s="1" t="s">
        <v>1131</v>
      </c>
      <c r="B81" t="s">
        <v>901</v>
      </c>
    </row>
    <row r="82" spans="1:2">
      <c r="A82" s="1" t="s">
        <v>1132</v>
      </c>
      <c r="B82" t="s">
        <v>901</v>
      </c>
    </row>
    <row r="83" spans="1:2">
      <c r="A83" s="1" t="s">
        <v>1133</v>
      </c>
      <c r="B83" t="s">
        <v>901</v>
      </c>
    </row>
    <row r="84" spans="1:2">
      <c r="A84" s="1" t="s">
        <v>1134</v>
      </c>
      <c r="B84" t="s">
        <v>10227</v>
      </c>
    </row>
    <row r="85" spans="1:2">
      <c r="A85" s="1" t="s">
        <v>1135</v>
      </c>
      <c r="B85" t="s">
        <v>901</v>
      </c>
    </row>
    <row r="86" spans="1:2">
      <c r="A86" s="1" t="s">
        <v>1136</v>
      </c>
      <c r="B86" t="s">
        <v>10228</v>
      </c>
    </row>
    <row r="87" spans="1:2">
      <c r="A87" s="1" t="s">
        <v>1137</v>
      </c>
      <c r="B87" t="s">
        <v>901</v>
      </c>
    </row>
    <row r="88" spans="1:2">
      <c r="A88" s="1" t="s">
        <v>1138</v>
      </c>
      <c r="B88" t="s">
        <v>901</v>
      </c>
    </row>
    <row r="89" spans="1:2">
      <c r="A89" s="1" t="s">
        <v>1139</v>
      </c>
      <c r="B89" t="s">
        <v>901</v>
      </c>
    </row>
    <row r="90" spans="1:2">
      <c r="A90" s="1" t="s">
        <v>1140</v>
      </c>
      <c r="B90" t="s">
        <v>10229</v>
      </c>
    </row>
    <row r="91" spans="1:2">
      <c r="A91" s="1" t="s">
        <v>1141</v>
      </c>
      <c r="B91" t="s">
        <v>901</v>
      </c>
    </row>
    <row r="92" spans="1:2">
      <c r="A92" s="1" t="s">
        <v>1142</v>
      </c>
      <c r="B92" t="s">
        <v>901</v>
      </c>
    </row>
    <row r="93" spans="1:2">
      <c r="A93" s="1" t="s">
        <v>1143</v>
      </c>
      <c r="B93" t="s">
        <v>901</v>
      </c>
    </row>
    <row r="94" spans="1:2">
      <c r="A94" s="1" t="s">
        <v>1144</v>
      </c>
      <c r="B94" t="s">
        <v>901</v>
      </c>
    </row>
    <row r="95" spans="1:2">
      <c r="A95" s="1" t="s">
        <v>1145</v>
      </c>
      <c r="B95" t="s">
        <v>901</v>
      </c>
    </row>
    <row r="96" spans="1:2">
      <c r="A96" s="1" t="s">
        <v>1146</v>
      </c>
      <c r="B96" t="s">
        <v>901</v>
      </c>
    </row>
    <row r="97" spans="1:2">
      <c r="A97" s="1" t="s">
        <v>1147</v>
      </c>
      <c r="B97" t="s">
        <v>901</v>
      </c>
    </row>
    <row r="98" spans="1:2">
      <c r="A98" s="1" t="s">
        <v>1148</v>
      </c>
      <c r="B98" t="s">
        <v>10230</v>
      </c>
    </row>
    <row r="99" spans="1:2">
      <c r="A99" s="1" t="s">
        <v>1149</v>
      </c>
      <c r="B99" t="s">
        <v>10230</v>
      </c>
    </row>
    <row r="100" spans="1:2">
      <c r="A100" s="1" t="s">
        <v>1150</v>
      </c>
      <c r="B100" t="s">
        <v>10231</v>
      </c>
    </row>
    <row r="101" spans="1:2">
      <c r="A101" s="1" t="s">
        <v>1151</v>
      </c>
      <c r="B101" t="s">
        <v>901</v>
      </c>
    </row>
    <row r="102" spans="1:2">
      <c r="A102" s="1" t="s">
        <v>1152</v>
      </c>
      <c r="B102" t="s">
        <v>901</v>
      </c>
    </row>
    <row r="103" spans="1:2">
      <c r="A103" s="1" t="s">
        <v>1153</v>
      </c>
      <c r="B103" t="s">
        <v>10231</v>
      </c>
    </row>
    <row r="104" spans="1:2">
      <c r="A104" s="1" t="s">
        <v>1154</v>
      </c>
      <c r="B104" t="s">
        <v>10232</v>
      </c>
    </row>
    <row r="105" spans="1:2">
      <c r="A105" s="1" t="s">
        <v>1155</v>
      </c>
      <c r="B105" t="s">
        <v>901</v>
      </c>
    </row>
    <row r="106" spans="1:2">
      <c r="A106" s="1" t="s">
        <v>1156</v>
      </c>
      <c r="B106" t="s">
        <v>10233</v>
      </c>
    </row>
    <row r="107" spans="1:2">
      <c r="A107" s="1" t="s">
        <v>1157</v>
      </c>
      <c r="B107" t="s">
        <v>901</v>
      </c>
    </row>
    <row r="108" spans="1:2">
      <c r="A108" s="1" t="s">
        <v>1158</v>
      </c>
      <c r="B108" t="s">
        <v>901</v>
      </c>
    </row>
    <row r="109" spans="1:2">
      <c r="A109" s="1" t="s">
        <v>1159</v>
      </c>
      <c r="B109" t="s">
        <v>901</v>
      </c>
    </row>
    <row r="110" spans="1:2">
      <c r="A110" s="1" t="s">
        <v>1160</v>
      </c>
      <c r="B110" t="s">
        <v>10234</v>
      </c>
    </row>
    <row r="111" spans="1:2">
      <c r="A111" s="1" t="s">
        <v>1161</v>
      </c>
      <c r="B111" t="s">
        <v>10235</v>
      </c>
    </row>
    <row r="112" spans="1:2">
      <c r="A112" s="1" t="s">
        <v>1162</v>
      </c>
      <c r="B112" t="s">
        <v>901</v>
      </c>
    </row>
    <row r="113" spans="1:2">
      <c r="A113" s="1" t="s">
        <v>1163</v>
      </c>
      <c r="B113" t="s">
        <v>10235</v>
      </c>
    </row>
    <row r="114" spans="1:2">
      <c r="A114" s="1" t="s">
        <v>1164</v>
      </c>
      <c r="B114" t="s">
        <v>10236</v>
      </c>
    </row>
    <row r="115" spans="1:2">
      <c r="A115" s="1" t="s">
        <v>1165</v>
      </c>
      <c r="B115" t="s">
        <v>10235</v>
      </c>
    </row>
    <row r="116" spans="1:2">
      <c r="A116" s="1" t="s">
        <v>1166</v>
      </c>
      <c r="B116" t="s">
        <v>10229</v>
      </c>
    </row>
    <row r="117" spans="1:2">
      <c r="A117" s="1" t="s">
        <v>1167</v>
      </c>
      <c r="B117" t="s">
        <v>10235</v>
      </c>
    </row>
    <row r="118" spans="1:2">
      <c r="A118" s="1" t="s">
        <v>1168</v>
      </c>
      <c r="B118" t="s">
        <v>10225</v>
      </c>
    </row>
    <row r="119" spans="1:2">
      <c r="A119" s="1" t="s">
        <v>1169</v>
      </c>
      <c r="B119" t="s">
        <v>901</v>
      </c>
    </row>
    <row r="120" spans="1:2">
      <c r="A120" s="1" t="s">
        <v>1170</v>
      </c>
      <c r="B120" t="s">
        <v>10231</v>
      </c>
    </row>
    <row r="121" spans="1:2">
      <c r="A121" s="1" t="s">
        <v>1171</v>
      </c>
      <c r="B121" t="s">
        <v>10229</v>
      </c>
    </row>
    <row r="122" spans="1:2">
      <c r="A122" s="1" t="s">
        <v>1172</v>
      </c>
      <c r="B122" t="s">
        <v>10237</v>
      </c>
    </row>
    <row r="123" spans="1:2">
      <c r="A123" s="1" t="s">
        <v>1173</v>
      </c>
      <c r="B123" t="s">
        <v>901</v>
      </c>
    </row>
    <row r="124" spans="1:2">
      <c r="A124" s="1" t="s">
        <v>1174</v>
      </c>
      <c r="B124" t="s">
        <v>10224</v>
      </c>
    </row>
    <row r="125" spans="1:2">
      <c r="A125" s="1" t="s">
        <v>1175</v>
      </c>
      <c r="B125" t="s">
        <v>10238</v>
      </c>
    </row>
    <row r="126" spans="1:2">
      <c r="A126" s="1" t="s">
        <v>1176</v>
      </c>
      <c r="B126" t="s">
        <v>10239</v>
      </c>
    </row>
    <row r="127" spans="1:2">
      <c r="A127" s="1" t="s">
        <v>1177</v>
      </c>
      <c r="B127" t="s">
        <v>10240</v>
      </c>
    </row>
    <row r="128" spans="1:2">
      <c r="A128" s="1" t="s">
        <v>1178</v>
      </c>
      <c r="B128" t="s">
        <v>901</v>
      </c>
    </row>
    <row r="129" spans="1:2">
      <c r="A129" s="1" t="s">
        <v>1179</v>
      </c>
      <c r="B129" t="s">
        <v>10229</v>
      </c>
    </row>
    <row r="130" spans="1:2">
      <c r="A130" s="1" t="s">
        <v>1180</v>
      </c>
      <c r="B130" t="s">
        <v>901</v>
      </c>
    </row>
    <row r="131" spans="1:2">
      <c r="A131" s="1" t="s">
        <v>1181</v>
      </c>
      <c r="B131" t="s">
        <v>901</v>
      </c>
    </row>
    <row r="132" spans="1:2">
      <c r="A132" s="1" t="s">
        <v>1182</v>
      </c>
      <c r="B132" t="s">
        <v>901</v>
      </c>
    </row>
    <row r="133" spans="1:2">
      <c r="A133" s="1" t="s">
        <v>1183</v>
      </c>
      <c r="B133" t="s">
        <v>901</v>
      </c>
    </row>
    <row r="134" spans="1:2">
      <c r="A134" s="1" t="s">
        <v>1184</v>
      </c>
      <c r="B134" t="s">
        <v>901</v>
      </c>
    </row>
    <row r="135" spans="1:2">
      <c r="A135" s="1" t="s">
        <v>1185</v>
      </c>
      <c r="B135" t="s">
        <v>10241</v>
      </c>
    </row>
    <row r="136" spans="1:2">
      <c r="A136" s="1" t="s">
        <v>1186</v>
      </c>
      <c r="B136" t="s">
        <v>901</v>
      </c>
    </row>
    <row r="137" spans="1:2">
      <c r="A137" s="1" t="s">
        <v>1187</v>
      </c>
      <c r="B137" t="s">
        <v>10231</v>
      </c>
    </row>
    <row r="138" spans="1:2">
      <c r="A138" s="1" t="s">
        <v>1188</v>
      </c>
      <c r="B138" t="s">
        <v>10232</v>
      </c>
    </row>
    <row r="139" spans="1:2">
      <c r="A139" s="1" t="s">
        <v>1189</v>
      </c>
      <c r="B139" t="s">
        <v>10242</v>
      </c>
    </row>
    <row r="140" spans="1:2">
      <c r="A140" s="1" t="s">
        <v>1190</v>
      </c>
      <c r="B140" t="s">
        <v>10243</v>
      </c>
    </row>
    <row r="141" spans="1:2">
      <c r="A141" s="1" t="s">
        <v>1191</v>
      </c>
      <c r="B141" t="s">
        <v>10231</v>
      </c>
    </row>
    <row r="142" spans="1:2">
      <c r="A142" s="1" t="s">
        <v>1192</v>
      </c>
      <c r="B142" t="s">
        <v>10231</v>
      </c>
    </row>
    <row r="143" spans="1:2">
      <c r="A143" s="1" t="s">
        <v>1193</v>
      </c>
      <c r="B143" t="s">
        <v>10244</v>
      </c>
    </row>
    <row r="144" spans="1:2">
      <c r="A144" s="1" t="s">
        <v>1194</v>
      </c>
      <c r="B144" t="s">
        <v>10245</v>
      </c>
    </row>
    <row r="145" spans="1:2">
      <c r="A145" s="1" t="s">
        <v>1195</v>
      </c>
      <c r="B145" t="s">
        <v>901</v>
      </c>
    </row>
    <row r="146" spans="1:2">
      <c r="A146" s="1" t="s">
        <v>1196</v>
      </c>
      <c r="B146" t="s">
        <v>10246</v>
      </c>
    </row>
    <row r="147" spans="1:2">
      <c r="A147" s="1" t="s">
        <v>1197</v>
      </c>
      <c r="B147" t="s">
        <v>901</v>
      </c>
    </row>
    <row r="148" spans="1:2">
      <c r="A148" s="1" t="s">
        <v>1198</v>
      </c>
      <c r="B148" t="s">
        <v>10230</v>
      </c>
    </row>
    <row r="149" spans="1:2">
      <c r="A149" s="1" t="s">
        <v>1199</v>
      </c>
      <c r="B149" t="s">
        <v>901</v>
      </c>
    </row>
    <row r="150" spans="1:2">
      <c r="A150" s="1" t="s">
        <v>1200</v>
      </c>
      <c r="B150" t="s">
        <v>10224</v>
      </c>
    </row>
    <row r="151" spans="1:2">
      <c r="A151" s="1" t="s">
        <v>1201</v>
      </c>
      <c r="B151" t="s">
        <v>901</v>
      </c>
    </row>
    <row r="152" spans="1:2">
      <c r="A152" s="1" t="s">
        <v>1202</v>
      </c>
      <c r="B152" t="s">
        <v>10247</v>
      </c>
    </row>
    <row r="153" spans="1:2">
      <c r="A153" s="1" t="s">
        <v>1203</v>
      </c>
      <c r="B153" t="s">
        <v>10234</v>
      </c>
    </row>
    <row r="154" spans="1:2">
      <c r="A154" s="1" t="s">
        <v>1204</v>
      </c>
      <c r="B154" t="s">
        <v>10231</v>
      </c>
    </row>
    <row r="155" spans="1:2">
      <c r="A155" s="1" t="s">
        <v>1205</v>
      </c>
      <c r="B155" t="s">
        <v>10231</v>
      </c>
    </row>
    <row r="156" spans="1:2">
      <c r="A156" s="1" t="s">
        <v>1206</v>
      </c>
      <c r="B156" t="s">
        <v>10248</v>
      </c>
    </row>
    <row r="157" spans="1:2">
      <c r="A157" s="1" t="s">
        <v>1207</v>
      </c>
      <c r="B157" t="s">
        <v>10249</v>
      </c>
    </row>
    <row r="158" spans="1:2">
      <c r="A158" s="1" t="s">
        <v>1208</v>
      </c>
      <c r="B158" t="s">
        <v>10250</v>
      </c>
    </row>
    <row r="159" spans="1:2">
      <c r="A159" s="1" t="s">
        <v>1209</v>
      </c>
      <c r="B159" t="s">
        <v>10250</v>
      </c>
    </row>
    <row r="160" spans="1:2">
      <c r="A160" s="1" t="s">
        <v>1210</v>
      </c>
      <c r="B160" t="s">
        <v>10251</v>
      </c>
    </row>
    <row r="161" spans="1:2">
      <c r="A161" s="1" t="s">
        <v>1211</v>
      </c>
      <c r="B161" t="s">
        <v>10250</v>
      </c>
    </row>
    <row r="162" spans="1:2">
      <c r="A162" s="1" t="s">
        <v>1212</v>
      </c>
      <c r="B162" t="s">
        <v>10225</v>
      </c>
    </row>
    <row r="163" spans="1:2">
      <c r="A163" s="1" t="s">
        <v>1213</v>
      </c>
      <c r="B163" t="s">
        <v>901</v>
      </c>
    </row>
    <row r="164" spans="1:2">
      <c r="A164" s="1" t="s">
        <v>1214</v>
      </c>
      <c r="B164" t="s">
        <v>10229</v>
      </c>
    </row>
    <row r="165" spans="1:2">
      <c r="A165" s="1" t="s">
        <v>554</v>
      </c>
      <c r="B165" t="s">
        <v>10232</v>
      </c>
    </row>
    <row r="166" spans="1:2">
      <c r="A166" s="1" t="s">
        <v>1215</v>
      </c>
      <c r="B166" t="s">
        <v>10251</v>
      </c>
    </row>
    <row r="167" spans="1:2">
      <c r="A167" s="1" t="s">
        <v>1216</v>
      </c>
      <c r="B167" t="s">
        <v>901</v>
      </c>
    </row>
    <row r="168" spans="1:2">
      <c r="A168" s="1" t="s">
        <v>1217</v>
      </c>
      <c r="B168" t="s">
        <v>10231</v>
      </c>
    </row>
    <row r="169" spans="1:2">
      <c r="A169" s="1" t="s">
        <v>1218</v>
      </c>
      <c r="B169" t="s">
        <v>10251</v>
      </c>
    </row>
    <row r="170" spans="1:2">
      <c r="A170" s="1" t="s">
        <v>1219</v>
      </c>
      <c r="B170" t="s">
        <v>10252</v>
      </c>
    </row>
    <row r="171" spans="1:2">
      <c r="A171" s="1" t="s">
        <v>1220</v>
      </c>
      <c r="B171" t="s">
        <v>10253</v>
      </c>
    </row>
    <row r="172" spans="1:2">
      <c r="A172" s="1" t="s">
        <v>1221</v>
      </c>
      <c r="B172" t="s">
        <v>901</v>
      </c>
    </row>
    <row r="173" spans="1:2">
      <c r="A173" s="1" t="s">
        <v>827</v>
      </c>
      <c r="B173" t="s">
        <v>10254</v>
      </c>
    </row>
    <row r="174" spans="1:2">
      <c r="A174" s="1" t="s">
        <v>1222</v>
      </c>
      <c r="B174" t="s">
        <v>10254</v>
      </c>
    </row>
    <row r="175" spans="1:2">
      <c r="A175" s="1" t="s">
        <v>1223</v>
      </c>
      <c r="B175" t="s">
        <v>901</v>
      </c>
    </row>
    <row r="176" spans="1:2">
      <c r="A176" s="1" t="s">
        <v>1224</v>
      </c>
      <c r="B176" t="s">
        <v>901</v>
      </c>
    </row>
    <row r="177" spans="1:2">
      <c r="A177" s="1" t="s">
        <v>1225</v>
      </c>
      <c r="B177" t="s">
        <v>10232</v>
      </c>
    </row>
    <row r="178" spans="1:2">
      <c r="A178" s="1" t="s">
        <v>1226</v>
      </c>
      <c r="B178" t="s">
        <v>10232</v>
      </c>
    </row>
    <row r="179" spans="1:2">
      <c r="A179" s="1" t="s">
        <v>1227</v>
      </c>
      <c r="B179" t="s">
        <v>10254</v>
      </c>
    </row>
    <row r="180" spans="1:2">
      <c r="A180" s="1" t="s">
        <v>1228</v>
      </c>
      <c r="B180" t="s">
        <v>10240</v>
      </c>
    </row>
    <row r="181" spans="1:2">
      <c r="A181" s="1" t="s">
        <v>1229</v>
      </c>
      <c r="B181" t="s">
        <v>10255</v>
      </c>
    </row>
    <row r="182" spans="1:2">
      <c r="A182" s="1" t="s">
        <v>1230</v>
      </c>
      <c r="B182" t="s">
        <v>10231</v>
      </c>
    </row>
    <row r="183" spans="1:2">
      <c r="A183" s="1" t="s">
        <v>789</v>
      </c>
      <c r="B183" t="s">
        <v>10250</v>
      </c>
    </row>
    <row r="184" spans="1:2">
      <c r="A184" s="1" t="s">
        <v>1231</v>
      </c>
      <c r="B184" t="s">
        <v>10234</v>
      </c>
    </row>
    <row r="185" spans="1:2">
      <c r="A185" s="1" t="s">
        <v>1232</v>
      </c>
      <c r="B185" t="s">
        <v>10230</v>
      </c>
    </row>
    <row r="186" spans="1:2">
      <c r="A186" s="1" t="s">
        <v>1233</v>
      </c>
      <c r="B186" t="s">
        <v>10256</v>
      </c>
    </row>
    <row r="187" spans="1:2">
      <c r="A187" s="1" t="s">
        <v>1234</v>
      </c>
      <c r="B187" t="s">
        <v>10257</v>
      </c>
    </row>
    <row r="188" spans="1:2">
      <c r="A188" s="1" t="s">
        <v>1235</v>
      </c>
      <c r="B188" t="s">
        <v>901</v>
      </c>
    </row>
    <row r="189" spans="1:2">
      <c r="A189" s="1" t="s">
        <v>1236</v>
      </c>
      <c r="B189" t="s">
        <v>10234</v>
      </c>
    </row>
    <row r="190" spans="1:2">
      <c r="A190" s="1" t="s">
        <v>1237</v>
      </c>
      <c r="B190" t="s">
        <v>10232</v>
      </c>
    </row>
    <row r="191" spans="1:2">
      <c r="A191" s="1" t="s">
        <v>1238</v>
      </c>
      <c r="B191" t="s">
        <v>10239</v>
      </c>
    </row>
    <row r="192" spans="1:2">
      <c r="A192" s="1" t="s">
        <v>1239</v>
      </c>
      <c r="B192" t="s">
        <v>10234</v>
      </c>
    </row>
    <row r="193" spans="1:2">
      <c r="A193" s="1" t="s">
        <v>1240</v>
      </c>
      <c r="B193" t="s">
        <v>10224</v>
      </c>
    </row>
    <row r="194" spans="1:2">
      <c r="A194" s="1" t="s">
        <v>1241</v>
      </c>
      <c r="B194" t="s">
        <v>10231</v>
      </c>
    </row>
    <row r="195" spans="1:2">
      <c r="A195" s="1" t="s">
        <v>1242</v>
      </c>
      <c r="B195" t="s">
        <v>10258</v>
      </c>
    </row>
    <row r="196" spans="1:2">
      <c r="A196" s="1" t="s">
        <v>1243</v>
      </c>
      <c r="B196" t="s">
        <v>10241</v>
      </c>
    </row>
    <row r="197" spans="1:2">
      <c r="A197" s="1" t="s">
        <v>1244</v>
      </c>
      <c r="B197" t="s">
        <v>10240</v>
      </c>
    </row>
    <row r="198" spans="1:2">
      <c r="A198" s="1" t="s">
        <v>1245</v>
      </c>
      <c r="B198" t="s">
        <v>10259</v>
      </c>
    </row>
    <row r="199" spans="1:2">
      <c r="A199" s="1" t="s">
        <v>1246</v>
      </c>
      <c r="B199" t="s">
        <v>10257</v>
      </c>
    </row>
    <row r="200" spans="1:2">
      <c r="A200" s="1" t="s">
        <v>1247</v>
      </c>
      <c r="B200" t="s">
        <v>10245</v>
      </c>
    </row>
    <row r="201" spans="1:2">
      <c r="A201" s="1" t="s">
        <v>1248</v>
      </c>
      <c r="B201" t="s">
        <v>10244</v>
      </c>
    </row>
    <row r="202" spans="1:2">
      <c r="A202" s="1" t="s">
        <v>1249</v>
      </c>
      <c r="B202" t="s">
        <v>10224</v>
      </c>
    </row>
    <row r="203" spans="1:2">
      <c r="A203" s="1" t="s">
        <v>749</v>
      </c>
      <c r="B203" t="s">
        <v>10250</v>
      </c>
    </row>
    <row r="204" spans="1:2">
      <c r="A204" s="1" t="s">
        <v>1250</v>
      </c>
      <c r="B204" t="s">
        <v>10223</v>
      </c>
    </row>
    <row r="205" spans="1:2">
      <c r="A205" s="1" t="s">
        <v>1251</v>
      </c>
      <c r="B205" t="s">
        <v>10260</v>
      </c>
    </row>
    <row r="206" spans="1:2">
      <c r="A206" s="1" t="s">
        <v>1252</v>
      </c>
      <c r="B206" t="s">
        <v>10232</v>
      </c>
    </row>
    <row r="207" spans="1:2">
      <c r="A207" s="1" t="s">
        <v>1253</v>
      </c>
      <c r="B207" t="s">
        <v>10244</v>
      </c>
    </row>
    <row r="208" spans="1:2">
      <c r="A208" s="1" t="s">
        <v>1254</v>
      </c>
      <c r="B208" t="s">
        <v>10261</v>
      </c>
    </row>
    <row r="209" spans="1:2">
      <c r="A209" s="1" t="s">
        <v>1255</v>
      </c>
      <c r="B209" t="s">
        <v>901</v>
      </c>
    </row>
    <row r="210" spans="1:2">
      <c r="A210" s="1" t="s">
        <v>1256</v>
      </c>
      <c r="B210" t="s">
        <v>901</v>
      </c>
    </row>
    <row r="211" spans="1:2">
      <c r="A211" s="1" t="s">
        <v>1257</v>
      </c>
      <c r="B211" t="s">
        <v>10232</v>
      </c>
    </row>
    <row r="212" spans="1:2">
      <c r="A212" s="1" t="s">
        <v>1258</v>
      </c>
      <c r="B212" t="s">
        <v>10224</v>
      </c>
    </row>
    <row r="213" spans="1:2">
      <c r="A213" s="1" t="s">
        <v>1259</v>
      </c>
      <c r="B213" t="s">
        <v>10224</v>
      </c>
    </row>
    <row r="214" spans="1:2">
      <c r="A214" s="1" t="s">
        <v>1260</v>
      </c>
      <c r="B214" t="s">
        <v>10262</v>
      </c>
    </row>
    <row r="215" spans="1:2">
      <c r="A215" s="1" t="s">
        <v>1261</v>
      </c>
      <c r="B215" t="s">
        <v>10229</v>
      </c>
    </row>
    <row r="216" spans="1:2">
      <c r="A216" s="1" t="s">
        <v>1262</v>
      </c>
      <c r="B216" t="s">
        <v>901</v>
      </c>
    </row>
    <row r="217" spans="1:2">
      <c r="A217" s="1" t="s">
        <v>1263</v>
      </c>
      <c r="B217" t="s">
        <v>10251</v>
      </c>
    </row>
    <row r="218" spans="1:2">
      <c r="A218" s="1" t="s">
        <v>1264</v>
      </c>
      <c r="B218" t="s">
        <v>10263</v>
      </c>
    </row>
    <row r="219" spans="1:2">
      <c r="A219" s="1" t="s">
        <v>1265</v>
      </c>
      <c r="B219" t="s">
        <v>10251</v>
      </c>
    </row>
    <row r="220" spans="1:2">
      <c r="A220" s="1" t="s">
        <v>1266</v>
      </c>
      <c r="B220" t="s">
        <v>10264</v>
      </c>
    </row>
    <row r="221" spans="1:2">
      <c r="A221" s="1" t="s">
        <v>1267</v>
      </c>
      <c r="B221" t="s">
        <v>10265</v>
      </c>
    </row>
    <row r="222" spans="1:2">
      <c r="A222" s="1" t="s">
        <v>1268</v>
      </c>
      <c r="B222" t="s">
        <v>10266</v>
      </c>
    </row>
    <row r="223" spans="1:2">
      <c r="A223" s="1" t="s">
        <v>1269</v>
      </c>
      <c r="B223" t="s">
        <v>10254</v>
      </c>
    </row>
    <row r="224" spans="1:2">
      <c r="A224" s="1" t="s">
        <v>1270</v>
      </c>
      <c r="B224" t="s">
        <v>10258</v>
      </c>
    </row>
    <row r="225" spans="1:2">
      <c r="A225" s="1" t="s">
        <v>1271</v>
      </c>
      <c r="B225" t="s">
        <v>10232</v>
      </c>
    </row>
    <row r="226" spans="1:2">
      <c r="A226" s="1" t="s">
        <v>1272</v>
      </c>
      <c r="B226" t="s">
        <v>10232</v>
      </c>
    </row>
    <row r="227" spans="1:2">
      <c r="A227" s="1" t="s">
        <v>1273</v>
      </c>
      <c r="B227" t="s">
        <v>10234</v>
      </c>
    </row>
    <row r="228" spans="1:2">
      <c r="A228" s="1" t="s">
        <v>1274</v>
      </c>
      <c r="B228" t="s">
        <v>10267</v>
      </c>
    </row>
    <row r="229" spans="1:2">
      <c r="A229" s="1" t="s">
        <v>1275</v>
      </c>
      <c r="B229" t="s">
        <v>10268</v>
      </c>
    </row>
    <row r="230" spans="1:2">
      <c r="A230" s="1" t="s">
        <v>1276</v>
      </c>
      <c r="B230" t="s">
        <v>10234</v>
      </c>
    </row>
    <row r="231" spans="1:2">
      <c r="A231" s="1" t="s">
        <v>1277</v>
      </c>
      <c r="B231" t="s">
        <v>10234</v>
      </c>
    </row>
    <row r="232" spans="1:2">
      <c r="A232" s="1" t="s">
        <v>1278</v>
      </c>
      <c r="B232" t="s">
        <v>10269</v>
      </c>
    </row>
    <row r="233" spans="1:2">
      <c r="A233" s="1" t="s">
        <v>1279</v>
      </c>
      <c r="B233" t="s">
        <v>10270</v>
      </c>
    </row>
    <row r="234" spans="1:2">
      <c r="A234" s="1" t="s">
        <v>1280</v>
      </c>
      <c r="B234" t="s">
        <v>10234</v>
      </c>
    </row>
    <row r="235" spans="1:2">
      <c r="A235" s="1" t="s">
        <v>1281</v>
      </c>
      <c r="B235" t="s">
        <v>10224</v>
      </c>
    </row>
    <row r="236" spans="1:2">
      <c r="A236" s="1" t="s">
        <v>1282</v>
      </c>
      <c r="B236" t="s">
        <v>10271</v>
      </c>
    </row>
    <row r="237" spans="1:2">
      <c r="A237" s="1" t="s">
        <v>1283</v>
      </c>
      <c r="B237" t="s">
        <v>10272</v>
      </c>
    </row>
    <row r="238" spans="1:2">
      <c r="A238" s="1" t="s">
        <v>1284</v>
      </c>
      <c r="B238" t="s">
        <v>10273</v>
      </c>
    </row>
    <row r="239" spans="1:2">
      <c r="A239" s="1" t="s">
        <v>818</v>
      </c>
      <c r="B239" t="s">
        <v>10243</v>
      </c>
    </row>
    <row r="240" spans="1:2">
      <c r="A240" s="1" t="s">
        <v>1285</v>
      </c>
      <c r="B240" t="s">
        <v>10274</v>
      </c>
    </row>
    <row r="241" spans="1:2">
      <c r="A241" s="1" t="s">
        <v>1286</v>
      </c>
      <c r="B241" t="s">
        <v>10245</v>
      </c>
    </row>
    <row r="242" spans="1:2">
      <c r="A242" s="1" t="s">
        <v>1287</v>
      </c>
      <c r="B242" t="s">
        <v>10234</v>
      </c>
    </row>
    <row r="243" spans="1:2">
      <c r="A243" s="1" t="s">
        <v>722</v>
      </c>
      <c r="B243" t="s">
        <v>10240</v>
      </c>
    </row>
    <row r="244" spans="1:2">
      <c r="A244" s="1" t="s">
        <v>774</v>
      </c>
      <c r="B244" t="s">
        <v>10234</v>
      </c>
    </row>
    <row r="245" spans="1:2">
      <c r="A245" s="1" t="s">
        <v>1288</v>
      </c>
      <c r="B245" t="s">
        <v>10275</v>
      </c>
    </row>
    <row r="246" spans="1:2">
      <c r="A246" s="1" t="s">
        <v>836</v>
      </c>
      <c r="B246" t="s">
        <v>10269</v>
      </c>
    </row>
    <row r="247" spans="1:2">
      <c r="A247" s="1" t="s">
        <v>1289</v>
      </c>
      <c r="B247" t="s">
        <v>10234</v>
      </c>
    </row>
    <row r="248" spans="1:2">
      <c r="A248" s="1" t="s">
        <v>1290</v>
      </c>
      <c r="B248" t="s">
        <v>10234</v>
      </c>
    </row>
    <row r="249" spans="1:2">
      <c r="A249" s="1" t="s">
        <v>1291</v>
      </c>
      <c r="B249" t="s">
        <v>10276</v>
      </c>
    </row>
    <row r="250" spans="1:2">
      <c r="A250" s="1" t="s">
        <v>1292</v>
      </c>
      <c r="B250" t="s">
        <v>10223</v>
      </c>
    </row>
    <row r="251" spans="1:2">
      <c r="A251" s="1" t="s">
        <v>747</v>
      </c>
      <c r="B251" t="s">
        <v>10277</v>
      </c>
    </row>
    <row r="252" spans="1:2">
      <c r="A252" s="1" t="s">
        <v>1293</v>
      </c>
      <c r="B252" t="s">
        <v>10234</v>
      </c>
    </row>
    <row r="253" spans="1:2">
      <c r="A253" s="1" t="s">
        <v>1294</v>
      </c>
      <c r="B253" t="s">
        <v>10278</v>
      </c>
    </row>
    <row r="254" spans="1:2">
      <c r="A254" s="1" t="s">
        <v>1295</v>
      </c>
      <c r="B254" t="s">
        <v>10234</v>
      </c>
    </row>
    <row r="255" spans="1:2">
      <c r="A255" s="1" t="s">
        <v>768</v>
      </c>
      <c r="B255" t="s">
        <v>10279</v>
      </c>
    </row>
    <row r="256" spans="1:2">
      <c r="A256" s="1" t="s">
        <v>1296</v>
      </c>
      <c r="B256" t="s">
        <v>10234</v>
      </c>
    </row>
    <row r="257" spans="1:2">
      <c r="A257" s="1" t="s">
        <v>1297</v>
      </c>
      <c r="B257" t="s">
        <v>10280</v>
      </c>
    </row>
    <row r="258" spans="1:2">
      <c r="A258" s="1" t="s">
        <v>1298</v>
      </c>
      <c r="B258" t="s">
        <v>10229</v>
      </c>
    </row>
    <row r="259" spans="1:2">
      <c r="A259" s="1" t="s">
        <v>1299</v>
      </c>
      <c r="B259" t="s">
        <v>10232</v>
      </c>
    </row>
    <row r="260" spans="1:2">
      <c r="A260" s="1" t="s">
        <v>1300</v>
      </c>
      <c r="B260" t="s">
        <v>10254</v>
      </c>
    </row>
    <row r="261" spans="1:2">
      <c r="A261" s="1" t="s">
        <v>1301</v>
      </c>
      <c r="B261" t="s">
        <v>10281</v>
      </c>
    </row>
    <row r="262" spans="1:2">
      <c r="A262" s="1" t="s">
        <v>1302</v>
      </c>
      <c r="B262" t="s">
        <v>10250</v>
      </c>
    </row>
    <row r="263" spans="1:2">
      <c r="A263" s="1" t="s">
        <v>1303</v>
      </c>
      <c r="B263" t="s">
        <v>10282</v>
      </c>
    </row>
    <row r="264" spans="1:2">
      <c r="A264" s="1" t="s">
        <v>1304</v>
      </c>
      <c r="B264" t="s">
        <v>10255</v>
      </c>
    </row>
    <row r="265" spans="1:2">
      <c r="A265" s="1" t="s">
        <v>1305</v>
      </c>
      <c r="B265" t="s">
        <v>10234</v>
      </c>
    </row>
    <row r="266" spans="1:2">
      <c r="A266" s="1" t="s">
        <v>1306</v>
      </c>
      <c r="B266" t="s">
        <v>10231</v>
      </c>
    </row>
    <row r="267" spans="1:2">
      <c r="A267" s="1" t="s">
        <v>1307</v>
      </c>
      <c r="B267" t="s">
        <v>10234</v>
      </c>
    </row>
    <row r="268" spans="1:2">
      <c r="A268" s="1" t="s">
        <v>1308</v>
      </c>
      <c r="B268" t="s">
        <v>10263</v>
      </c>
    </row>
    <row r="269" spans="1:2">
      <c r="A269" s="1" t="s">
        <v>1309</v>
      </c>
      <c r="B269" t="s">
        <v>10283</v>
      </c>
    </row>
    <row r="270" spans="1:2">
      <c r="A270" s="1" t="s">
        <v>1310</v>
      </c>
      <c r="B270" t="s">
        <v>10234</v>
      </c>
    </row>
    <row r="271" spans="1:2">
      <c r="A271" s="1" t="s">
        <v>1311</v>
      </c>
      <c r="B271" t="s">
        <v>10283</v>
      </c>
    </row>
    <row r="272" spans="1:2">
      <c r="A272" s="1" t="s">
        <v>712</v>
      </c>
      <c r="B272" t="s">
        <v>10243</v>
      </c>
    </row>
    <row r="273" spans="1:2">
      <c r="A273" s="1" t="s">
        <v>672</v>
      </c>
      <c r="B273" t="s">
        <v>10241</v>
      </c>
    </row>
    <row r="274" spans="1:2">
      <c r="A274" s="1" t="s">
        <v>1312</v>
      </c>
      <c r="B274" t="s">
        <v>10255</v>
      </c>
    </row>
    <row r="275" spans="1:2">
      <c r="A275" s="1" t="s">
        <v>1313</v>
      </c>
      <c r="B275" t="s">
        <v>10273</v>
      </c>
    </row>
    <row r="276" spans="1:2">
      <c r="A276" s="1" t="s">
        <v>1314</v>
      </c>
      <c r="B276" t="s">
        <v>10254</v>
      </c>
    </row>
    <row r="277" spans="1:2">
      <c r="A277" s="1" t="s">
        <v>1315</v>
      </c>
      <c r="B277" t="s">
        <v>10240</v>
      </c>
    </row>
    <row r="278" spans="1:2">
      <c r="A278" s="1" t="s">
        <v>1316</v>
      </c>
      <c r="B278" t="s">
        <v>10277</v>
      </c>
    </row>
    <row r="279" spans="1:2">
      <c r="A279" s="1" t="s">
        <v>693</v>
      </c>
      <c r="B279" t="s">
        <v>10277</v>
      </c>
    </row>
    <row r="280" spans="1:2">
      <c r="A280" s="1" t="s">
        <v>1317</v>
      </c>
      <c r="B280" t="s">
        <v>10284</v>
      </c>
    </row>
    <row r="281" spans="1:2">
      <c r="A281" s="1" t="s">
        <v>1318</v>
      </c>
      <c r="B281" t="s">
        <v>10267</v>
      </c>
    </row>
    <row r="282" spans="1:2">
      <c r="A282" s="1" t="s">
        <v>1319</v>
      </c>
      <c r="B282" t="s">
        <v>10241</v>
      </c>
    </row>
    <row r="283" spans="1:2">
      <c r="A283" s="1" t="s">
        <v>1320</v>
      </c>
      <c r="B283" t="s">
        <v>10234</v>
      </c>
    </row>
    <row r="284" spans="1:2">
      <c r="A284" s="1" t="s">
        <v>1321</v>
      </c>
      <c r="B284" t="s">
        <v>10252</v>
      </c>
    </row>
    <row r="285" spans="1:2">
      <c r="A285" s="1" t="s">
        <v>1322</v>
      </c>
      <c r="B285" t="s">
        <v>10285</v>
      </c>
    </row>
    <row r="286" spans="1:2">
      <c r="A286" s="1" t="s">
        <v>1323</v>
      </c>
      <c r="B286" t="s">
        <v>10249</v>
      </c>
    </row>
    <row r="287" spans="1:2">
      <c r="A287" s="1" t="s">
        <v>893</v>
      </c>
      <c r="B287" t="s">
        <v>10286</v>
      </c>
    </row>
    <row r="288" spans="1:2">
      <c r="A288" s="1" t="s">
        <v>1324</v>
      </c>
      <c r="B288" t="s">
        <v>10224</v>
      </c>
    </row>
    <row r="289" spans="1:2">
      <c r="A289" s="1" t="s">
        <v>1325</v>
      </c>
      <c r="B289" t="s">
        <v>10225</v>
      </c>
    </row>
    <row r="290" spans="1:2">
      <c r="A290" s="1" t="s">
        <v>1326</v>
      </c>
      <c r="B290" t="s">
        <v>10234</v>
      </c>
    </row>
    <row r="291" spans="1:2">
      <c r="A291" s="1" t="s">
        <v>1327</v>
      </c>
      <c r="B291" t="s">
        <v>10224</v>
      </c>
    </row>
    <row r="292" spans="1:2">
      <c r="A292" s="1" t="s">
        <v>1328</v>
      </c>
      <c r="B292" t="s">
        <v>10282</v>
      </c>
    </row>
    <row r="293" spans="1:2">
      <c r="A293" s="1" t="s">
        <v>726</v>
      </c>
      <c r="B293" t="s">
        <v>10244</v>
      </c>
    </row>
    <row r="294" spans="1:2">
      <c r="A294" s="1" t="s">
        <v>552</v>
      </c>
      <c r="B294" t="s">
        <v>10277</v>
      </c>
    </row>
    <row r="295" spans="1:2">
      <c r="A295" s="1" t="s">
        <v>1329</v>
      </c>
      <c r="B295" t="s">
        <v>10250</v>
      </c>
    </row>
    <row r="296" spans="1:2">
      <c r="A296" s="1" t="s">
        <v>1330</v>
      </c>
      <c r="B296" t="s">
        <v>10287</v>
      </c>
    </row>
    <row r="297" spans="1:2">
      <c r="A297" s="1" t="s">
        <v>1331</v>
      </c>
      <c r="B297" t="s">
        <v>10244</v>
      </c>
    </row>
    <row r="298" spans="1:2">
      <c r="A298" s="1" t="s">
        <v>1332</v>
      </c>
      <c r="B298" t="s">
        <v>10234</v>
      </c>
    </row>
    <row r="299" spans="1:2">
      <c r="A299" s="1" t="s">
        <v>1333</v>
      </c>
      <c r="B299" t="s">
        <v>10263</v>
      </c>
    </row>
    <row r="300" spans="1:2">
      <c r="A300" s="1" t="s">
        <v>1334</v>
      </c>
      <c r="B300" t="s">
        <v>10288</v>
      </c>
    </row>
    <row r="301" spans="1:2">
      <c r="A301" s="1" t="s">
        <v>1335</v>
      </c>
      <c r="B301" t="s">
        <v>10250</v>
      </c>
    </row>
    <row r="302" spans="1:2">
      <c r="A302" s="1" t="s">
        <v>1336</v>
      </c>
      <c r="B302" t="s">
        <v>10234</v>
      </c>
    </row>
    <row r="303" spans="1:2">
      <c r="A303" s="1" t="s">
        <v>1337</v>
      </c>
      <c r="B303" t="s">
        <v>10289</v>
      </c>
    </row>
    <row r="304" spans="1:2">
      <c r="A304" s="1" t="s">
        <v>1338</v>
      </c>
      <c r="B304" t="s">
        <v>10239</v>
      </c>
    </row>
    <row r="305" spans="1:2">
      <c r="A305" s="1" t="s">
        <v>576</v>
      </c>
      <c r="B305" t="s">
        <v>10290</v>
      </c>
    </row>
    <row r="306" spans="1:2">
      <c r="A306" s="1" t="s">
        <v>1339</v>
      </c>
      <c r="B306" t="s">
        <v>901</v>
      </c>
    </row>
    <row r="307" spans="1:2">
      <c r="A307" s="1" t="s">
        <v>1340</v>
      </c>
      <c r="B307" t="s">
        <v>10232</v>
      </c>
    </row>
    <row r="308" spans="1:2">
      <c r="A308" s="1" t="s">
        <v>1341</v>
      </c>
      <c r="B308" t="s">
        <v>10234</v>
      </c>
    </row>
    <row r="309" spans="1:2">
      <c r="A309" s="1" t="s">
        <v>1342</v>
      </c>
      <c r="B309" t="s">
        <v>10243</v>
      </c>
    </row>
    <row r="310" spans="1:2">
      <c r="A310" s="1" t="s">
        <v>1343</v>
      </c>
      <c r="B310" t="s">
        <v>10291</v>
      </c>
    </row>
    <row r="311" spans="1:2">
      <c r="A311" s="1" t="s">
        <v>1344</v>
      </c>
      <c r="B311" t="s">
        <v>10222</v>
      </c>
    </row>
    <row r="312" spans="1:2">
      <c r="A312" s="1" t="s">
        <v>1345</v>
      </c>
      <c r="B312" t="s">
        <v>10292</v>
      </c>
    </row>
    <row r="313" spans="1:2">
      <c r="A313" s="1" t="s">
        <v>1346</v>
      </c>
      <c r="B313" t="s">
        <v>10241</v>
      </c>
    </row>
    <row r="314" spans="1:2">
      <c r="A314" s="1" t="s">
        <v>1347</v>
      </c>
      <c r="B314" t="s">
        <v>10293</v>
      </c>
    </row>
    <row r="315" spans="1:2">
      <c r="A315" s="1" t="s">
        <v>1348</v>
      </c>
      <c r="B315" t="s">
        <v>10294</v>
      </c>
    </row>
    <row r="316" spans="1:2">
      <c r="A316" s="1" t="s">
        <v>1349</v>
      </c>
      <c r="B316" t="s">
        <v>10243</v>
      </c>
    </row>
    <row r="317" spans="1:2">
      <c r="A317" s="1" t="s">
        <v>1350</v>
      </c>
      <c r="B317" t="s">
        <v>10272</v>
      </c>
    </row>
    <row r="318" spans="1:2">
      <c r="A318" s="1" t="s">
        <v>1351</v>
      </c>
      <c r="B318" t="s">
        <v>10262</v>
      </c>
    </row>
    <row r="319" spans="1:2">
      <c r="A319" s="1" t="s">
        <v>808</v>
      </c>
      <c r="B319" t="s">
        <v>10257</v>
      </c>
    </row>
    <row r="320" spans="1:2">
      <c r="A320" s="1" t="s">
        <v>1352</v>
      </c>
      <c r="B320" t="s">
        <v>10231</v>
      </c>
    </row>
    <row r="321" spans="1:2">
      <c r="A321" s="1" t="s">
        <v>1353</v>
      </c>
      <c r="B321" t="s">
        <v>10283</v>
      </c>
    </row>
    <row r="322" spans="1:2">
      <c r="A322" s="1" t="s">
        <v>1354</v>
      </c>
      <c r="B322" t="s">
        <v>10234</v>
      </c>
    </row>
    <row r="323" spans="1:2">
      <c r="A323" s="1" t="s">
        <v>1355</v>
      </c>
      <c r="B323" t="s">
        <v>10285</v>
      </c>
    </row>
    <row r="324" spans="1:2">
      <c r="A324" s="1" t="s">
        <v>1356</v>
      </c>
      <c r="B324" t="s">
        <v>10234</v>
      </c>
    </row>
    <row r="325" spans="1:2">
      <c r="A325" s="1" t="s">
        <v>1357</v>
      </c>
      <c r="B325" t="s">
        <v>10225</v>
      </c>
    </row>
    <row r="326" spans="1:2">
      <c r="A326" s="1" t="s">
        <v>1358</v>
      </c>
      <c r="B326" t="s">
        <v>10278</v>
      </c>
    </row>
    <row r="327" spans="1:2">
      <c r="A327" s="1" t="s">
        <v>1359</v>
      </c>
      <c r="B327" t="s">
        <v>10240</v>
      </c>
    </row>
    <row r="328" spans="1:2">
      <c r="A328" s="1" t="s">
        <v>1360</v>
      </c>
      <c r="B328" t="s">
        <v>10234</v>
      </c>
    </row>
    <row r="329" spans="1:2">
      <c r="A329" s="1" t="s">
        <v>864</v>
      </c>
      <c r="B329" t="s">
        <v>10241</v>
      </c>
    </row>
    <row r="330" spans="1:2">
      <c r="A330" s="1" t="s">
        <v>751</v>
      </c>
      <c r="B330" t="s">
        <v>10278</v>
      </c>
    </row>
    <row r="331" spans="1:2">
      <c r="A331" s="1" t="s">
        <v>1361</v>
      </c>
      <c r="B331" t="s">
        <v>901</v>
      </c>
    </row>
    <row r="332" spans="1:2">
      <c r="A332" s="1" t="s">
        <v>1362</v>
      </c>
      <c r="B332" t="s">
        <v>10234</v>
      </c>
    </row>
    <row r="333" spans="1:2">
      <c r="A333" s="1" t="s">
        <v>1363</v>
      </c>
      <c r="B333" t="s">
        <v>10295</v>
      </c>
    </row>
    <row r="334" spans="1:2">
      <c r="A334" s="1" t="s">
        <v>1364</v>
      </c>
      <c r="B334" t="s">
        <v>10288</v>
      </c>
    </row>
    <row r="335" spans="1:2">
      <c r="A335" s="1" t="s">
        <v>1365</v>
      </c>
      <c r="B335" t="s">
        <v>10282</v>
      </c>
    </row>
    <row r="336" spans="1:2">
      <c r="A336" s="1" t="s">
        <v>1366</v>
      </c>
      <c r="B336" t="s">
        <v>10239</v>
      </c>
    </row>
    <row r="337" spans="1:2">
      <c r="A337" s="1" t="s">
        <v>1367</v>
      </c>
      <c r="B337" t="s">
        <v>10296</v>
      </c>
    </row>
    <row r="338" spans="1:2">
      <c r="A338" s="1" t="s">
        <v>1368</v>
      </c>
      <c r="B338" t="s">
        <v>10234</v>
      </c>
    </row>
    <row r="339" spans="1:2">
      <c r="A339" s="1" t="s">
        <v>1369</v>
      </c>
      <c r="B339" t="s">
        <v>10224</v>
      </c>
    </row>
    <row r="340" spans="1:2">
      <c r="A340" s="1" t="s">
        <v>1370</v>
      </c>
      <c r="B340" t="s">
        <v>10297</v>
      </c>
    </row>
    <row r="341" spans="1:2">
      <c r="A341" s="1" t="s">
        <v>761</v>
      </c>
      <c r="B341" t="s">
        <v>10298</v>
      </c>
    </row>
    <row r="342" spans="1:2">
      <c r="A342" s="1" t="s">
        <v>792</v>
      </c>
      <c r="B342" t="s">
        <v>10299</v>
      </c>
    </row>
    <row r="343" spans="1:2">
      <c r="A343" s="1" t="s">
        <v>738</v>
      </c>
      <c r="B343" t="s">
        <v>10265</v>
      </c>
    </row>
    <row r="344" spans="1:2">
      <c r="A344" s="1" t="s">
        <v>417</v>
      </c>
      <c r="B344" t="s">
        <v>10232</v>
      </c>
    </row>
    <row r="345" spans="1:2">
      <c r="A345" s="1" t="s">
        <v>1371</v>
      </c>
      <c r="B345" t="s">
        <v>10300</v>
      </c>
    </row>
    <row r="346" spans="1:2">
      <c r="A346" s="1" t="s">
        <v>422</v>
      </c>
      <c r="B346" t="s">
        <v>10232</v>
      </c>
    </row>
    <row r="347" spans="1:2">
      <c r="A347" s="1" t="s">
        <v>1372</v>
      </c>
      <c r="B347" t="s">
        <v>10251</v>
      </c>
    </row>
    <row r="348" spans="1:2">
      <c r="A348" s="1" t="s">
        <v>1373</v>
      </c>
      <c r="B348" t="s">
        <v>10244</v>
      </c>
    </row>
    <row r="349" spans="1:2">
      <c r="A349" s="1" t="s">
        <v>1374</v>
      </c>
      <c r="B349" t="s">
        <v>10301</v>
      </c>
    </row>
    <row r="350" spans="1:2">
      <c r="A350" s="1" t="s">
        <v>1375</v>
      </c>
      <c r="B350" t="s">
        <v>10302</v>
      </c>
    </row>
    <row r="351" spans="1:2">
      <c r="A351" s="1" t="s">
        <v>268</v>
      </c>
      <c r="B351" t="s">
        <v>10259</v>
      </c>
    </row>
    <row r="352" spans="1:2">
      <c r="A352" s="1" t="s">
        <v>1376</v>
      </c>
      <c r="B352" t="s">
        <v>10262</v>
      </c>
    </row>
    <row r="353" spans="1:2">
      <c r="A353" s="1" t="s">
        <v>1377</v>
      </c>
      <c r="B353" t="s">
        <v>10303</v>
      </c>
    </row>
    <row r="354" spans="1:2">
      <c r="A354" s="1" t="s">
        <v>388</v>
      </c>
      <c r="B354" t="s">
        <v>10232</v>
      </c>
    </row>
    <row r="355" spans="1:2">
      <c r="A355" s="1" t="s">
        <v>1378</v>
      </c>
      <c r="B355" t="s">
        <v>10286</v>
      </c>
    </row>
    <row r="356" spans="1:2">
      <c r="A356" s="1" t="s">
        <v>1379</v>
      </c>
      <c r="B356" t="s">
        <v>10262</v>
      </c>
    </row>
    <row r="357" spans="1:2">
      <c r="A357" s="1" t="s">
        <v>880</v>
      </c>
      <c r="B357" t="s">
        <v>10262</v>
      </c>
    </row>
    <row r="358" spans="1:2">
      <c r="A358" s="1" t="s">
        <v>1380</v>
      </c>
      <c r="B358" t="s">
        <v>10225</v>
      </c>
    </row>
    <row r="359" spans="1:2">
      <c r="A359" s="1" t="s">
        <v>1381</v>
      </c>
      <c r="B359" t="s">
        <v>10304</v>
      </c>
    </row>
    <row r="360" spans="1:2">
      <c r="A360" s="1" t="s">
        <v>730</v>
      </c>
      <c r="B360" t="s">
        <v>10305</v>
      </c>
    </row>
    <row r="361" spans="1:2">
      <c r="A361" s="1" t="s">
        <v>1382</v>
      </c>
      <c r="B361" t="s">
        <v>901</v>
      </c>
    </row>
    <row r="362" spans="1:2">
      <c r="A362" s="1" t="s">
        <v>1383</v>
      </c>
      <c r="B362" t="s">
        <v>10262</v>
      </c>
    </row>
    <row r="363" spans="1:2">
      <c r="A363" s="1" t="s">
        <v>1384</v>
      </c>
      <c r="B363" t="s">
        <v>10239</v>
      </c>
    </row>
    <row r="364" spans="1:2">
      <c r="A364" s="1" t="s">
        <v>1385</v>
      </c>
      <c r="B364" t="s">
        <v>10248</v>
      </c>
    </row>
    <row r="365" spans="1:2">
      <c r="A365" s="1" t="s">
        <v>790</v>
      </c>
      <c r="B365" t="s">
        <v>10250</v>
      </c>
    </row>
    <row r="366" spans="1:2">
      <c r="A366" s="1" t="s">
        <v>1386</v>
      </c>
      <c r="B366" t="s">
        <v>10250</v>
      </c>
    </row>
    <row r="367" spans="1:2">
      <c r="A367" s="1" t="s">
        <v>1387</v>
      </c>
      <c r="B367" t="s">
        <v>10278</v>
      </c>
    </row>
    <row r="368" spans="1:2">
      <c r="A368" s="1" t="s">
        <v>1388</v>
      </c>
      <c r="B368" t="s">
        <v>10224</v>
      </c>
    </row>
    <row r="369" spans="1:2">
      <c r="A369" s="1" t="s">
        <v>1389</v>
      </c>
      <c r="B369" t="s">
        <v>10306</v>
      </c>
    </row>
    <row r="370" spans="1:2">
      <c r="A370" s="1" t="s">
        <v>1390</v>
      </c>
      <c r="B370" t="s">
        <v>10262</v>
      </c>
    </row>
    <row r="371" spans="1:2">
      <c r="A371" s="1" t="s">
        <v>1391</v>
      </c>
      <c r="B371" t="s">
        <v>10277</v>
      </c>
    </row>
    <row r="372" spans="1:2">
      <c r="A372" s="1" t="s">
        <v>1392</v>
      </c>
      <c r="B372" t="s">
        <v>10307</v>
      </c>
    </row>
    <row r="373" spans="1:2">
      <c r="A373" s="1" t="s">
        <v>1393</v>
      </c>
      <c r="B373" t="s">
        <v>10277</v>
      </c>
    </row>
    <row r="374" spans="1:2">
      <c r="A374" s="1" t="s">
        <v>1394</v>
      </c>
      <c r="B374" t="s">
        <v>10250</v>
      </c>
    </row>
    <row r="375" spans="1:2">
      <c r="A375" s="1" t="s">
        <v>1395</v>
      </c>
      <c r="B375" t="s">
        <v>10277</v>
      </c>
    </row>
    <row r="376" spans="1:2">
      <c r="A376" s="1" t="s">
        <v>1396</v>
      </c>
      <c r="B376" t="s">
        <v>10308</v>
      </c>
    </row>
    <row r="377" spans="1:2">
      <c r="A377" s="1" t="s">
        <v>1397</v>
      </c>
      <c r="B377" t="s">
        <v>10241</v>
      </c>
    </row>
    <row r="378" spans="1:2">
      <c r="A378" s="1" t="s">
        <v>1398</v>
      </c>
      <c r="B378" t="s">
        <v>10231</v>
      </c>
    </row>
    <row r="379" spans="1:2">
      <c r="A379" s="1" t="s">
        <v>1399</v>
      </c>
      <c r="B379" t="s">
        <v>10303</v>
      </c>
    </row>
    <row r="380" spans="1:2">
      <c r="A380" s="1" t="s">
        <v>1400</v>
      </c>
      <c r="B380" t="s">
        <v>10232</v>
      </c>
    </row>
    <row r="381" spans="1:2">
      <c r="A381" s="1" t="s">
        <v>1401</v>
      </c>
      <c r="B381" t="s">
        <v>10243</v>
      </c>
    </row>
    <row r="382" spans="1:2">
      <c r="A382" s="1" t="s">
        <v>844</v>
      </c>
      <c r="B382" t="s">
        <v>10240</v>
      </c>
    </row>
    <row r="383" spans="1:2">
      <c r="A383" s="1" t="s">
        <v>1402</v>
      </c>
      <c r="B383" t="s">
        <v>10240</v>
      </c>
    </row>
    <row r="384" spans="1:2">
      <c r="A384" s="1" t="s">
        <v>1403</v>
      </c>
      <c r="B384" t="s">
        <v>10224</v>
      </c>
    </row>
    <row r="385" spans="1:2">
      <c r="A385" s="1" t="s">
        <v>785</v>
      </c>
      <c r="B385" t="s">
        <v>10279</v>
      </c>
    </row>
    <row r="386" spans="1:2">
      <c r="A386" s="1" t="s">
        <v>1404</v>
      </c>
      <c r="B386" t="s">
        <v>10278</v>
      </c>
    </row>
    <row r="387" spans="1:2">
      <c r="A387" s="1" t="s">
        <v>1405</v>
      </c>
      <c r="B387" t="s">
        <v>10243</v>
      </c>
    </row>
    <row r="388" spans="1:2">
      <c r="A388" s="1" t="s">
        <v>1406</v>
      </c>
      <c r="B388" t="s">
        <v>10241</v>
      </c>
    </row>
    <row r="389" spans="1:2">
      <c r="A389" s="1" t="s">
        <v>1407</v>
      </c>
      <c r="B389" t="s">
        <v>10262</v>
      </c>
    </row>
    <row r="390" spans="1:2">
      <c r="A390" s="1" t="s">
        <v>1408</v>
      </c>
      <c r="B390" t="s">
        <v>10283</v>
      </c>
    </row>
    <row r="391" spans="1:2">
      <c r="A391" s="1" t="s">
        <v>1409</v>
      </c>
      <c r="B391" t="s">
        <v>10250</v>
      </c>
    </row>
    <row r="392" spans="1:2">
      <c r="A392" s="1" t="s">
        <v>1410</v>
      </c>
      <c r="B392" t="s">
        <v>10265</v>
      </c>
    </row>
    <row r="393" spans="1:2">
      <c r="A393" s="1" t="s">
        <v>1411</v>
      </c>
      <c r="B393" t="s">
        <v>10250</v>
      </c>
    </row>
    <row r="394" spans="1:2">
      <c r="A394" s="1" t="s">
        <v>1412</v>
      </c>
      <c r="B394" t="s">
        <v>10256</v>
      </c>
    </row>
    <row r="395" spans="1:2">
      <c r="A395" s="1" t="s">
        <v>1413</v>
      </c>
      <c r="B395" t="s">
        <v>10304</v>
      </c>
    </row>
    <row r="396" spans="1:2">
      <c r="A396" s="1" t="s">
        <v>1414</v>
      </c>
      <c r="B396" t="s">
        <v>10309</v>
      </c>
    </row>
    <row r="397" spans="1:2">
      <c r="A397" s="1" t="s">
        <v>1415</v>
      </c>
      <c r="B397" t="s">
        <v>10224</v>
      </c>
    </row>
    <row r="398" spans="1:2">
      <c r="A398" s="1" t="s">
        <v>1416</v>
      </c>
      <c r="B398" t="s">
        <v>10239</v>
      </c>
    </row>
    <row r="399" spans="1:2">
      <c r="A399" s="1" t="s">
        <v>1417</v>
      </c>
      <c r="B399" t="s">
        <v>10234</v>
      </c>
    </row>
    <row r="400" spans="1:2">
      <c r="A400" s="1" t="s">
        <v>1418</v>
      </c>
      <c r="B400" t="s">
        <v>10280</v>
      </c>
    </row>
    <row r="401" spans="1:2">
      <c r="A401" s="1" t="s">
        <v>1419</v>
      </c>
      <c r="B401" t="s">
        <v>901</v>
      </c>
    </row>
    <row r="402" spans="1:2">
      <c r="A402" s="1" t="s">
        <v>889</v>
      </c>
      <c r="B402" t="s">
        <v>10286</v>
      </c>
    </row>
    <row r="403" spans="1:2">
      <c r="A403" s="1" t="s">
        <v>1420</v>
      </c>
      <c r="B403" t="s">
        <v>10277</v>
      </c>
    </row>
    <row r="404" spans="1:2">
      <c r="A404" s="1" t="s">
        <v>1421</v>
      </c>
      <c r="B404" t="s">
        <v>10277</v>
      </c>
    </row>
    <row r="405" spans="1:2">
      <c r="A405" s="1" t="s">
        <v>1422</v>
      </c>
      <c r="B405" t="s">
        <v>10234</v>
      </c>
    </row>
    <row r="406" spans="1:2">
      <c r="A406" s="1" t="s">
        <v>1423</v>
      </c>
      <c r="B406" t="s">
        <v>10234</v>
      </c>
    </row>
    <row r="407" spans="1:2">
      <c r="A407" s="1" t="s">
        <v>1424</v>
      </c>
      <c r="B407" t="s">
        <v>10262</v>
      </c>
    </row>
    <row r="408" spans="1:2">
      <c r="A408" s="1" t="s">
        <v>1425</v>
      </c>
      <c r="B408" t="s">
        <v>10310</v>
      </c>
    </row>
    <row r="409" spans="1:2">
      <c r="A409" s="1" t="s">
        <v>1426</v>
      </c>
      <c r="B409" t="s">
        <v>10311</v>
      </c>
    </row>
    <row r="410" spans="1:2">
      <c r="A410" s="1" t="s">
        <v>1427</v>
      </c>
      <c r="B410" t="s">
        <v>10312</v>
      </c>
    </row>
    <row r="411" spans="1:2">
      <c r="A411" s="1" t="s">
        <v>1428</v>
      </c>
      <c r="B411" t="s">
        <v>10232</v>
      </c>
    </row>
    <row r="412" spans="1:2">
      <c r="A412" s="1" t="s">
        <v>754</v>
      </c>
      <c r="B412" t="s">
        <v>10239</v>
      </c>
    </row>
    <row r="413" spans="1:2">
      <c r="A413" s="1" t="s">
        <v>1429</v>
      </c>
      <c r="B413" t="s">
        <v>10224</v>
      </c>
    </row>
    <row r="414" spans="1:2">
      <c r="A414" s="1" t="s">
        <v>798</v>
      </c>
      <c r="B414" t="s">
        <v>10277</v>
      </c>
    </row>
    <row r="415" spans="1:2">
      <c r="A415" s="1" t="s">
        <v>1430</v>
      </c>
      <c r="B415" t="s">
        <v>10269</v>
      </c>
    </row>
    <row r="416" spans="1:2">
      <c r="A416" s="1" t="s">
        <v>823</v>
      </c>
      <c r="B416" t="s">
        <v>10244</v>
      </c>
    </row>
    <row r="417" spans="1:2">
      <c r="A417" s="1" t="s">
        <v>1431</v>
      </c>
      <c r="B417" t="s">
        <v>10287</v>
      </c>
    </row>
    <row r="418" spans="1:2">
      <c r="A418" s="1" t="s">
        <v>1432</v>
      </c>
      <c r="B418" t="s">
        <v>10240</v>
      </c>
    </row>
    <row r="419" spans="1:2">
      <c r="A419" s="1" t="s">
        <v>736</v>
      </c>
      <c r="B419" t="s">
        <v>10244</v>
      </c>
    </row>
    <row r="420" spans="1:2">
      <c r="A420" s="1" t="s">
        <v>1433</v>
      </c>
      <c r="B420" t="s">
        <v>10240</v>
      </c>
    </row>
    <row r="421" spans="1:2">
      <c r="A421" s="1" t="s">
        <v>1434</v>
      </c>
      <c r="B421" t="s">
        <v>10240</v>
      </c>
    </row>
    <row r="422" spans="1:2">
      <c r="A422" s="1" t="s">
        <v>1435</v>
      </c>
      <c r="B422" t="s">
        <v>10313</v>
      </c>
    </row>
    <row r="423" spans="1:2">
      <c r="A423" s="1" t="s">
        <v>1436</v>
      </c>
      <c r="B423" t="s">
        <v>10262</v>
      </c>
    </row>
    <row r="424" spans="1:2">
      <c r="A424" s="1" t="s">
        <v>1437</v>
      </c>
      <c r="B424" t="s">
        <v>10229</v>
      </c>
    </row>
    <row r="425" spans="1:2">
      <c r="A425" s="1" t="s">
        <v>1438</v>
      </c>
      <c r="B425" t="s">
        <v>10275</v>
      </c>
    </row>
    <row r="426" spans="1:2">
      <c r="A426" s="1" t="s">
        <v>1439</v>
      </c>
      <c r="B426" t="s">
        <v>10234</v>
      </c>
    </row>
    <row r="427" spans="1:2">
      <c r="A427" s="1" t="s">
        <v>1440</v>
      </c>
      <c r="B427" t="s">
        <v>10240</v>
      </c>
    </row>
    <row r="428" spans="1:2">
      <c r="A428" s="1" t="s">
        <v>1441</v>
      </c>
      <c r="B428" t="s">
        <v>10234</v>
      </c>
    </row>
    <row r="429" spans="1:2">
      <c r="A429" s="1" t="s">
        <v>1442</v>
      </c>
      <c r="B429" t="s">
        <v>10239</v>
      </c>
    </row>
    <row r="430" spans="1:2">
      <c r="A430" s="1" t="s">
        <v>1443</v>
      </c>
      <c r="B430" t="s">
        <v>10224</v>
      </c>
    </row>
    <row r="431" spans="1:2">
      <c r="A431" s="1" t="s">
        <v>1444</v>
      </c>
      <c r="B431" t="s">
        <v>10250</v>
      </c>
    </row>
    <row r="432" spans="1:2">
      <c r="A432" s="1" t="s">
        <v>750</v>
      </c>
      <c r="B432" t="s">
        <v>10314</v>
      </c>
    </row>
    <row r="433" spans="1:2">
      <c r="A433" s="1" t="s">
        <v>1445</v>
      </c>
      <c r="B433" t="s">
        <v>10239</v>
      </c>
    </row>
    <row r="434" spans="1:2">
      <c r="A434" s="1" t="s">
        <v>1446</v>
      </c>
      <c r="B434" t="s">
        <v>10224</v>
      </c>
    </row>
    <row r="435" spans="1:2">
      <c r="A435" s="1" t="s">
        <v>1447</v>
      </c>
      <c r="B435" t="s">
        <v>10262</v>
      </c>
    </row>
    <row r="436" spans="1:2">
      <c r="A436" s="1" t="s">
        <v>1448</v>
      </c>
      <c r="B436" t="s">
        <v>10283</v>
      </c>
    </row>
    <row r="437" spans="1:2">
      <c r="A437" s="1" t="s">
        <v>744</v>
      </c>
      <c r="B437" t="s">
        <v>10250</v>
      </c>
    </row>
    <row r="438" spans="1:2">
      <c r="A438" s="1" t="s">
        <v>1449</v>
      </c>
      <c r="B438" t="s">
        <v>10240</v>
      </c>
    </row>
    <row r="439" spans="1:2">
      <c r="A439" s="1" t="s">
        <v>457</v>
      </c>
      <c r="B439" t="s">
        <v>10229</v>
      </c>
    </row>
    <row r="440" spans="1:2">
      <c r="A440" s="1" t="s">
        <v>1450</v>
      </c>
      <c r="B440" t="s">
        <v>10243</v>
      </c>
    </row>
    <row r="441" spans="1:2">
      <c r="A441" s="1" t="s">
        <v>1451</v>
      </c>
      <c r="B441" t="s">
        <v>10229</v>
      </c>
    </row>
    <row r="442" spans="1:2">
      <c r="A442" s="1" t="s">
        <v>1452</v>
      </c>
      <c r="B442" t="s">
        <v>901</v>
      </c>
    </row>
    <row r="443" spans="1:2">
      <c r="A443" s="1" t="s">
        <v>1453</v>
      </c>
      <c r="B443" t="s">
        <v>10286</v>
      </c>
    </row>
    <row r="444" spans="1:2">
      <c r="A444" s="1" t="s">
        <v>1454</v>
      </c>
      <c r="B444" t="s">
        <v>10262</v>
      </c>
    </row>
    <row r="445" spans="1:2">
      <c r="A445" s="1" t="s">
        <v>1455</v>
      </c>
      <c r="B445" t="s">
        <v>10234</v>
      </c>
    </row>
    <row r="446" spans="1:2">
      <c r="A446" s="1" t="s">
        <v>694</v>
      </c>
      <c r="B446" t="s">
        <v>10229</v>
      </c>
    </row>
    <row r="447" spans="1:2">
      <c r="A447" s="1" t="s">
        <v>1456</v>
      </c>
      <c r="B447" t="s">
        <v>10305</v>
      </c>
    </row>
    <row r="448" spans="1:2">
      <c r="A448" s="1" t="s">
        <v>1457</v>
      </c>
      <c r="B448" t="s">
        <v>10277</v>
      </c>
    </row>
    <row r="449" spans="1:2">
      <c r="A449" s="1" t="s">
        <v>1458</v>
      </c>
      <c r="B449" t="s">
        <v>10228</v>
      </c>
    </row>
    <row r="450" spans="1:2">
      <c r="A450" s="1" t="s">
        <v>1459</v>
      </c>
      <c r="B450" t="s">
        <v>10224</v>
      </c>
    </row>
    <row r="451" spans="1:2">
      <c r="A451" s="1" t="s">
        <v>1460</v>
      </c>
      <c r="B451" t="s">
        <v>901</v>
      </c>
    </row>
    <row r="452" spans="1:2">
      <c r="A452" s="1" t="s">
        <v>1461</v>
      </c>
      <c r="B452" t="s">
        <v>10241</v>
      </c>
    </row>
    <row r="453" spans="1:2">
      <c r="A453" s="1" t="s">
        <v>1462</v>
      </c>
      <c r="B453" t="s">
        <v>10234</v>
      </c>
    </row>
    <row r="454" spans="1:2">
      <c r="A454" s="1" t="s">
        <v>1463</v>
      </c>
      <c r="B454" t="s">
        <v>10277</v>
      </c>
    </row>
    <row r="455" spans="1:2">
      <c r="A455" s="1" t="s">
        <v>1464</v>
      </c>
      <c r="B455" t="s">
        <v>10309</v>
      </c>
    </row>
    <row r="456" spans="1:2">
      <c r="A456" s="1" t="s">
        <v>797</v>
      </c>
      <c r="B456" t="s">
        <v>10274</v>
      </c>
    </row>
    <row r="457" spans="1:2">
      <c r="A457" s="1" t="s">
        <v>1465</v>
      </c>
      <c r="B457" t="s">
        <v>10250</v>
      </c>
    </row>
    <row r="458" spans="1:2">
      <c r="A458" s="1" t="s">
        <v>1466</v>
      </c>
      <c r="B458" t="s">
        <v>10230</v>
      </c>
    </row>
    <row r="459" spans="1:2">
      <c r="A459" s="1" t="s">
        <v>1467</v>
      </c>
      <c r="B459" t="s">
        <v>10277</v>
      </c>
    </row>
    <row r="460" spans="1:2">
      <c r="A460" s="1" t="s">
        <v>630</v>
      </c>
      <c r="B460" t="s">
        <v>10259</v>
      </c>
    </row>
    <row r="461" spans="1:2">
      <c r="A461" s="1" t="s">
        <v>1468</v>
      </c>
      <c r="B461" t="s">
        <v>10262</v>
      </c>
    </row>
    <row r="462" spans="1:2">
      <c r="A462" s="1" t="s">
        <v>1469</v>
      </c>
      <c r="B462" t="s">
        <v>10240</v>
      </c>
    </row>
    <row r="463" spans="1:2">
      <c r="A463" s="1" t="s">
        <v>1470</v>
      </c>
      <c r="B463" t="s">
        <v>10315</v>
      </c>
    </row>
    <row r="464" spans="1:2">
      <c r="A464" s="1" t="s">
        <v>1471</v>
      </c>
      <c r="B464" t="s">
        <v>10234</v>
      </c>
    </row>
    <row r="465" spans="1:2">
      <c r="A465" s="1" t="s">
        <v>1472</v>
      </c>
      <c r="B465" t="s">
        <v>10262</v>
      </c>
    </row>
    <row r="466" spans="1:2">
      <c r="A466" s="1" t="s">
        <v>1473</v>
      </c>
      <c r="B466" t="s">
        <v>10265</v>
      </c>
    </row>
    <row r="467" spans="1:2">
      <c r="A467" s="1" t="s">
        <v>1474</v>
      </c>
      <c r="B467" t="s">
        <v>10232</v>
      </c>
    </row>
    <row r="468" spans="1:2">
      <c r="A468" s="1" t="s">
        <v>1475</v>
      </c>
      <c r="B468" t="s">
        <v>10305</v>
      </c>
    </row>
    <row r="469" spans="1:2">
      <c r="A469" s="1" t="s">
        <v>1476</v>
      </c>
      <c r="B469" t="s">
        <v>10234</v>
      </c>
    </row>
    <row r="470" spans="1:2">
      <c r="A470" s="1" t="s">
        <v>1477</v>
      </c>
      <c r="B470" t="s">
        <v>10262</v>
      </c>
    </row>
    <row r="471" spans="1:2">
      <c r="A471" s="1" t="s">
        <v>1478</v>
      </c>
      <c r="B471" t="s">
        <v>10275</v>
      </c>
    </row>
    <row r="472" spans="1:2">
      <c r="A472" s="1" t="s">
        <v>763</v>
      </c>
      <c r="B472" t="s">
        <v>10279</v>
      </c>
    </row>
    <row r="473" spans="1:2">
      <c r="A473" s="1" t="s">
        <v>1479</v>
      </c>
      <c r="B473" t="s">
        <v>10285</v>
      </c>
    </row>
    <row r="474" spans="1:2">
      <c r="A474" s="1" t="s">
        <v>1480</v>
      </c>
      <c r="B474" t="s">
        <v>10283</v>
      </c>
    </row>
    <row r="475" spans="1:2">
      <c r="A475" s="1" t="s">
        <v>1481</v>
      </c>
      <c r="B475" t="s">
        <v>10262</v>
      </c>
    </row>
    <row r="476" spans="1:2">
      <c r="A476" s="1" t="s">
        <v>1482</v>
      </c>
      <c r="B476" t="s">
        <v>10277</v>
      </c>
    </row>
    <row r="477" spans="1:2">
      <c r="A477" s="1" t="s">
        <v>1483</v>
      </c>
      <c r="B477" t="s">
        <v>10244</v>
      </c>
    </row>
    <row r="478" spans="1:2">
      <c r="A478" s="1" t="s">
        <v>1484</v>
      </c>
      <c r="B478" t="s">
        <v>10244</v>
      </c>
    </row>
    <row r="479" spans="1:2">
      <c r="A479" s="1" t="s">
        <v>1485</v>
      </c>
      <c r="B479" t="s">
        <v>10251</v>
      </c>
    </row>
    <row r="480" spans="1:2">
      <c r="A480" s="1" t="s">
        <v>1486</v>
      </c>
      <c r="B480" t="s">
        <v>10284</v>
      </c>
    </row>
    <row r="481" spans="1:2">
      <c r="A481" s="1" t="s">
        <v>1487</v>
      </c>
      <c r="B481" t="s">
        <v>10234</v>
      </c>
    </row>
    <row r="482" spans="1:2">
      <c r="A482" s="1" t="s">
        <v>1488</v>
      </c>
      <c r="B482" t="s">
        <v>10248</v>
      </c>
    </row>
    <row r="483" spans="1:2">
      <c r="A483" s="1" t="s">
        <v>501</v>
      </c>
      <c r="B483" t="s">
        <v>10262</v>
      </c>
    </row>
    <row r="484" spans="1:2">
      <c r="A484" s="1" t="s">
        <v>1489</v>
      </c>
      <c r="B484" t="s">
        <v>10232</v>
      </c>
    </row>
    <row r="485" spans="1:2">
      <c r="A485" s="1" t="s">
        <v>1490</v>
      </c>
      <c r="B485" t="s">
        <v>10234</v>
      </c>
    </row>
    <row r="486" spans="1:2">
      <c r="A486" s="1" t="s">
        <v>1491</v>
      </c>
      <c r="B486" t="s">
        <v>10239</v>
      </c>
    </row>
    <row r="487" spans="1:2">
      <c r="A487" s="1" t="s">
        <v>1492</v>
      </c>
      <c r="B487" t="s">
        <v>10302</v>
      </c>
    </row>
    <row r="488" spans="1:2">
      <c r="A488" s="1" t="s">
        <v>1493</v>
      </c>
      <c r="B488" t="s">
        <v>10239</v>
      </c>
    </row>
    <row r="489" spans="1:2">
      <c r="A489" s="1" t="s">
        <v>1494</v>
      </c>
      <c r="B489" t="s">
        <v>10234</v>
      </c>
    </row>
    <row r="490" spans="1:2">
      <c r="A490" s="1" t="s">
        <v>1495</v>
      </c>
      <c r="B490" t="s">
        <v>10229</v>
      </c>
    </row>
    <row r="491" spans="1:2">
      <c r="A491" s="1" t="s">
        <v>1496</v>
      </c>
      <c r="B491" t="s">
        <v>10229</v>
      </c>
    </row>
    <row r="492" spans="1:2">
      <c r="A492" s="1" t="s">
        <v>1497</v>
      </c>
      <c r="B492" t="s">
        <v>10260</v>
      </c>
    </row>
    <row r="493" spans="1:2">
      <c r="A493" s="1" t="s">
        <v>1498</v>
      </c>
      <c r="B493" t="s">
        <v>10240</v>
      </c>
    </row>
    <row r="494" spans="1:2">
      <c r="A494" s="1" t="s">
        <v>811</v>
      </c>
      <c r="B494" t="s">
        <v>10262</v>
      </c>
    </row>
    <row r="495" spans="1:2">
      <c r="A495" s="1" t="s">
        <v>1499</v>
      </c>
      <c r="B495" t="s">
        <v>10232</v>
      </c>
    </row>
    <row r="496" spans="1:2">
      <c r="A496" s="1" t="s">
        <v>1500</v>
      </c>
      <c r="B496" t="s">
        <v>10241</v>
      </c>
    </row>
    <row r="497" spans="1:2">
      <c r="A497" s="1" t="s">
        <v>1501</v>
      </c>
      <c r="B497" t="s">
        <v>10232</v>
      </c>
    </row>
    <row r="498" spans="1:2">
      <c r="A498" s="1" t="s">
        <v>1502</v>
      </c>
      <c r="B498" t="s">
        <v>10234</v>
      </c>
    </row>
    <row r="499" spans="1:2">
      <c r="A499" s="1" t="s">
        <v>1503</v>
      </c>
      <c r="B499" t="s">
        <v>10234</v>
      </c>
    </row>
    <row r="500" spans="1:2">
      <c r="A500" s="1" t="s">
        <v>1504</v>
      </c>
      <c r="B500" t="s">
        <v>10316</v>
      </c>
    </row>
    <row r="501" spans="1:2">
      <c r="A501" s="1" t="s">
        <v>1505</v>
      </c>
      <c r="B501" t="s">
        <v>10239</v>
      </c>
    </row>
    <row r="502" spans="1:2">
      <c r="A502" s="1" t="s">
        <v>1506</v>
      </c>
      <c r="B502" t="s">
        <v>10282</v>
      </c>
    </row>
    <row r="503" spans="1:2">
      <c r="A503" s="1" t="s">
        <v>1507</v>
      </c>
      <c r="B503" t="s">
        <v>10224</v>
      </c>
    </row>
    <row r="504" spans="1:2">
      <c r="A504" s="1" t="s">
        <v>1508</v>
      </c>
      <c r="B504" t="s">
        <v>10224</v>
      </c>
    </row>
    <row r="505" spans="1:2">
      <c r="A505" s="1" t="s">
        <v>1509</v>
      </c>
      <c r="B505" t="s">
        <v>10224</v>
      </c>
    </row>
    <row r="506" spans="1:2">
      <c r="A506" s="1" t="s">
        <v>1510</v>
      </c>
      <c r="B506" t="s">
        <v>10232</v>
      </c>
    </row>
    <row r="507" spans="1:2">
      <c r="A507" s="1" t="s">
        <v>1511</v>
      </c>
      <c r="B507" t="s">
        <v>10317</v>
      </c>
    </row>
    <row r="508" spans="1:2">
      <c r="A508" s="1" t="s">
        <v>1512</v>
      </c>
      <c r="B508" t="s">
        <v>10250</v>
      </c>
    </row>
    <row r="509" spans="1:2">
      <c r="A509" s="1" t="s">
        <v>1513</v>
      </c>
      <c r="B509" t="s">
        <v>10239</v>
      </c>
    </row>
    <row r="510" spans="1:2">
      <c r="A510" s="1" t="s">
        <v>1514</v>
      </c>
      <c r="B510" t="s">
        <v>10287</v>
      </c>
    </row>
    <row r="511" spans="1:2">
      <c r="A511" s="1" t="s">
        <v>1515</v>
      </c>
      <c r="B511" t="s">
        <v>10234</v>
      </c>
    </row>
    <row r="512" spans="1:2">
      <c r="A512" s="1" t="s">
        <v>1516</v>
      </c>
      <c r="B512" t="s">
        <v>10232</v>
      </c>
    </row>
    <row r="513" spans="1:2">
      <c r="A513" s="1" t="s">
        <v>1517</v>
      </c>
      <c r="B513" t="s">
        <v>10277</v>
      </c>
    </row>
    <row r="514" spans="1:2">
      <c r="A514" s="1" t="s">
        <v>1518</v>
      </c>
      <c r="B514" t="s">
        <v>10318</v>
      </c>
    </row>
    <row r="515" spans="1:2">
      <c r="A515" s="1" t="s">
        <v>1519</v>
      </c>
      <c r="B515" t="s">
        <v>10283</v>
      </c>
    </row>
    <row r="516" spans="1:2">
      <c r="A516" s="1" t="s">
        <v>1520</v>
      </c>
      <c r="B516" t="s">
        <v>10234</v>
      </c>
    </row>
    <row r="517" spans="1:2">
      <c r="A517" s="1" t="s">
        <v>1521</v>
      </c>
      <c r="B517" t="s">
        <v>10234</v>
      </c>
    </row>
    <row r="518" spans="1:2">
      <c r="A518" s="1" t="s">
        <v>1522</v>
      </c>
      <c r="B518" t="s">
        <v>10303</v>
      </c>
    </row>
    <row r="519" spans="1:2">
      <c r="A519" s="1" t="s">
        <v>1523</v>
      </c>
      <c r="B519" t="s">
        <v>10303</v>
      </c>
    </row>
    <row r="520" spans="1:2">
      <c r="A520" s="1" t="s">
        <v>1524</v>
      </c>
      <c r="B520" t="s">
        <v>10277</v>
      </c>
    </row>
    <row r="521" spans="1:2">
      <c r="A521" s="1" t="s">
        <v>1525</v>
      </c>
      <c r="B521" t="s">
        <v>10234</v>
      </c>
    </row>
    <row r="522" spans="1:2">
      <c r="A522" s="1" t="s">
        <v>1526</v>
      </c>
      <c r="B522" t="s">
        <v>10240</v>
      </c>
    </row>
    <row r="523" spans="1:2">
      <c r="A523" s="1" t="s">
        <v>1527</v>
      </c>
      <c r="B523" t="s">
        <v>10229</v>
      </c>
    </row>
    <row r="524" spans="1:2">
      <c r="A524" s="1" t="s">
        <v>1528</v>
      </c>
      <c r="B524" t="s">
        <v>10277</v>
      </c>
    </row>
    <row r="525" spans="1:2">
      <c r="A525" s="1" t="s">
        <v>1529</v>
      </c>
      <c r="B525" t="s">
        <v>10248</v>
      </c>
    </row>
    <row r="526" spans="1:2">
      <c r="A526" s="1" t="s">
        <v>1530</v>
      </c>
      <c r="B526" t="s">
        <v>10234</v>
      </c>
    </row>
    <row r="527" spans="1:2">
      <c r="A527" s="1" t="s">
        <v>1531</v>
      </c>
      <c r="B527" t="s">
        <v>10232</v>
      </c>
    </row>
    <row r="528" spans="1:2">
      <c r="A528" s="1" t="s">
        <v>1532</v>
      </c>
      <c r="B528" t="s">
        <v>10224</v>
      </c>
    </row>
    <row r="529" spans="1:2">
      <c r="A529" s="1" t="s">
        <v>1533</v>
      </c>
      <c r="B529" t="s">
        <v>10277</v>
      </c>
    </row>
    <row r="530" spans="1:2">
      <c r="A530" s="1" t="s">
        <v>1534</v>
      </c>
      <c r="B530" t="s">
        <v>10278</v>
      </c>
    </row>
    <row r="531" spans="1:2">
      <c r="A531" s="1" t="s">
        <v>1535</v>
      </c>
      <c r="B531" t="s">
        <v>10256</v>
      </c>
    </row>
    <row r="532" spans="1:2">
      <c r="A532" s="1" t="s">
        <v>1536</v>
      </c>
      <c r="B532" t="s">
        <v>10234</v>
      </c>
    </row>
    <row r="533" spans="1:2">
      <c r="A533" s="1" t="s">
        <v>1537</v>
      </c>
      <c r="B533" t="s">
        <v>10312</v>
      </c>
    </row>
    <row r="534" spans="1:2">
      <c r="A534" s="1" t="s">
        <v>1538</v>
      </c>
      <c r="B534" t="s">
        <v>10234</v>
      </c>
    </row>
    <row r="535" spans="1:2">
      <c r="A535" s="1" t="s">
        <v>1539</v>
      </c>
      <c r="B535" t="s">
        <v>10234</v>
      </c>
    </row>
    <row r="536" spans="1:2">
      <c r="A536" s="1" t="s">
        <v>1540</v>
      </c>
      <c r="B536" t="s">
        <v>10319</v>
      </c>
    </row>
    <row r="537" spans="1:2">
      <c r="A537" s="1" t="s">
        <v>1541</v>
      </c>
      <c r="B537" t="s">
        <v>10232</v>
      </c>
    </row>
    <row r="538" spans="1:2">
      <c r="A538" s="1" t="s">
        <v>1542</v>
      </c>
      <c r="B538" t="s">
        <v>10282</v>
      </c>
    </row>
    <row r="539" spans="1:2">
      <c r="A539" s="1" t="s">
        <v>1543</v>
      </c>
      <c r="B539" t="s">
        <v>10240</v>
      </c>
    </row>
    <row r="540" spans="1:2">
      <c r="A540" s="1" t="s">
        <v>1544</v>
      </c>
      <c r="B540" t="s">
        <v>10262</v>
      </c>
    </row>
    <row r="541" spans="1:2">
      <c r="A541" s="1" t="s">
        <v>1545</v>
      </c>
      <c r="B541" t="s">
        <v>10303</v>
      </c>
    </row>
    <row r="542" spans="1:2">
      <c r="A542" s="1" t="s">
        <v>1546</v>
      </c>
      <c r="B542" t="s">
        <v>10234</v>
      </c>
    </row>
    <row r="543" spans="1:2">
      <c r="A543" s="1" t="s">
        <v>748</v>
      </c>
      <c r="B543" t="s">
        <v>10224</v>
      </c>
    </row>
    <row r="544" spans="1:2">
      <c r="A544" s="1" t="s">
        <v>1547</v>
      </c>
      <c r="B544" t="s">
        <v>10277</v>
      </c>
    </row>
    <row r="545" spans="1:2">
      <c r="A545" s="1" t="s">
        <v>1548</v>
      </c>
      <c r="B545" t="s">
        <v>10239</v>
      </c>
    </row>
    <row r="546" spans="1:2">
      <c r="A546" s="1" t="s">
        <v>1549</v>
      </c>
      <c r="B546" t="s">
        <v>10234</v>
      </c>
    </row>
    <row r="547" spans="1:2">
      <c r="A547" s="1" t="s">
        <v>1550</v>
      </c>
      <c r="B547" t="s">
        <v>10258</v>
      </c>
    </row>
    <row r="548" spans="1:2">
      <c r="A548" s="1" t="s">
        <v>1551</v>
      </c>
      <c r="B548" t="s">
        <v>10305</v>
      </c>
    </row>
    <row r="549" spans="1:2">
      <c r="A549" s="1" t="s">
        <v>1552</v>
      </c>
      <c r="B549" t="s">
        <v>10231</v>
      </c>
    </row>
    <row r="550" spans="1:2">
      <c r="A550" s="1" t="s">
        <v>1553</v>
      </c>
      <c r="B550" t="s">
        <v>10277</v>
      </c>
    </row>
    <row r="551" spans="1:2">
      <c r="A551" s="1" t="s">
        <v>1554</v>
      </c>
      <c r="B551" t="s">
        <v>10224</v>
      </c>
    </row>
    <row r="552" spans="1:2">
      <c r="A552" s="1" t="s">
        <v>1555</v>
      </c>
      <c r="B552" t="s">
        <v>10320</v>
      </c>
    </row>
    <row r="553" spans="1:2">
      <c r="A553" s="1" t="s">
        <v>1556</v>
      </c>
      <c r="B553" t="s">
        <v>10277</v>
      </c>
    </row>
    <row r="554" spans="1:2">
      <c r="A554" s="1" t="s">
        <v>1557</v>
      </c>
      <c r="B554" t="s">
        <v>10277</v>
      </c>
    </row>
    <row r="555" spans="1:2">
      <c r="A555" s="1" t="s">
        <v>1558</v>
      </c>
      <c r="B555" t="s">
        <v>10234</v>
      </c>
    </row>
    <row r="556" spans="1:2">
      <c r="A556" s="1" t="s">
        <v>1559</v>
      </c>
      <c r="B556" t="s">
        <v>10262</v>
      </c>
    </row>
    <row r="557" spans="1:2">
      <c r="A557" s="1" t="s">
        <v>1560</v>
      </c>
      <c r="B557" t="s">
        <v>10321</v>
      </c>
    </row>
    <row r="558" spans="1:2">
      <c r="A558" s="1" t="s">
        <v>1561</v>
      </c>
      <c r="B558" t="s">
        <v>10250</v>
      </c>
    </row>
    <row r="559" spans="1:2">
      <c r="A559" s="1" t="s">
        <v>1562</v>
      </c>
      <c r="B559" t="s">
        <v>10305</v>
      </c>
    </row>
    <row r="560" spans="1:2">
      <c r="A560" s="1" t="s">
        <v>1563</v>
      </c>
      <c r="B560" t="s">
        <v>10305</v>
      </c>
    </row>
    <row r="561" spans="1:2">
      <c r="A561" s="1" t="s">
        <v>602</v>
      </c>
      <c r="B561" t="s">
        <v>10277</v>
      </c>
    </row>
    <row r="562" spans="1:2">
      <c r="A562" s="1" t="s">
        <v>817</v>
      </c>
      <c r="B562" t="s">
        <v>10243</v>
      </c>
    </row>
    <row r="563" spans="1:2">
      <c r="A563" s="1" t="s">
        <v>1564</v>
      </c>
      <c r="B563" t="s">
        <v>10322</v>
      </c>
    </row>
    <row r="564" spans="1:2">
      <c r="A564" s="1" t="s">
        <v>1565</v>
      </c>
      <c r="B564" t="s">
        <v>10229</v>
      </c>
    </row>
    <row r="565" spans="1:2">
      <c r="A565" s="1" t="s">
        <v>1566</v>
      </c>
      <c r="B565" t="s">
        <v>10243</v>
      </c>
    </row>
    <row r="566" spans="1:2">
      <c r="A566" s="1" t="s">
        <v>1567</v>
      </c>
      <c r="B566" t="s">
        <v>10258</v>
      </c>
    </row>
    <row r="567" spans="1:2">
      <c r="A567" s="1" t="s">
        <v>1568</v>
      </c>
      <c r="B567" t="s">
        <v>10238</v>
      </c>
    </row>
    <row r="568" spans="1:2">
      <c r="A568" s="1" t="s">
        <v>1569</v>
      </c>
      <c r="B568" t="s">
        <v>10250</v>
      </c>
    </row>
    <row r="569" spans="1:2">
      <c r="A569" s="1" t="s">
        <v>1570</v>
      </c>
      <c r="B569" t="s">
        <v>10229</v>
      </c>
    </row>
    <row r="570" spans="1:2">
      <c r="A570" s="1" t="s">
        <v>1571</v>
      </c>
      <c r="B570" t="s">
        <v>10277</v>
      </c>
    </row>
    <row r="571" spans="1:2">
      <c r="A571" s="1" t="s">
        <v>1572</v>
      </c>
      <c r="B571" t="s">
        <v>10312</v>
      </c>
    </row>
    <row r="572" spans="1:2">
      <c r="A572" s="1" t="s">
        <v>1573</v>
      </c>
      <c r="B572" t="s">
        <v>10233</v>
      </c>
    </row>
    <row r="573" spans="1:2">
      <c r="A573" s="1" t="s">
        <v>1574</v>
      </c>
      <c r="B573" t="s">
        <v>10234</v>
      </c>
    </row>
    <row r="574" spans="1:2">
      <c r="A574" s="1" t="s">
        <v>1575</v>
      </c>
      <c r="B574" t="s">
        <v>10277</v>
      </c>
    </row>
    <row r="575" spans="1:2">
      <c r="A575" s="1" t="s">
        <v>1576</v>
      </c>
      <c r="B575" t="s">
        <v>10238</v>
      </c>
    </row>
    <row r="576" spans="1:2">
      <c r="A576" s="1" t="s">
        <v>1577</v>
      </c>
      <c r="B576" t="s">
        <v>10323</v>
      </c>
    </row>
    <row r="577" spans="1:2">
      <c r="A577" s="1" t="s">
        <v>1578</v>
      </c>
      <c r="B577" t="s">
        <v>10231</v>
      </c>
    </row>
    <row r="578" spans="1:2">
      <c r="A578" s="1" t="s">
        <v>1579</v>
      </c>
      <c r="B578" t="s">
        <v>10275</v>
      </c>
    </row>
    <row r="579" spans="1:2">
      <c r="A579" s="1" t="s">
        <v>1580</v>
      </c>
      <c r="B579" t="s">
        <v>10238</v>
      </c>
    </row>
    <row r="580" spans="1:2">
      <c r="A580" s="1" t="s">
        <v>1581</v>
      </c>
      <c r="B580" t="s">
        <v>10277</v>
      </c>
    </row>
    <row r="581" spans="1:2">
      <c r="A581" s="1" t="s">
        <v>1582</v>
      </c>
      <c r="B581" t="s">
        <v>10324</v>
      </c>
    </row>
    <row r="582" spans="1:2">
      <c r="A582" s="1" t="s">
        <v>1583</v>
      </c>
      <c r="B582" t="s">
        <v>10234</v>
      </c>
    </row>
    <row r="583" spans="1:2">
      <c r="A583" s="1" t="s">
        <v>756</v>
      </c>
      <c r="B583" t="s">
        <v>10277</v>
      </c>
    </row>
    <row r="584" spans="1:2">
      <c r="A584" s="1" t="s">
        <v>1584</v>
      </c>
      <c r="B584" t="s">
        <v>10258</v>
      </c>
    </row>
    <row r="585" spans="1:2">
      <c r="A585" s="1" t="s">
        <v>1585</v>
      </c>
      <c r="B585" t="s">
        <v>10239</v>
      </c>
    </row>
    <row r="586" spans="1:2">
      <c r="A586" s="1" t="s">
        <v>1586</v>
      </c>
      <c r="B586" t="s">
        <v>10262</v>
      </c>
    </row>
    <row r="587" spans="1:2">
      <c r="A587" s="1" t="s">
        <v>1587</v>
      </c>
      <c r="B587" t="s">
        <v>10234</v>
      </c>
    </row>
    <row r="588" spans="1:2">
      <c r="A588" s="1" t="s">
        <v>1588</v>
      </c>
      <c r="B588" t="s">
        <v>10232</v>
      </c>
    </row>
    <row r="589" spans="1:2">
      <c r="A589" s="1" t="s">
        <v>1589</v>
      </c>
      <c r="B589" t="s">
        <v>10277</v>
      </c>
    </row>
    <row r="590" spans="1:2">
      <c r="A590" s="1" t="s">
        <v>1590</v>
      </c>
      <c r="B590" t="s">
        <v>10275</v>
      </c>
    </row>
    <row r="591" spans="1:2">
      <c r="A591" s="1" t="s">
        <v>1591</v>
      </c>
      <c r="B591" t="s">
        <v>10230</v>
      </c>
    </row>
    <row r="592" spans="1:2">
      <c r="A592" s="1" t="s">
        <v>1592</v>
      </c>
      <c r="B592" t="s">
        <v>10234</v>
      </c>
    </row>
    <row r="593" spans="1:2">
      <c r="A593" s="1" t="s">
        <v>1593</v>
      </c>
      <c r="B593" t="s">
        <v>10262</v>
      </c>
    </row>
    <row r="594" spans="1:2">
      <c r="A594" s="1" t="s">
        <v>1594</v>
      </c>
      <c r="B594" t="s">
        <v>10325</v>
      </c>
    </row>
    <row r="595" spans="1:2">
      <c r="A595" s="1" t="s">
        <v>1595</v>
      </c>
      <c r="B595" t="s">
        <v>10326</v>
      </c>
    </row>
    <row r="596" spans="1:2">
      <c r="A596" s="1" t="s">
        <v>767</v>
      </c>
      <c r="B596" t="s">
        <v>10232</v>
      </c>
    </row>
    <row r="597" spans="1:2">
      <c r="A597" s="1" t="s">
        <v>1596</v>
      </c>
      <c r="B597" t="s">
        <v>10262</v>
      </c>
    </row>
    <row r="598" spans="1:2">
      <c r="A598" s="1" t="s">
        <v>1597</v>
      </c>
      <c r="B598" t="s">
        <v>10265</v>
      </c>
    </row>
    <row r="599" spans="1:2">
      <c r="A599" s="1" t="s">
        <v>1598</v>
      </c>
      <c r="B599" t="s">
        <v>10327</v>
      </c>
    </row>
    <row r="600" spans="1:2">
      <c r="A600" s="1" t="s">
        <v>1599</v>
      </c>
      <c r="B600" t="s">
        <v>10277</v>
      </c>
    </row>
    <row r="601" spans="1:2">
      <c r="A601" s="1" t="s">
        <v>1600</v>
      </c>
      <c r="B601" t="s">
        <v>10328</v>
      </c>
    </row>
    <row r="602" spans="1:2">
      <c r="A602" s="1" t="s">
        <v>739</v>
      </c>
      <c r="B602" t="s">
        <v>10277</v>
      </c>
    </row>
    <row r="603" spans="1:2">
      <c r="A603" s="1" t="s">
        <v>1601</v>
      </c>
      <c r="B603" t="s">
        <v>10305</v>
      </c>
    </row>
    <row r="604" spans="1:2">
      <c r="A604" s="1" t="s">
        <v>1602</v>
      </c>
      <c r="B604" t="s">
        <v>10305</v>
      </c>
    </row>
    <row r="605" spans="1:2">
      <c r="A605" s="1" t="s">
        <v>1603</v>
      </c>
      <c r="B605" t="s">
        <v>10252</v>
      </c>
    </row>
    <row r="606" spans="1:2">
      <c r="A606" s="1" t="s">
        <v>1604</v>
      </c>
      <c r="B606" t="s">
        <v>10234</v>
      </c>
    </row>
    <row r="607" spans="1:2">
      <c r="A607" s="1" t="s">
        <v>1605</v>
      </c>
      <c r="B607" t="s">
        <v>10283</v>
      </c>
    </row>
    <row r="608" spans="1:2">
      <c r="A608" s="1" t="s">
        <v>1606</v>
      </c>
      <c r="B608" t="s">
        <v>10234</v>
      </c>
    </row>
    <row r="609" spans="1:2">
      <c r="A609" s="1" t="s">
        <v>1607</v>
      </c>
      <c r="B609" t="s">
        <v>10312</v>
      </c>
    </row>
    <row r="610" spans="1:2">
      <c r="A610" s="1" t="s">
        <v>1608</v>
      </c>
      <c r="B610" t="s">
        <v>10277</v>
      </c>
    </row>
    <row r="611" spans="1:2">
      <c r="A611" s="1" t="s">
        <v>1609</v>
      </c>
      <c r="B611" t="s">
        <v>10234</v>
      </c>
    </row>
    <row r="612" spans="1:2">
      <c r="A612" s="1" t="s">
        <v>832</v>
      </c>
      <c r="B612" t="s">
        <v>10303</v>
      </c>
    </row>
    <row r="613" spans="1:2">
      <c r="A613" s="1" t="s">
        <v>1610</v>
      </c>
      <c r="B613" t="s">
        <v>10231</v>
      </c>
    </row>
    <row r="614" spans="1:2">
      <c r="A614" s="1" t="s">
        <v>870</v>
      </c>
      <c r="B614" t="s">
        <v>10224</v>
      </c>
    </row>
    <row r="615" spans="1:2">
      <c r="A615" s="1" t="s">
        <v>1611</v>
      </c>
      <c r="B615" t="s">
        <v>10256</v>
      </c>
    </row>
    <row r="616" spans="1:2">
      <c r="A616" s="1" t="s">
        <v>1612</v>
      </c>
      <c r="B616" t="s">
        <v>10262</v>
      </c>
    </row>
    <row r="617" spans="1:2">
      <c r="A617" s="1" t="s">
        <v>819</v>
      </c>
      <c r="B617" t="s">
        <v>10287</v>
      </c>
    </row>
    <row r="618" spans="1:2">
      <c r="A618" s="1" t="s">
        <v>1613</v>
      </c>
      <c r="B618" t="s">
        <v>10234</v>
      </c>
    </row>
    <row r="619" spans="1:2">
      <c r="A619" s="1" t="s">
        <v>1614</v>
      </c>
      <c r="B619" t="s">
        <v>10238</v>
      </c>
    </row>
    <row r="620" spans="1:2">
      <c r="A620" s="1" t="s">
        <v>1615</v>
      </c>
      <c r="B620" t="s">
        <v>10229</v>
      </c>
    </row>
    <row r="621" spans="1:2">
      <c r="A621" s="1" t="s">
        <v>1616</v>
      </c>
      <c r="B621" t="s">
        <v>10234</v>
      </c>
    </row>
    <row r="622" spans="1:2">
      <c r="A622" s="1" t="s">
        <v>775</v>
      </c>
      <c r="B622" t="s">
        <v>10277</v>
      </c>
    </row>
    <row r="623" spans="1:2">
      <c r="A623" s="1" t="s">
        <v>1617</v>
      </c>
      <c r="B623" t="s">
        <v>10248</v>
      </c>
    </row>
    <row r="624" spans="1:2">
      <c r="A624" s="1" t="s">
        <v>1618</v>
      </c>
      <c r="B624" t="s">
        <v>10305</v>
      </c>
    </row>
    <row r="625" spans="1:2">
      <c r="A625" s="1" t="s">
        <v>1619</v>
      </c>
      <c r="B625" t="s">
        <v>10240</v>
      </c>
    </row>
    <row r="626" spans="1:2">
      <c r="A626" s="1" t="s">
        <v>542</v>
      </c>
      <c r="B626" t="s">
        <v>10277</v>
      </c>
    </row>
    <row r="627" spans="1:2">
      <c r="A627" s="1" t="s">
        <v>1620</v>
      </c>
      <c r="B627" t="s">
        <v>10239</v>
      </c>
    </row>
    <row r="628" spans="1:2">
      <c r="A628" s="1" t="s">
        <v>1621</v>
      </c>
      <c r="B628" t="s">
        <v>10329</v>
      </c>
    </row>
    <row r="629" spans="1:2">
      <c r="A629" s="1" t="s">
        <v>1622</v>
      </c>
      <c r="B629" t="s">
        <v>10234</v>
      </c>
    </row>
    <row r="630" spans="1:2">
      <c r="A630" s="1" t="s">
        <v>1623</v>
      </c>
      <c r="B630" t="s">
        <v>10277</v>
      </c>
    </row>
    <row r="631" spans="1:2">
      <c r="A631" s="1" t="s">
        <v>1624</v>
      </c>
      <c r="B631" t="s">
        <v>10272</v>
      </c>
    </row>
    <row r="632" spans="1:2">
      <c r="A632" s="1" t="s">
        <v>1625</v>
      </c>
      <c r="B632" t="s">
        <v>10243</v>
      </c>
    </row>
    <row r="633" spans="1:2">
      <c r="A633" s="1" t="s">
        <v>1626</v>
      </c>
      <c r="B633" t="s">
        <v>10251</v>
      </c>
    </row>
    <row r="634" spans="1:2">
      <c r="A634" s="1" t="s">
        <v>1627</v>
      </c>
      <c r="B634" t="s">
        <v>10330</v>
      </c>
    </row>
    <row r="635" spans="1:2">
      <c r="A635" s="1" t="s">
        <v>1628</v>
      </c>
      <c r="B635" t="s">
        <v>10277</v>
      </c>
    </row>
    <row r="636" spans="1:2">
      <c r="A636" s="1" t="s">
        <v>1629</v>
      </c>
      <c r="B636" t="s">
        <v>10239</v>
      </c>
    </row>
    <row r="637" spans="1:2">
      <c r="A637" s="1" t="s">
        <v>1630</v>
      </c>
      <c r="B637" t="s">
        <v>10234</v>
      </c>
    </row>
    <row r="638" spans="1:2">
      <c r="A638" s="1" t="s">
        <v>1631</v>
      </c>
      <c r="B638" t="s">
        <v>10257</v>
      </c>
    </row>
    <row r="639" spans="1:2">
      <c r="A639" s="1" t="s">
        <v>1632</v>
      </c>
      <c r="B639" t="s">
        <v>10277</v>
      </c>
    </row>
    <row r="640" spans="1:2">
      <c r="A640" s="1" t="s">
        <v>1633</v>
      </c>
      <c r="B640" t="s">
        <v>10331</v>
      </c>
    </row>
    <row r="641" spans="1:2">
      <c r="A641" s="1" t="s">
        <v>1634</v>
      </c>
      <c r="B641" t="s">
        <v>10257</v>
      </c>
    </row>
    <row r="642" spans="1:2">
      <c r="A642" s="1" t="s">
        <v>1635</v>
      </c>
      <c r="B642" t="s">
        <v>10234</v>
      </c>
    </row>
    <row r="643" spans="1:2">
      <c r="A643" s="1" t="s">
        <v>1636</v>
      </c>
      <c r="B643" t="s">
        <v>10305</v>
      </c>
    </row>
    <row r="644" spans="1:2">
      <c r="A644" s="1" t="s">
        <v>1637</v>
      </c>
      <c r="B644" t="s">
        <v>10239</v>
      </c>
    </row>
    <row r="645" spans="1:2">
      <c r="A645" s="1" t="s">
        <v>1638</v>
      </c>
      <c r="B645" t="s">
        <v>10262</v>
      </c>
    </row>
    <row r="646" spans="1:2">
      <c r="A646" s="1" t="s">
        <v>1639</v>
      </c>
      <c r="B646" t="s">
        <v>10252</v>
      </c>
    </row>
    <row r="647" spans="1:2">
      <c r="A647" s="1" t="s">
        <v>628</v>
      </c>
      <c r="B647" t="s">
        <v>10250</v>
      </c>
    </row>
    <row r="648" spans="1:2">
      <c r="A648" s="1" t="s">
        <v>1640</v>
      </c>
      <c r="B648" t="s">
        <v>901</v>
      </c>
    </row>
    <row r="649" spans="1:2">
      <c r="A649" s="1" t="s">
        <v>771</v>
      </c>
      <c r="B649" t="s">
        <v>10234</v>
      </c>
    </row>
    <row r="650" spans="1:2">
      <c r="A650" s="1" t="s">
        <v>1641</v>
      </c>
      <c r="B650" t="s">
        <v>10305</v>
      </c>
    </row>
    <row r="651" spans="1:2">
      <c r="A651" s="1" t="s">
        <v>1642</v>
      </c>
      <c r="B651" t="s">
        <v>10305</v>
      </c>
    </row>
    <row r="652" spans="1:2">
      <c r="A652" s="1" t="s">
        <v>1643</v>
      </c>
      <c r="B652" t="s">
        <v>10234</v>
      </c>
    </row>
    <row r="653" spans="1:2">
      <c r="A653" s="1" t="s">
        <v>1644</v>
      </c>
      <c r="B653" t="s">
        <v>10262</v>
      </c>
    </row>
    <row r="654" spans="1:2">
      <c r="A654" s="1" t="s">
        <v>1645</v>
      </c>
      <c r="B654" t="s">
        <v>10234</v>
      </c>
    </row>
    <row r="655" spans="1:2">
      <c r="A655" s="1" t="s">
        <v>1646</v>
      </c>
      <c r="B655" t="s">
        <v>10251</v>
      </c>
    </row>
    <row r="656" spans="1:2">
      <c r="A656" s="1" t="s">
        <v>1647</v>
      </c>
      <c r="B656" t="s">
        <v>10305</v>
      </c>
    </row>
    <row r="657" spans="1:2">
      <c r="A657" s="1" t="s">
        <v>1648</v>
      </c>
      <c r="B657" t="s">
        <v>10277</v>
      </c>
    </row>
    <row r="658" spans="1:2">
      <c r="A658" s="1" t="s">
        <v>1649</v>
      </c>
      <c r="B658" t="s">
        <v>10332</v>
      </c>
    </row>
    <row r="659" spans="1:2">
      <c r="A659" s="1" t="s">
        <v>1650</v>
      </c>
      <c r="B659" t="s">
        <v>10251</v>
      </c>
    </row>
    <row r="660" spans="1:2">
      <c r="A660" s="1" t="s">
        <v>1651</v>
      </c>
      <c r="B660" t="s">
        <v>10250</v>
      </c>
    </row>
    <row r="661" spans="1:2">
      <c r="A661" s="1" t="s">
        <v>1652</v>
      </c>
      <c r="B661" t="s">
        <v>10230</v>
      </c>
    </row>
    <row r="662" spans="1:2">
      <c r="A662" s="1" t="s">
        <v>1653</v>
      </c>
      <c r="B662" t="s">
        <v>10333</v>
      </c>
    </row>
    <row r="663" spans="1:2">
      <c r="A663" s="1" t="s">
        <v>1654</v>
      </c>
      <c r="B663" t="s">
        <v>10277</v>
      </c>
    </row>
    <row r="664" spans="1:2">
      <c r="A664" s="1" t="s">
        <v>1655</v>
      </c>
      <c r="B664" t="s">
        <v>10240</v>
      </c>
    </row>
    <row r="665" spans="1:2">
      <c r="A665" s="1" t="s">
        <v>1656</v>
      </c>
      <c r="B665" t="s">
        <v>10240</v>
      </c>
    </row>
    <row r="666" spans="1:2">
      <c r="A666" s="1" t="s">
        <v>1657</v>
      </c>
      <c r="B666" t="s">
        <v>10232</v>
      </c>
    </row>
    <row r="667" spans="1:2">
      <c r="A667" s="1" t="s">
        <v>1658</v>
      </c>
      <c r="B667" t="s">
        <v>10303</v>
      </c>
    </row>
    <row r="668" spans="1:2">
      <c r="A668" s="1" t="s">
        <v>1659</v>
      </c>
      <c r="B668" t="s">
        <v>10234</v>
      </c>
    </row>
    <row r="669" spans="1:2">
      <c r="A669" s="1" t="s">
        <v>1660</v>
      </c>
      <c r="B669" t="s">
        <v>10262</v>
      </c>
    </row>
    <row r="670" spans="1:2">
      <c r="A670" s="1" t="s">
        <v>1661</v>
      </c>
      <c r="B670" t="s">
        <v>10251</v>
      </c>
    </row>
    <row r="671" spans="1:2">
      <c r="A671" s="1" t="s">
        <v>1662</v>
      </c>
      <c r="B671" t="s">
        <v>10251</v>
      </c>
    </row>
    <row r="672" spans="1:2">
      <c r="A672" s="1" t="s">
        <v>1663</v>
      </c>
      <c r="B672" t="s">
        <v>10239</v>
      </c>
    </row>
    <row r="673" spans="1:2">
      <c r="A673" s="1" t="s">
        <v>1664</v>
      </c>
      <c r="B673" t="s">
        <v>10308</v>
      </c>
    </row>
    <row r="674" spans="1:2">
      <c r="A674" s="1" t="s">
        <v>1665</v>
      </c>
      <c r="B674" t="s">
        <v>10228</v>
      </c>
    </row>
    <row r="675" spans="1:2">
      <c r="A675" s="1" t="s">
        <v>1666</v>
      </c>
      <c r="B675" t="s">
        <v>10234</v>
      </c>
    </row>
    <row r="676" spans="1:2">
      <c r="A676" s="1" t="s">
        <v>1667</v>
      </c>
      <c r="B676" t="s">
        <v>10234</v>
      </c>
    </row>
    <row r="677" spans="1:2">
      <c r="A677" s="1" t="s">
        <v>1668</v>
      </c>
      <c r="B677" t="s">
        <v>10243</v>
      </c>
    </row>
    <row r="678" spans="1:2">
      <c r="A678" s="1" t="s">
        <v>1669</v>
      </c>
      <c r="B678" t="s">
        <v>10290</v>
      </c>
    </row>
    <row r="679" spans="1:2">
      <c r="A679" s="1" t="s">
        <v>1670</v>
      </c>
      <c r="B679" t="s">
        <v>10277</v>
      </c>
    </row>
    <row r="680" spans="1:2">
      <c r="A680" s="1" t="s">
        <v>1671</v>
      </c>
      <c r="B680" t="s">
        <v>10234</v>
      </c>
    </row>
    <row r="681" spans="1:2">
      <c r="A681" s="1" t="s">
        <v>569</v>
      </c>
      <c r="B681" t="s">
        <v>10232</v>
      </c>
    </row>
    <row r="682" spans="1:2">
      <c r="A682" s="1" t="s">
        <v>1672</v>
      </c>
      <c r="B682" t="s">
        <v>10287</v>
      </c>
    </row>
    <row r="683" spans="1:2">
      <c r="A683" s="1" t="s">
        <v>1673</v>
      </c>
      <c r="B683" t="s">
        <v>10334</v>
      </c>
    </row>
    <row r="684" spans="1:2">
      <c r="A684" s="1" t="s">
        <v>1674</v>
      </c>
      <c r="B684" t="s">
        <v>10277</v>
      </c>
    </row>
    <row r="685" spans="1:2">
      <c r="A685" s="1" t="s">
        <v>426</v>
      </c>
      <c r="B685" t="s">
        <v>10269</v>
      </c>
    </row>
    <row r="686" spans="1:2">
      <c r="A686" s="1" t="s">
        <v>1675</v>
      </c>
      <c r="B686" t="s">
        <v>10234</v>
      </c>
    </row>
    <row r="687" spans="1:2">
      <c r="A687" s="1" t="s">
        <v>1676</v>
      </c>
      <c r="B687" t="s">
        <v>10258</v>
      </c>
    </row>
    <row r="688" spans="1:2">
      <c r="A688" s="1" t="s">
        <v>1677</v>
      </c>
      <c r="B688" t="s">
        <v>10252</v>
      </c>
    </row>
    <row r="689" spans="1:2">
      <c r="A689" s="1" t="s">
        <v>1678</v>
      </c>
      <c r="B689" t="s">
        <v>10287</v>
      </c>
    </row>
    <row r="690" spans="1:2">
      <c r="A690" s="1" t="s">
        <v>1679</v>
      </c>
      <c r="B690" t="s">
        <v>10335</v>
      </c>
    </row>
    <row r="691" spans="1:2">
      <c r="A691" s="1" t="s">
        <v>1680</v>
      </c>
      <c r="B691" t="s">
        <v>10277</v>
      </c>
    </row>
    <row r="692" spans="1:2">
      <c r="A692" s="1" t="s">
        <v>1681</v>
      </c>
      <c r="B692" t="s">
        <v>10278</v>
      </c>
    </row>
    <row r="693" spans="1:2">
      <c r="A693" s="1" t="s">
        <v>1682</v>
      </c>
      <c r="B693" t="s">
        <v>10250</v>
      </c>
    </row>
    <row r="694" spans="1:2">
      <c r="A694" s="1" t="s">
        <v>1683</v>
      </c>
      <c r="B694" t="s">
        <v>10239</v>
      </c>
    </row>
    <row r="695" spans="1:2">
      <c r="A695" s="1" t="s">
        <v>1684</v>
      </c>
      <c r="B695" t="s">
        <v>10243</v>
      </c>
    </row>
    <row r="696" spans="1:2">
      <c r="A696" s="1" t="s">
        <v>1685</v>
      </c>
      <c r="B696" t="s">
        <v>10303</v>
      </c>
    </row>
    <row r="697" spans="1:2">
      <c r="A697" s="1" t="s">
        <v>1686</v>
      </c>
      <c r="B697" t="s">
        <v>10234</v>
      </c>
    </row>
    <row r="698" spans="1:2">
      <c r="A698" s="1" t="s">
        <v>1687</v>
      </c>
      <c r="B698" t="s">
        <v>10252</v>
      </c>
    </row>
    <row r="699" spans="1:2">
      <c r="A699" s="1" t="s">
        <v>1688</v>
      </c>
      <c r="B699" t="s">
        <v>10231</v>
      </c>
    </row>
    <row r="700" spans="1:2">
      <c r="A700" s="1" t="s">
        <v>1689</v>
      </c>
      <c r="B700" t="s">
        <v>10232</v>
      </c>
    </row>
    <row r="701" spans="1:2">
      <c r="A701" s="1" t="s">
        <v>1690</v>
      </c>
      <c r="B701" t="s">
        <v>901</v>
      </c>
    </row>
    <row r="702" spans="1:2">
      <c r="A702" s="1" t="s">
        <v>1691</v>
      </c>
      <c r="B702" t="s">
        <v>10336</v>
      </c>
    </row>
    <row r="703" spans="1:2">
      <c r="A703" s="1" t="s">
        <v>1692</v>
      </c>
      <c r="B703" t="s">
        <v>10252</v>
      </c>
    </row>
    <row r="704" spans="1:2">
      <c r="A704" s="1" t="s">
        <v>1693</v>
      </c>
      <c r="B704" t="s">
        <v>10256</v>
      </c>
    </row>
    <row r="705" spans="1:2">
      <c r="A705" s="1" t="s">
        <v>1694</v>
      </c>
      <c r="B705" t="s">
        <v>10265</v>
      </c>
    </row>
    <row r="706" spans="1:2">
      <c r="A706" s="1" t="s">
        <v>1695</v>
      </c>
      <c r="B706" t="s">
        <v>10242</v>
      </c>
    </row>
    <row r="707" spans="1:2">
      <c r="A707" s="1" t="s">
        <v>1696</v>
      </c>
      <c r="B707" t="s">
        <v>10244</v>
      </c>
    </row>
    <row r="708" spans="1:2">
      <c r="A708" s="1" t="s">
        <v>1697</v>
      </c>
      <c r="B708" t="s">
        <v>10277</v>
      </c>
    </row>
    <row r="709" spans="1:2">
      <c r="A709" s="1" t="s">
        <v>1698</v>
      </c>
      <c r="B709" t="s">
        <v>10234</v>
      </c>
    </row>
    <row r="710" spans="1:2">
      <c r="A710" s="1" t="s">
        <v>1699</v>
      </c>
      <c r="B710" t="s">
        <v>10287</v>
      </c>
    </row>
    <row r="711" spans="1:2">
      <c r="A711" s="1" t="s">
        <v>1700</v>
      </c>
      <c r="B711" t="s">
        <v>10277</v>
      </c>
    </row>
    <row r="712" spans="1:2">
      <c r="A712" s="1" t="s">
        <v>1701</v>
      </c>
      <c r="B712" t="s">
        <v>10303</v>
      </c>
    </row>
    <row r="713" spans="1:2">
      <c r="A713" s="1" t="s">
        <v>1702</v>
      </c>
      <c r="B713" t="s">
        <v>10234</v>
      </c>
    </row>
    <row r="714" spans="1:2">
      <c r="A714" s="1" t="s">
        <v>1703</v>
      </c>
      <c r="B714" t="s">
        <v>10232</v>
      </c>
    </row>
    <row r="715" spans="1:2">
      <c r="A715" s="1" t="s">
        <v>1704</v>
      </c>
      <c r="B715" t="s">
        <v>10277</v>
      </c>
    </row>
    <row r="716" spans="1:2">
      <c r="A716" s="1" t="s">
        <v>1705</v>
      </c>
      <c r="B716" t="s">
        <v>10261</v>
      </c>
    </row>
    <row r="717" spans="1:2">
      <c r="A717" s="1" t="s">
        <v>1706</v>
      </c>
      <c r="B717" t="s">
        <v>10280</v>
      </c>
    </row>
    <row r="718" spans="1:2">
      <c r="A718" s="1" t="s">
        <v>1707</v>
      </c>
      <c r="B718" t="s">
        <v>10275</v>
      </c>
    </row>
    <row r="719" spans="1:2">
      <c r="A719" s="1" t="s">
        <v>1708</v>
      </c>
      <c r="B719" t="s">
        <v>10283</v>
      </c>
    </row>
    <row r="720" spans="1:2">
      <c r="A720" s="1" t="s">
        <v>882</v>
      </c>
      <c r="B720" t="s">
        <v>10262</v>
      </c>
    </row>
    <row r="721" spans="1:2">
      <c r="A721" s="1" t="s">
        <v>1709</v>
      </c>
      <c r="B721" t="s">
        <v>10278</v>
      </c>
    </row>
    <row r="722" spans="1:2">
      <c r="A722" s="1" t="s">
        <v>1710</v>
      </c>
      <c r="B722" t="s">
        <v>10266</v>
      </c>
    </row>
    <row r="723" spans="1:2">
      <c r="A723" s="1" t="s">
        <v>1711</v>
      </c>
      <c r="B723" t="s">
        <v>10279</v>
      </c>
    </row>
    <row r="724" spans="1:2">
      <c r="A724" s="1" t="s">
        <v>1712</v>
      </c>
      <c r="B724" t="s">
        <v>10234</v>
      </c>
    </row>
    <row r="725" spans="1:2">
      <c r="A725" s="1" t="s">
        <v>820</v>
      </c>
      <c r="B725" t="s">
        <v>10286</v>
      </c>
    </row>
    <row r="726" spans="1:2">
      <c r="A726" s="1" t="s">
        <v>1713</v>
      </c>
      <c r="B726" t="s">
        <v>901</v>
      </c>
    </row>
    <row r="727" spans="1:2">
      <c r="A727" s="1" t="s">
        <v>1714</v>
      </c>
      <c r="B727" t="s">
        <v>10278</v>
      </c>
    </row>
    <row r="728" spans="1:2">
      <c r="A728" s="1" t="s">
        <v>1715</v>
      </c>
      <c r="B728" t="s">
        <v>10239</v>
      </c>
    </row>
    <row r="729" spans="1:2">
      <c r="A729" s="1" t="s">
        <v>1716</v>
      </c>
      <c r="B729" t="s">
        <v>10277</v>
      </c>
    </row>
    <row r="730" spans="1:2">
      <c r="A730" s="1" t="s">
        <v>1717</v>
      </c>
      <c r="B730" t="s">
        <v>10305</v>
      </c>
    </row>
    <row r="731" spans="1:2">
      <c r="A731" s="1" t="s">
        <v>828</v>
      </c>
      <c r="B731" t="s">
        <v>10280</v>
      </c>
    </row>
    <row r="732" spans="1:2">
      <c r="A732" s="1" t="s">
        <v>1718</v>
      </c>
      <c r="B732" t="s">
        <v>10283</v>
      </c>
    </row>
    <row r="733" spans="1:2">
      <c r="A733" s="1" t="s">
        <v>1719</v>
      </c>
      <c r="B733" t="s">
        <v>10337</v>
      </c>
    </row>
    <row r="734" spans="1:2">
      <c r="A734" s="1" t="s">
        <v>1720</v>
      </c>
      <c r="B734" t="s">
        <v>10234</v>
      </c>
    </row>
    <row r="735" spans="1:2">
      <c r="A735" s="1" t="s">
        <v>1721</v>
      </c>
      <c r="B735" t="s">
        <v>10277</v>
      </c>
    </row>
    <row r="736" spans="1:2">
      <c r="A736" s="1" t="s">
        <v>1722</v>
      </c>
      <c r="B736" t="s">
        <v>10264</v>
      </c>
    </row>
    <row r="737" spans="1:2">
      <c r="A737" s="1" t="s">
        <v>1723</v>
      </c>
      <c r="B737" t="s">
        <v>10280</v>
      </c>
    </row>
    <row r="738" spans="1:2">
      <c r="A738" s="1" t="s">
        <v>779</v>
      </c>
      <c r="B738" t="s">
        <v>10280</v>
      </c>
    </row>
    <row r="739" spans="1:2">
      <c r="A739" s="1" t="s">
        <v>1724</v>
      </c>
      <c r="B739" t="s">
        <v>10262</v>
      </c>
    </row>
    <row r="740" spans="1:2">
      <c r="A740" s="1" t="s">
        <v>1725</v>
      </c>
      <c r="B740" t="s">
        <v>10277</v>
      </c>
    </row>
    <row r="741" spans="1:2">
      <c r="A741" s="1" t="s">
        <v>1726</v>
      </c>
      <c r="B741" t="s">
        <v>10229</v>
      </c>
    </row>
    <row r="742" spans="1:2">
      <c r="A742" s="1" t="s">
        <v>1727</v>
      </c>
      <c r="B742" t="s">
        <v>901</v>
      </c>
    </row>
    <row r="743" spans="1:2">
      <c r="A743" s="1" t="s">
        <v>1728</v>
      </c>
      <c r="B743" t="s">
        <v>10241</v>
      </c>
    </row>
    <row r="744" spans="1:2">
      <c r="A744" s="1" t="s">
        <v>1729</v>
      </c>
      <c r="B744" t="s">
        <v>10312</v>
      </c>
    </row>
    <row r="745" spans="1:2">
      <c r="A745" s="1" t="s">
        <v>840</v>
      </c>
      <c r="B745" t="s">
        <v>10277</v>
      </c>
    </row>
    <row r="746" spans="1:2">
      <c r="A746" s="1" t="s">
        <v>1730</v>
      </c>
      <c r="B746" t="s">
        <v>10299</v>
      </c>
    </row>
    <row r="747" spans="1:2">
      <c r="A747" s="1" t="s">
        <v>1731</v>
      </c>
      <c r="B747" t="s">
        <v>10277</v>
      </c>
    </row>
    <row r="748" spans="1:2">
      <c r="A748" s="1" t="s">
        <v>1732</v>
      </c>
      <c r="B748" t="s">
        <v>10277</v>
      </c>
    </row>
    <row r="749" spans="1:2">
      <c r="A749" s="1" t="s">
        <v>1733</v>
      </c>
      <c r="B749" t="s">
        <v>10239</v>
      </c>
    </row>
    <row r="750" spans="1:2">
      <c r="A750" s="1" t="s">
        <v>1734</v>
      </c>
      <c r="B750" t="s">
        <v>10303</v>
      </c>
    </row>
    <row r="751" spans="1:2">
      <c r="A751" s="1" t="s">
        <v>1735</v>
      </c>
      <c r="B751" t="s">
        <v>10229</v>
      </c>
    </row>
    <row r="752" spans="1:2">
      <c r="A752" s="1" t="s">
        <v>1736</v>
      </c>
      <c r="B752" t="s">
        <v>10244</v>
      </c>
    </row>
    <row r="753" spans="1:2">
      <c r="A753" s="1" t="s">
        <v>1737</v>
      </c>
      <c r="B753" t="s">
        <v>10277</v>
      </c>
    </row>
    <row r="754" spans="1:2">
      <c r="A754" s="1" t="s">
        <v>1738</v>
      </c>
      <c r="B754" t="s">
        <v>10258</v>
      </c>
    </row>
    <row r="755" spans="1:2">
      <c r="A755" s="1" t="s">
        <v>1739</v>
      </c>
      <c r="B755" t="s">
        <v>10305</v>
      </c>
    </row>
    <row r="756" spans="1:2">
      <c r="A756" s="1" t="s">
        <v>1740</v>
      </c>
      <c r="B756" t="s">
        <v>10229</v>
      </c>
    </row>
    <row r="757" spans="1:2">
      <c r="A757" s="1" t="s">
        <v>1741</v>
      </c>
      <c r="B757" t="s">
        <v>10338</v>
      </c>
    </row>
    <row r="758" spans="1:2">
      <c r="A758" s="1" t="s">
        <v>1742</v>
      </c>
      <c r="B758" t="s">
        <v>10240</v>
      </c>
    </row>
    <row r="759" spans="1:2">
      <c r="A759" s="1" t="s">
        <v>1743</v>
      </c>
      <c r="B759" t="s">
        <v>10229</v>
      </c>
    </row>
    <row r="760" spans="1:2">
      <c r="A760" s="1" t="s">
        <v>1744</v>
      </c>
      <c r="B760" t="s">
        <v>10277</v>
      </c>
    </row>
    <row r="761" spans="1:2">
      <c r="A761" s="1" t="s">
        <v>1745</v>
      </c>
      <c r="B761" t="s">
        <v>901</v>
      </c>
    </row>
    <row r="762" spans="1:2">
      <c r="A762" s="1" t="s">
        <v>1746</v>
      </c>
      <c r="B762" t="s">
        <v>10303</v>
      </c>
    </row>
    <row r="763" spans="1:2">
      <c r="A763" s="1" t="s">
        <v>1747</v>
      </c>
      <c r="B763" t="s">
        <v>10278</v>
      </c>
    </row>
    <row r="764" spans="1:2">
      <c r="A764" s="1" t="s">
        <v>1748</v>
      </c>
      <c r="B764" t="s">
        <v>10229</v>
      </c>
    </row>
    <row r="765" spans="1:2">
      <c r="A765" s="1" t="s">
        <v>1749</v>
      </c>
      <c r="B765" t="s">
        <v>10239</v>
      </c>
    </row>
    <row r="766" spans="1:2">
      <c r="A766" s="1" t="s">
        <v>1750</v>
      </c>
      <c r="B766" t="s">
        <v>10254</v>
      </c>
    </row>
    <row r="767" spans="1:2">
      <c r="A767" s="1" t="s">
        <v>1751</v>
      </c>
      <c r="B767" t="s">
        <v>10239</v>
      </c>
    </row>
    <row r="768" spans="1:2">
      <c r="A768" s="1" t="s">
        <v>1752</v>
      </c>
      <c r="B768" t="s">
        <v>10262</v>
      </c>
    </row>
    <row r="769" spans="1:2">
      <c r="A769" s="1" t="s">
        <v>1753</v>
      </c>
      <c r="B769" t="s">
        <v>901</v>
      </c>
    </row>
    <row r="770" spans="1:2">
      <c r="A770" s="1" t="s">
        <v>1754</v>
      </c>
      <c r="B770" t="s">
        <v>10258</v>
      </c>
    </row>
    <row r="771" spans="1:2">
      <c r="A771" s="1" t="s">
        <v>1755</v>
      </c>
      <c r="B771" t="s">
        <v>10234</v>
      </c>
    </row>
    <row r="772" spans="1:2">
      <c r="A772" s="1" t="s">
        <v>1756</v>
      </c>
      <c r="B772" t="s">
        <v>10305</v>
      </c>
    </row>
    <row r="773" spans="1:2">
      <c r="A773" s="1" t="s">
        <v>1757</v>
      </c>
      <c r="B773" t="s">
        <v>10262</v>
      </c>
    </row>
    <row r="774" spans="1:2">
      <c r="A774" s="1" t="s">
        <v>1758</v>
      </c>
      <c r="B774" t="s">
        <v>10234</v>
      </c>
    </row>
    <row r="775" spans="1:2">
      <c r="A775" s="1" t="s">
        <v>1759</v>
      </c>
      <c r="B775" t="s">
        <v>10260</v>
      </c>
    </row>
    <row r="776" spans="1:2">
      <c r="A776" s="1" t="s">
        <v>1760</v>
      </c>
      <c r="B776" t="s">
        <v>10240</v>
      </c>
    </row>
    <row r="777" spans="1:2">
      <c r="A777" s="1" t="s">
        <v>1761</v>
      </c>
      <c r="B777" t="s">
        <v>10277</v>
      </c>
    </row>
    <row r="778" spans="1:2">
      <c r="A778" s="1" t="s">
        <v>1762</v>
      </c>
      <c r="B778" t="s">
        <v>10322</v>
      </c>
    </row>
    <row r="779" spans="1:2">
      <c r="A779" s="1" t="s">
        <v>1763</v>
      </c>
      <c r="B779" t="s">
        <v>10277</v>
      </c>
    </row>
    <row r="780" spans="1:2">
      <c r="A780" s="1" t="s">
        <v>1764</v>
      </c>
      <c r="B780" t="s">
        <v>10234</v>
      </c>
    </row>
    <row r="781" spans="1:2">
      <c r="A781" s="1" t="s">
        <v>1765</v>
      </c>
      <c r="B781" t="s">
        <v>10229</v>
      </c>
    </row>
    <row r="782" spans="1:2">
      <c r="A782" s="1" t="s">
        <v>1766</v>
      </c>
      <c r="B782" t="s">
        <v>10229</v>
      </c>
    </row>
    <row r="783" spans="1:2">
      <c r="A783" s="1" t="s">
        <v>1767</v>
      </c>
      <c r="B783" t="s">
        <v>10286</v>
      </c>
    </row>
    <row r="784" spans="1:2">
      <c r="A784" s="1" t="s">
        <v>1768</v>
      </c>
      <c r="B784" t="s">
        <v>10240</v>
      </c>
    </row>
    <row r="785" spans="1:2">
      <c r="A785" s="1" t="s">
        <v>1769</v>
      </c>
      <c r="B785" t="s">
        <v>10234</v>
      </c>
    </row>
    <row r="786" spans="1:2">
      <c r="A786" s="1" t="s">
        <v>1770</v>
      </c>
      <c r="B786" t="s">
        <v>10234</v>
      </c>
    </row>
    <row r="787" spans="1:2">
      <c r="A787" s="1" t="s">
        <v>498</v>
      </c>
      <c r="B787" t="s">
        <v>10339</v>
      </c>
    </row>
    <row r="788" spans="1:2">
      <c r="A788" s="1" t="s">
        <v>1771</v>
      </c>
      <c r="B788" t="s">
        <v>10277</v>
      </c>
    </row>
    <row r="789" spans="1:2">
      <c r="A789" s="1" t="s">
        <v>1772</v>
      </c>
      <c r="B789" t="s">
        <v>10340</v>
      </c>
    </row>
    <row r="790" spans="1:2">
      <c r="A790" s="1" t="s">
        <v>1773</v>
      </c>
      <c r="B790" t="s">
        <v>10234</v>
      </c>
    </row>
    <row r="791" spans="1:2">
      <c r="A791" s="1" t="s">
        <v>1774</v>
      </c>
      <c r="B791" t="s">
        <v>10287</v>
      </c>
    </row>
    <row r="792" spans="1:2">
      <c r="A792" s="1" t="s">
        <v>1775</v>
      </c>
      <c r="B792" t="s">
        <v>10276</v>
      </c>
    </row>
    <row r="793" spans="1:2">
      <c r="A793" s="1" t="s">
        <v>1776</v>
      </c>
      <c r="B793" t="s">
        <v>10278</v>
      </c>
    </row>
    <row r="794" spans="1:2">
      <c r="A794" s="1" t="s">
        <v>1777</v>
      </c>
      <c r="B794" t="s">
        <v>10277</v>
      </c>
    </row>
    <row r="795" spans="1:2">
      <c r="A795" s="1" t="s">
        <v>1778</v>
      </c>
      <c r="B795" t="s">
        <v>10260</v>
      </c>
    </row>
    <row r="796" spans="1:2">
      <c r="A796" s="1" t="s">
        <v>1779</v>
      </c>
      <c r="B796" t="s">
        <v>10234</v>
      </c>
    </row>
    <row r="797" spans="1:2">
      <c r="A797" s="1" t="s">
        <v>1780</v>
      </c>
      <c r="B797" t="s">
        <v>10224</v>
      </c>
    </row>
    <row r="798" spans="1:2">
      <c r="A798" s="1" t="s">
        <v>1781</v>
      </c>
      <c r="B798" t="s">
        <v>10234</v>
      </c>
    </row>
    <row r="799" spans="1:2">
      <c r="A799" s="1" t="s">
        <v>1782</v>
      </c>
      <c r="B799" t="s">
        <v>10234</v>
      </c>
    </row>
    <row r="800" spans="1:2">
      <c r="A800" s="1" t="s">
        <v>1783</v>
      </c>
      <c r="B800" t="s">
        <v>10234</v>
      </c>
    </row>
    <row r="801" spans="1:2">
      <c r="A801" s="1" t="s">
        <v>1784</v>
      </c>
      <c r="B801" t="s">
        <v>10341</v>
      </c>
    </row>
    <row r="802" spans="1:2">
      <c r="A802" s="1" t="s">
        <v>1785</v>
      </c>
      <c r="B802" t="s">
        <v>10234</v>
      </c>
    </row>
    <row r="803" spans="1:2">
      <c r="A803" s="1" t="s">
        <v>1786</v>
      </c>
      <c r="B803" t="s">
        <v>901</v>
      </c>
    </row>
    <row r="804" spans="1:2">
      <c r="A804" s="1" t="s">
        <v>1787</v>
      </c>
      <c r="B804" t="s">
        <v>10239</v>
      </c>
    </row>
    <row r="805" spans="1:2">
      <c r="A805" s="1" t="s">
        <v>1788</v>
      </c>
      <c r="B805" t="s">
        <v>10234</v>
      </c>
    </row>
    <row r="806" spans="1:2">
      <c r="A806" s="1" t="s">
        <v>1789</v>
      </c>
      <c r="B806" t="s">
        <v>10234</v>
      </c>
    </row>
    <row r="807" spans="1:2">
      <c r="A807" s="1" t="s">
        <v>1790</v>
      </c>
      <c r="B807" t="s">
        <v>10229</v>
      </c>
    </row>
    <row r="808" spans="1:2">
      <c r="A808" s="1" t="s">
        <v>1791</v>
      </c>
      <c r="B808" t="s">
        <v>10234</v>
      </c>
    </row>
    <row r="809" spans="1:2">
      <c r="A809" s="1" t="s">
        <v>766</v>
      </c>
      <c r="B809" t="s">
        <v>10239</v>
      </c>
    </row>
    <row r="810" spans="1:2">
      <c r="A810" s="1" t="s">
        <v>1792</v>
      </c>
      <c r="B810" t="s">
        <v>10234</v>
      </c>
    </row>
    <row r="811" spans="1:2">
      <c r="A811" s="1" t="s">
        <v>1793</v>
      </c>
      <c r="B811" t="s">
        <v>10277</v>
      </c>
    </row>
    <row r="812" spans="1:2">
      <c r="A812" s="1" t="s">
        <v>1794</v>
      </c>
      <c r="B812" t="s">
        <v>10277</v>
      </c>
    </row>
    <row r="813" spans="1:2">
      <c r="A813" s="1" t="s">
        <v>1795</v>
      </c>
      <c r="B813" t="s">
        <v>10231</v>
      </c>
    </row>
    <row r="814" spans="1:2">
      <c r="A814" s="1" t="s">
        <v>1796</v>
      </c>
      <c r="B814" t="s">
        <v>10319</v>
      </c>
    </row>
    <row r="815" spans="1:2">
      <c r="A815" s="1" t="s">
        <v>1797</v>
      </c>
      <c r="B815" t="s">
        <v>10277</v>
      </c>
    </row>
    <row r="816" spans="1:2">
      <c r="A816" s="1" t="s">
        <v>1798</v>
      </c>
      <c r="B816" t="s">
        <v>10305</v>
      </c>
    </row>
    <row r="817" spans="1:2">
      <c r="A817" s="1" t="s">
        <v>1799</v>
      </c>
      <c r="B817" t="s">
        <v>10234</v>
      </c>
    </row>
    <row r="818" spans="1:2">
      <c r="A818" s="1" t="s">
        <v>1800</v>
      </c>
      <c r="B818" t="s">
        <v>10234</v>
      </c>
    </row>
    <row r="819" spans="1:2">
      <c r="A819" s="1" t="s">
        <v>1801</v>
      </c>
      <c r="B819" t="s">
        <v>10234</v>
      </c>
    </row>
    <row r="820" spans="1:2">
      <c r="A820" s="1" t="s">
        <v>1802</v>
      </c>
      <c r="B820" t="s">
        <v>10302</v>
      </c>
    </row>
    <row r="821" spans="1:2">
      <c r="A821" s="1" t="s">
        <v>1803</v>
      </c>
      <c r="B821" t="s">
        <v>10277</v>
      </c>
    </row>
    <row r="822" spans="1:2">
      <c r="A822" s="1" t="s">
        <v>1804</v>
      </c>
      <c r="B822" t="s">
        <v>10234</v>
      </c>
    </row>
    <row r="823" spans="1:2">
      <c r="A823" s="1" t="s">
        <v>1805</v>
      </c>
      <c r="B823" t="s">
        <v>10342</v>
      </c>
    </row>
    <row r="824" spans="1:2">
      <c r="A824" s="1" t="s">
        <v>1806</v>
      </c>
      <c r="B824" t="s">
        <v>10283</v>
      </c>
    </row>
    <row r="825" spans="1:2">
      <c r="A825" s="1" t="s">
        <v>1807</v>
      </c>
      <c r="B825" t="s">
        <v>10277</v>
      </c>
    </row>
    <row r="826" spans="1:2">
      <c r="A826" s="1" t="s">
        <v>1808</v>
      </c>
      <c r="B826" t="s">
        <v>10248</v>
      </c>
    </row>
    <row r="827" spans="1:2">
      <c r="A827" s="1" t="s">
        <v>1809</v>
      </c>
      <c r="B827" t="s">
        <v>10234</v>
      </c>
    </row>
    <row r="828" spans="1:2">
      <c r="A828" s="1" t="s">
        <v>1810</v>
      </c>
      <c r="B828" t="s">
        <v>10234</v>
      </c>
    </row>
    <row r="829" spans="1:2">
      <c r="A829" s="1" t="s">
        <v>1811</v>
      </c>
      <c r="B829" t="s">
        <v>10262</v>
      </c>
    </row>
    <row r="830" spans="1:2">
      <c r="A830" s="1" t="s">
        <v>1812</v>
      </c>
      <c r="B830" t="s">
        <v>10250</v>
      </c>
    </row>
    <row r="831" spans="1:2">
      <c r="A831" s="1" t="s">
        <v>1813</v>
      </c>
      <c r="B831" t="s">
        <v>10279</v>
      </c>
    </row>
    <row r="832" spans="1:2">
      <c r="A832" s="1" t="s">
        <v>1814</v>
      </c>
      <c r="B832" t="s">
        <v>10295</v>
      </c>
    </row>
    <row r="833" spans="1:2">
      <c r="A833" s="1" t="s">
        <v>1815</v>
      </c>
      <c r="B833" t="s">
        <v>10277</v>
      </c>
    </row>
    <row r="834" spans="1:2">
      <c r="A834" s="1" t="s">
        <v>1816</v>
      </c>
      <c r="B834" t="s">
        <v>10279</v>
      </c>
    </row>
    <row r="835" spans="1:2">
      <c r="A835" s="1" t="s">
        <v>1817</v>
      </c>
      <c r="B835" t="s">
        <v>10277</v>
      </c>
    </row>
    <row r="836" spans="1:2">
      <c r="A836" s="1" t="s">
        <v>1818</v>
      </c>
      <c r="B836" t="s">
        <v>10240</v>
      </c>
    </row>
    <row r="837" spans="1:2">
      <c r="A837" s="1" t="s">
        <v>1819</v>
      </c>
      <c r="B837" t="s">
        <v>10277</v>
      </c>
    </row>
    <row r="838" spans="1:2">
      <c r="A838" s="1" t="s">
        <v>1820</v>
      </c>
      <c r="B838" t="s">
        <v>10234</v>
      </c>
    </row>
    <row r="839" spans="1:2">
      <c r="A839" s="1" t="s">
        <v>1821</v>
      </c>
      <c r="B839" t="s">
        <v>10225</v>
      </c>
    </row>
    <row r="840" spans="1:2">
      <c r="A840" s="1" t="s">
        <v>1822</v>
      </c>
      <c r="B840" t="s">
        <v>10277</v>
      </c>
    </row>
    <row r="841" spans="1:2">
      <c r="A841" s="1" t="s">
        <v>1823</v>
      </c>
      <c r="B841" t="s">
        <v>10234</v>
      </c>
    </row>
    <row r="842" spans="1:2">
      <c r="A842" s="1" t="s">
        <v>1824</v>
      </c>
      <c r="B842" t="s">
        <v>10234</v>
      </c>
    </row>
    <row r="843" spans="1:2">
      <c r="A843" s="1" t="s">
        <v>1825</v>
      </c>
      <c r="B843" t="s">
        <v>10334</v>
      </c>
    </row>
    <row r="844" spans="1:2">
      <c r="A844" s="1" t="s">
        <v>1826</v>
      </c>
      <c r="B844" t="s">
        <v>10234</v>
      </c>
    </row>
    <row r="845" spans="1:2">
      <c r="A845" s="1" t="s">
        <v>1827</v>
      </c>
      <c r="B845" t="s">
        <v>10239</v>
      </c>
    </row>
    <row r="846" spans="1:2">
      <c r="A846" s="1" t="s">
        <v>1828</v>
      </c>
      <c r="B846" t="s">
        <v>10252</v>
      </c>
    </row>
    <row r="847" spans="1:2">
      <c r="A847" s="1" t="s">
        <v>1829</v>
      </c>
      <c r="B847" t="s">
        <v>10343</v>
      </c>
    </row>
    <row r="848" spans="1:2">
      <c r="A848" s="1" t="s">
        <v>1830</v>
      </c>
      <c r="B848" t="s">
        <v>10280</v>
      </c>
    </row>
    <row r="849" spans="1:2">
      <c r="A849" s="1" t="s">
        <v>1831</v>
      </c>
      <c r="B849" t="s">
        <v>10277</v>
      </c>
    </row>
    <row r="850" spans="1:2">
      <c r="A850" s="1" t="s">
        <v>1832</v>
      </c>
      <c r="B850" t="s">
        <v>10243</v>
      </c>
    </row>
    <row r="851" spans="1:2">
      <c r="A851" s="1" t="s">
        <v>275</v>
      </c>
      <c r="B851" t="s">
        <v>10265</v>
      </c>
    </row>
    <row r="852" spans="1:2">
      <c r="A852" s="1" t="s">
        <v>1833</v>
      </c>
      <c r="B852" t="s">
        <v>10244</v>
      </c>
    </row>
    <row r="853" spans="1:2">
      <c r="A853" s="1" t="s">
        <v>1834</v>
      </c>
      <c r="B853" t="s">
        <v>10244</v>
      </c>
    </row>
    <row r="854" spans="1:2">
      <c r="A854" s="1" t="s">
        <v>835</v>
      </c>
      <c r="B854" t="s">
        <v>10243</v>
      </c>
    </row>
    <row r="855" spans="1:2">
      <c r="A855" s="1" t="s">
        <v>1835</v>
      </c>
      <c r="B855" t="s">
        <v>10283</v>
      </c>
    </row>
    <row r="856" spans="1:2">
      <c r="A856" s="1" t="s">
        <v>1836</v>
      </c>
      <c r="B856" t="s">
        <v>10234</v>
      </c>
    </row>
    <row r="857" spans="1:2">
      <c r="A857" s="1" t="s">
        <v>1837</v>
      </c>
      <c r="B857" t="s">
        <v>10258</v>
      </c>
    </row>
    <row r="858" spans="1:2">
      <c r="A858" s="1" t="s">
        <v>1838</v>
      </c>
      <c r="B858" t="s">
        <v>10302</v>
      </c>
    </row>
    <row r="859" spans="1:2">
      <c r="A859" s="1" t="s">
        <v>1839</v>
      </c>
      <c r="B859" t="s">
        <v>10283</v>
      </c>
    </row>
    <row r="860" spans="1:2">
      <c r="A860" s="1" t="s">
        <v>1840</v>
      </c>
      <c r="B860" t="s">
        <v>901</v>
      </c>
    </row>
    <row r="861" spans="1:2">
      <c r="A861" s="1" t="s">
        <v>1841</v>
      </c>
      <c r="B861" t="s">
        <v>10262</v>
      </c>
    </row>
    <row r="862" spans="1:2">
      <c r="A862" s="1" t="s">
        <v>1842</v>
      </c>
      <c r="B862" t="s">
        <v>10224</v>
      </c>
    </row>
    <row r="863" spans="1:2">
      <c r="A863" s="1" t="s">
        <v>1843</v>
      </c>
      <c r="B863" t="s">
        <v>10287</v>
      </c>
    </row>
    <row r="864" spans="1:2">
      <c r="A864" s="1" t="s">
        <v>1844</v>
      </c>
      <c r="B864" t="s">
        <v>10277</v>
      </c>
    </row>
    <row r="865" spans="1:2">
      <c r="A865" s="1" t="s">
        <v>1845</v>
      </c>
      <c r="B865" t="s">
        <v>10257</v>
      </c>
    </row>
    <row r="866" spans="1:2">
      <c r="A866" s="1" t="s">
        <v>1846</v>
      </c>
      <c r="B866" t="s">
        <v>10344</v>
      </c>
    </row>
    <row r="867" spans="1:2">
      <c r="A867" s="1" t="s">
        <v>1847</v>
      </c>
      <c r="B867" t="s">
        <v>10283</v>
      </c>
    </row>
    <row r="868" spans="1:2">
      <c r="A868" s="1" t="s">
        <v>1848</v>
      </c>
      <c r="B868" t="s">
        <v>10238</v>
      </c>
    </row>
    <row r="869" spans="1:2">
      <c r="A869" s="1" t="s">
        <v>1849</v>
      </c>
      <c r="B869" t="s">
        <v>10257</v>
      </c>
    </row>
    <row r="870" spans="1:2">
      <c r="A870" s="1" t="s">
        <v>1850</v>
      </c>
      <c r="B870" t="s">
        <v>10244</v>
      </c>
    </row>
    <row r="871" spans="1:2">
      <c r="A871" s="1" t="s">
        <v>838</v>
      </c>
      <c r="B871" t="s">
        <v>10277</v>
      </c>
    </row>
    <row r="872" spans="1:2">
      <c r="A872" s="1" t="s">
        <v>1851</v>
      </c>
      <c r="B872" t="s">
        <v>10345</v>
      </c>
    </row>
    <row r="873" spans="1:2">
      <c r="A873" s="1" t="s">
        <v>1852</v>
      </c>
      <c r="B873" t="s">
        <v>10282</v>
      </c>
    </row>
    <row r="874" spans="1:2">
      <c r="A874" s="1" t="s">
        <v>1853</v>
      </c>
      <c r="B874" t="s">
        <v>10346</v>
      </c>
    </row>
    <row r="875" spans="1:2">
      <c r="A875" s="1" t="s">
        <v>1854</v>
      </c>
      <c r="B875" t="s">
        <v>10292</v>
      </c>
    </row>
    <row r="876" spans="1:2">
      <c r="A876" s="1" t="s">
        <v>1855</v>
      </c>
      <c r="B876" t="s">
        <v>10234</v>
      </c>
    </row>
    <row r="877" spans="1:2">
      <c r="A877" s="1" t="s">
        <v>1856</v>
      </c>
      <c r="B877" t="s">
        <v>10260</v>
      </c>
    </row>
    <row r="878" spans="1:2">
      <c r="A878" s="1" t="s">
        <v>757</v>
      </c>
      <c r="B878" t="s">
        <v>10234</v>
      </c>
    </row>
    <row r="879" spans="1:2">
      <c r="A879" s="1" t="s">
        <v>1857</v>
      </c>
      <c r="B879" t="s">
        <v>10250</v>
      </c>
    </row>
    <row r="880" spans="1:2">
      <c r="A880" s="1" t="s">
        <v>1858</v>
      </c>
      <c r="B880" t="s">
        <v>10289</v>
      </c>
    </row>
    <row r="881" spans="1:2">
      <c r="A881" s="1" t="s">
        <v>1859</v>
      </c>
      <c r="B881" t="s">
        <v>10250</v>
      </c>
    </row>
    <row r="882" spans="1:2">
      <c r="A882" s="1" t="s">
        <v>1860</v>
      </c>
      <c r="B882" t="s">
        <v>10243</v>
      </c>
    </row>
    <row r="883" spans="1:2">
      <c r="A883" s="1" t="s">
        <v>861</v>
      </c>
      <c r="B883" t="s">
        <v>10347</v>
      </c>
    </row>
    <row r="884" spans="1:2">
      <c r="A884" s="1" t="s">
        <v>1861</v>
      </c>
      <c r="B884" t="s">
        <v>10348</v>
      </c>
    </row>
    <row r="885" spans="1:2">
      <c r="A885" s="1" t="s">
        <v>1862</v>
      </c>
      <c r="B885" t="s">
        <v>10242</v>
      </c>
    </row>
    <row r="886" spans="1:2">
      <c r="A886" s="1" t="s">
        <v>1863</v>
      </c>
      <c r="B886" t="s">
        <v>10234</v>
      </c>
    </row>
    <row r="887" spans="1:2">
      <c r="A887" s="1" t="s">
        <v>1864</v>
      </c>
      <c r="B887" t="s">
        <v>10234</v>
      </c>
    </row>
    <row r="888" spans="1:2">
      <c r="A888" s="1" t="s">
        <v>1865</v>
      </c>
      <c r="B888" t="s">
        <v>10263</v>
      </c>
    </row>
    <row r="889" spans="1:2">
      <c r="A889" s="1" t="s">
        <v>1866</v>
      </c>
      <c r="B889" t="s">
        <v>10283</v>
      </c>
    </row>
    <row r="890" spans="1:2">
      <c r="A890" s="1" t="s">
        <v>1867</v>
      </c>
      <c r="B890" t="s">
        <v>10250</v>
      </c>
    </row>
    <row r="891" spans="1:2">
      <c r="A891" s="1" t="s">
        <v>1868</v>
      </c>
      <c r="B891" t="s">
        <v>10349</v>
      </c>
    </row>
    <row r="892" spans="1:2">
      <c r="A892" s="1" t="s">
        <v>1869</v>
      </c>
      <c r="B892" t="s">
        <v>10314</v>
      </c>
    </row>
    <row r="893" spans="1:2">
      <c r="A893" s="1" t="s">
        <v>1870</v>
      </c>
      <c r="B893" t="s">
        <v>10287</v>
      </c>
    </row>
    <row r="894" spans="1:2">
      <c r="A894" s="1" t="s">
        <v>1871</v>
      </c>
      <c r="B894" t="s">
        <v>10252</v>
      </c>
    </row>
    <row r="895" spans="1:2">
      <c r="A895" s="1" t="s">
        <v>1872</v>
      </c>
      <c r="B895" t="s">
        <v>10234</v>
      </c>
    </row>
    <row r="896" spans="1:2">
      <c r="A896" s="1" t="s">
        <v>1873</v>
      </c>
      <c r="B896" t="s">
        <v>10277</v>
      </c>
    </row>
    <row r="897" spans="1:2">
      <c r="A897" s="1" t="s">
        <v>1874</v>
      </c>
      <c r="B897" t="s">
        <v>10234</v>
      </c>
    </row>
    <row r="898" spans="1:2">
      <c r="A898" s="1" t="s">
        <v>1875</v>
      </c>
      <c r="B898" t="s">
        <v>10350</v>
      </c>
    </row>
    <row r="899" spans="1:2">
      <c r="A899" s="1" t="s">
        <v>1876</v>
      </c>
      <c r="B899" t="s">
        <v>10234</v>
      </c>
    </row>
    <row r="900" spans="1:2">
      <c r="A900" s="1" t="s">
        <v>1877</v>
      </c>
      <c r="B900" t="s">
        <v>10242</v>
      </c>
    </row>
    <row r="901" spans="1:2">
      <c r="A901" s="1" t="s">
        <v>1878</v>
      </c>
      <c r="B901" t="s">
        <v>10244</v>
      </c>
    </row>
    <row r="902" spans="1:2">
      <c r="A902" s="1" t="s">
        <v>374</v>
      </c>
      <c r="B902" t="s">
        <v>10232</v>
      </c>
    </row>
    <row r="903" spans="1:2">
      <c r="A903" s="1" t="s">
        <v>1879</v>
      </c>
      <c r="B903" t="s">
        <v>10234</v>
      </c>
    </row>
    <row r="904" spans="1:2">
      <c r="A904" s="1" t="s">
        <v>1880</v>
      </c>
      <c r="B904" t="s">
        <v>10277</v>
      </c>
    </row>
    <row r="905" spans="1:2">
      <c r="A905" s="1" t="s">
        <v>1881</v>
      </c>
      <c r="B905" t="s">
        <v>10277</v>
      </c>
    </row>
    <row r="906" spans="1:2">
      <c r="A906" s="1" t="s">
        <v>1882</v>
      </c>
      <c r="B906" t="s">
        <v>901</v>
      </c>
    </row>
    <row r="907" spans="1:2">
      <c r="A907" s="1" t="s">
        <v>1883</v>
      </c>
      <c r="B907" t="s">
        <v>10282</v>
      </c>
    </row>
    <row r="908" spans="1:2">
      <c r="A908" s="1" t="s">
        <v>1884</v>
      </c>
      <c r="B908" t="s">
        <v>10242</v>
      </c>
    </row>
    <row r="909" spans="1:2">
      <c r="A909" s="1" t="s">
        <v>1885</v>
      </c>
      <c r="B909" t="s">
        <v>10224</v>
      </c>
    </row>
    <row r="910" spans="1:2">
      <c r="A910" s="1" t="s">
        <v>1886</v>
      </c>
      <c r="B910" t="s">
        <v>10234</v>
      </c>
    </row>
    <row r="911" spans="1:2">
      <c r="A911" s="1" t="s">
        <v>1887</v>
      </c>
      <c r="B911" t="s">
        <v>10282</v>
      </c>
    </row>
    <row r="912" spans="1:2">
      <c r="A912" s="1" t="s">
        <v>1888</v>
      </c>
      <c r="B912" t="s">
        <v>10234</v>
      </c>
    </row>
    <row r="913" spans="1:2">
      <c r="A913" s="1" t="s">
        <v>1889</v>
      </c>
      <c r="B913" t="s">
        <v>10234</v>
      </c>
    </row>
    <row r="914" spans="1:2">
      <c r="A914" s="1" t="s">
        <v>1890</v>
      </c>
      <c r="B914" t="s">
        <v>10229</v>
      </c>
    </row>
    <row r="915" spans="1:2">
      <c r="A915" s="1" t="s">
        <v>1891</v>
      </c>
      <c r="B915" t="s">
        <v>10287</v>
      </c>
    </row>
    <row r="916" spans="1:2">
      <c r="A916" s="1" t="s">
        <v>1892</v>
      </c>
      <c r="B916" t="s">
        <v>10259</v>
      </c>
    </row>
    <row r="917" spans="1:2">
      <c r="A917" s="1" t="s">
        <v>1893</v>
      </c>
      <c r="B917" t="s">
        <v>10260</v>
      </c>
    </row>
    <row r="918" spans="1:2">
      <c r="A918" s="1" t="s">
        <v>1894</v>
      </c>
      <c r="B918" t="s">
        <v>10244</v>
      </c>
    </row>
    <row r="919" spans="1:2">
      <c r="A919" s="1" t="s">
        <v>1895</v>
      </c>
      <c r="B919" t="s">
        <v>10350</v>
      </c>
    </row>
    <row r="920" spans="1:2">
      <c r="A920" s="1" t="s">
        <v>1896</v>
      </c>
      <c r="B920" t="s">
        <v>10351</v>
      </c>
    </row>
    <row r="921" spans="1:2">
      <c r="A921" s="1" t="s">
        <v>1897</v>
      </c>
      <c r="B921" t="s">
        <v>10224</v>
      </c>
    </row>
    <row r="922" spans="1:2">
      <c r="A922" s="1" t="s">
        <v>1898</v>
      </c>
      <c r="B922" t="s">
        <v>901</v>
      </c>
    </row>
    <row r="923" spans="1:2">
      <c r="A923" s="1" t="s">
        <v>1899</v>
      </c>
      <c r="B923" t="s">
        <v>10352</v>
      </c>
    </row>
    <row r="924" spans="1:2">
      <c r="A924" s="1" t="s">
        <v>1900</v>
      </c>
      <c r="B924" t="s">
        <v>10277</v>
      </c>
    </row>
    <row r="925" spans="1:2">
      <c r="A925" s="1" t="s">
        <v>1901</v>
      </c>
      <c r="B925" t="s">
        <v>10275</v>
      </c>
    </row>
    <row r="926" spans="1:2">
      <c r="A926" s="1" t="s">
        <v>1902</v>
      </c>
      <c r="B926" t="s">
        <v>10234</v>
      </c>
    </row>
    <row r="927" spans="1:2">
      <c r="A927" s="1" t="s">
        <v>1903</v>
      </c>
      <c r="B927" t="s">
        <v>10279</v>
      </c>
    </row>
    <row r="928" spans="1:2">
      <c r="A928" s="1" t="s">
        <v>1904</v>
      </c>
      <c r="B928" t="s">
        <v>10305</v>
      </c>
    </row>
    <row r="929" spans="1:2">
      <c r="A929" s="1" t="s">
        <v>1905</v>
      </c>
      <c r="B929" t="s">
        <v>10312</v>
      </c>
    </row>
    <row r="930" spans="1:2">
      <c r="A930" s="1" t="s">
        <v>1906</v>
      </c>
      <c r="B930" t="s">
        <v>10240</v>
      </c>
    </row>
    <row r="931" spans="1:2">
      <c r="A931" s="1" t="s">
        <v>1907</v>
      </c>
      <c r="B931" t="s">
        <v>10231</v>
      </c>
    </row>
    <row r="932" spans="1:2">
      <c r="A932" s="1" t="s">
        <v>1908</v>
      </c>
      <c r="B932" t="s">
        <v>10239</v>
      </c>
    </row>
    <row r="933" spans="1:2">
      <c r="A933" s="1" t="s">
        <v>1909</v>
      </c>
      <c r="B933" t="s">
        <v>10234</v>
      </c>
    </row>
    <row r="934" spans="1:2">
      <c r="A934" s="1" t="s">
        <v>1910</v>
      </c>
      <c r="B934" t="s">
        <v>10279</v>
      </c>
    </row>
    <row r="935" spans="1:2">
      <c r="A935" s="1" t="s">
        <v>1911</v>
      </c>
      <c r="B935" t="s">
        <v>10314</v>
      </c>
    </row>
    <row r="936" spans="1:2">
      <c r="A936" s="1" t="s">
        <v>1912</v>
      </c>
      <c r="B936" t="s">
        <v>10230</v>
      </c>
    </row>
    <row r="937" spans="1:2">
      <c r="A937" s="1" t="s">
        <v>1913</v>
      </c>
      <c r="B937" t="s">
        <v>10234</v>
      </c>
    </row>
    <row r="938" spans="1:2">
      <c r="A938" s="1" t="s">
        <v>1914</v>
      </c>
      <c r="B938" t="s">
        <v>10286</v>
      </c>
    </row>
    <row r="939" spans="1:2">
      <c r="A939" s="1" t="s">
        <v>1915</v>
      </c>
      <c r="B939" t="s">
        <v>10278</v>
      </c>
    </row>
    <row r="940" spans="1:2">
      <c r="A940" s="1" t="s">
        <v>1916</v>
      </c>
      <c r="B940" t="s">
        <v>10232</v>
      </c>
    </row>
    <row r="941" spans="1:2">
      <c r="A941" s="1" t="s">
        <v>1917</v>
      </c>
      <c r="B941" t="s">
        <v>10262</v>
      </c>
    </row>
    <row r="942" spans="1:2">
      <c r="A942" s="1" t="s">
        <v>1918</v>
      </c>
      <c r="B942" t="s">
        <v>10277</v>
      </c>
    </row>
    <row r="943" spans="1:2">
      <c r="A943" s="1" t="s">
        <v>1919</v>
      </c>
      <c r="B943" t="s">
        <v>10234</v>
      </c>
    </row>
    <row r="944" spans="1:2">
      <c r="A944" s="1" t="s">
        <v>1920</v>
      </c>
      <c r="B944" t="s">
        <v>10256</v>
      </c>
    </row>
    <row r="945" spans="1:2">
      <c r="A945" s="1" t="s">
        <v>1921</v>
      </c>
      <c r="B945" t="s">
        <v>10231</v>
      </c>
    </row>
    <row r="946" spans="1:2">
      <c r="A946" s="1" t="s">
        <v>1922</v>
      </c>
      <c r="B946" t="s">
        <v>10225</v>
      </c>
    </row>
    <row r="947" spans="1:2">
      <c r="A947" s="1" t="s">
        <v>1923</v>
      </c>
      <c r="B947" t="s">
        <v>10277</v>
      </c>
    </row>
    <row r="948" spans="1:2">
      <c r="A948" s="1" t="s">
        <v>1924</v>
      </c>
      <c r="B948" t="s">
        <v>10234</v>
      </c>
    </row>
    <row r="949" spans="1:2">
      <c r="A949" s="1" t="s">
        <v>1925</v>
      </c>
      <c r="B949" t="s">
        <v>10223</v>
      </c>
    </row>
    <row r="950" spans="1:2">
      <c r="A950" s="1" t="s">
        <v>1926</v>
      </c>
      <c r="B950" t="s">
        <v>10287</v>
      </c>
    </row>
    <row r="951" spans="1:2">
      <c r="A951" s="1" t="s">
        <v>1927</v>
      </c>
      <c r="B951" t="s">
        <v>10351</v>
      </c>
    </row>
    <row r="952" spans="1:2">
      <c r="A952" s="1" t="s">
        <v>1928</v>
      </c>
      <c r="B952" t="s">
        <v>10239</v>
      </c>
    </row>
    <row r="953" spans="1:2">
      <c r="A953" s="1" t="s">
        <v>1929</v>
      </c>
      <c r="B953" t="s">
        <v>10280</v>
      </c>
    </row>
    <row r="954" spans="1:2">
      <c r="A954" s="1" t="s">
        <v>1930</v>
      </c>
      <c r="B954" t="s">
        <v>10303</v>
      </c>
    </row>
    <row r="955" spans="1:2">
      <c r="A955" s="1" t="s">
        <v>1931</v>
      </c>
      <c r="B955" t="s">
        <v>10240</v>
      </c>
    </row>
    <row r="956" spans="1:2">
      <c r="A956" s="1" t="s">
        <v>1932</v>
      </c>
      <c r="B956" t="s">
        <v>10231</v>
      </c>
    </row>
    <row r="957" spans="1:2">
      <c r="A957" s="1" t="s">
        <v>1933</v>
      </c>
      <c r="B957" t="s">
        <v>10234</v>
      </c>
    </row>
    <row r="958" spans="1:2">
      <c r="A958" s="1" t="s">
        <v>1934</v>
      </c>
      <c r="B958" t="s">
        <v>10222</v>
      </c>
    </row>
    <row r="959" spans="1:2">
      <c r="A959" s="1" t="s">
        <v>1935</v>
      </c>
      <c r="B959" t="s">
        <v>10234</v>
      </c>
    </row>
    <row r="960" spans="1:2">
      <c r="A960" s="1" t="s">
        <v>1936</v>
      </c>
      <c r="B960" t="s">
        <v>10277</v>
      </c>
    </row>
    <row r="961" spans="1:2">
      <c r="A961" s="1" t="s">
        <v>814</v>
      </c>
      <c r="B961" t="s">
        <v>10250</v>
      </c>
    </row>
    <row r="962" spans="1:2">
      <c r="A962" s="1" t="s">
        <v>1937</v>
      </c>
      <c r="B962" t="s">
        <v>901</v>
      </c>
    </row>
    <row r="963" spans="1:2">
      <c r="A963" s="1" t="s">
        <v>1938</v>
      </c>
      <c r="B963" t="s">
        <v>10234</v>
      </c>
    </row>
    <row r="964" spans="1:2">
      <c r="A964" s="1" t="s">
        <v>1939</v>
      </c>
      <c r="B964" t="s">
        <v>10224</v>
      </c>
    </row>
    <row r="965" spans="1:2">
      <c r="A965" s="1" t="s">
        <v>1940</v>
      </c>
      <c r="B965" t="s">
        <v>10234</v>
      </c>
    </row>
    <row r="966" spans="1:2">
      <c r="A966" s="1" t="s">
        <v>1941</v>
      </c>
      <c r="B966" t="s">
        <v>10277</v>
      </c>
    </row>
    <row r="967" spans="1:2">
      <c r="A967" s="1" t="s">
        <v>1942</v>
      </c>
      <c r="B967" t="s">
        <v>10269</v>
      </c>
    </row>
    <row r="968" spans="1:2">
      <c r="A968" s="1" t="s">
        <v>1943</v>
      </c>
      <c r="B968" t="s">
        <v>10240</v>
      </c>
    </row>
    <row r="969" spans="1:2">
      <c r="A969" s="1" t="s">
        <v>1944</v>
      </c>
      <c r="B969" t="s">
        <v>10234</v>
      </c>
    </row>
    <row r="970" spans="1:2">
      <c r="A970" s="1" t="s">
        <v>1945</v>
      </c>
      <c r="B970" t="s">
        <v>10238</v>
      </c>
    </row>
    <row r="971" spans="1:2">
      <c r="A971" s="1" t="s">
        <v>1946</v>
      </c>
      <c r="B971" t="s">
        <v>10353</v>
      </c>
    </row>
    <row r="972" spans="1:2">
      <c r="A972" s="1" t="s">
        <v>1947</v>
      </c>
      <c r="B972" t="s">
        <v>10258</v>
      </c>
    </row>
    <row r="973" spans="1:2">
      <c r="A973" s="1" t="s">
        <v>1948</v>
      </c>
      <c r="B973" t="s">
        <v>10231</v>
      </c>
    </row>
    <row r="974" spans="1:2">
      <c r="A974" s="1" t="s">
        <v>1949</v>
      </c>
      <c r="B974" t="s">
        <v>10234</v>
      </c>
    </row>
    <row r="975" spans="1:2">
      <c r="A975" s="1" t="s">
        <v>1950</v>
      </c>
      <c r="B975" t="s">
        <v>10250</v>
      </c>
    </row>
    <row r="976" spans="1:2">
      <c r="A976" s="1" t="s">
        <v>1951</v>
      </c>
      <c r="B976" t="s">
        <v>10262</v>
      </c>
    </row>
    <row r="977" spans="1:2">
      <c r="A977" s="1" t="s">
        <v>1952</v>
      </c>
      <c r="B977" t="s">
        <v>10230</v>
      </c>
    </row>
    <row r="978" spans="1:2">
      <c r="A978" s="1" t="s">
        <v>1953</v>
      </c>
      <c r="B978" t="s">
        <v>10234</v>
      </c>
    </row>
    <row r="979" spans="1:2">
      <c r="A979" s="1" t="s">
        <v>1954</v>
      </c>
      <c r="B979" t="s">
        <v>10250</v>
      </c>
    </row>
    <row r="980" spans="1:2">
      <c r="A980" s="1" t="s">
        <v>1955</v>
      </c>
      <c r="B980" t="s">
        <v>10283</v>
      </c>
    </row>
    <row r="981" spans="1:2">
      <c r="A981" s="1" t="s">
        <v>1956</v>
      </c>
      <c r="B981" t="s">
        <v>10345</v>
      </c>
    </row>
    <row r="982" spans="1:2">
      <c r="A982" s="1" t="s">
        <v>1957</v>
      </c>
      <c r="B982" t="s">
        <v>10234</v>
      </c>
    </row>
    <row r="983" spans="1:2">
      <c r="A983" s="1" t="s">
        <v>1958</v>
      </c>
      <c r="B983" t="s">
        <v>10263</v>
      </c>
    </row>
    <row r="984" spans="1:2">
      <c r="A984" s="1" t="s">
        <v>1959</v>
      </c>
      <c r="B984" t="s">
        <v>10234</v>
      </c>
    </row>
    <row r="985" spans="1:2">
      <c r="A985" s="1" t="s">
        <v>1960</v>
      </c>
      <c r="B985" t="s">
        <v>901</v>
      </c>
    </row>
    <row r="986" spans="1:2">
      <c r="A986" s="1" t="s">
        <v>1961</v>
      </c>
      <c r="B986" t="s">
        <v>10250</v>
      </c>
    </row>
    <row r="987" spans="1:2">
      <c r="A987" s="1" t="s">
        <v>1962</v>
      </c>
      <c r="B987" t="s">
        <v>10284</v>
      </c>
    </row>
    <row r="988" spans="1:2">
      <c r="A988" s="1" t="s">
        <v>1963</v>
      </c>
      <c r="B988" t="s">
        <v>10277</v>
      </c>
    </row>
    <row r="989" spans="1:2">
      <c r="A989" s="1" t="s">
        <v>1964</v>
      </c>
      <c r="B989" t="s">
        <v>10234</v>
      </c>
    </row>
    <row r="990" spans="1:2">
      <c r="A990" s="1" t="s">
        <v>1965</v>
      </c>
      <c r="B990" t="s">
        <v>10267</v>
      </c>
    </row>
    <row r="991" spans="1:2">
      <c r="A991" s="1" t="s">
        <v>1966</v>
      </c>
      <c r="B991" t="s">
        <v>10241</v>
      </c>
    </row>
    <row r="992" spans="1:2">
      <c r="A992" s="1" t="s">
        <v>1967</v>
      </c>
      <c r="B992" t="s">
        <v>10225</v>
      </c>
    </row>
    <row r="993" spans="1:2">
      <c r="A993" s="1" t="s">
        <v>1968</v>
      </c>
      <c r="B993" t="s">
        <v>10322</v>
      </c>
    </row>
    <row r="994" spans="1:2">
      <c r="A994" s="1" t="s">
        <v>1969</v>
      </c>
      <c r="B994" t="s">
        <v>10280</v>
      </c>
    </row>
    <row r="995" spans="1:2">
      <c r="A995" s="1" t="s">
        <v>1970</v>
      </c>
      <c r="B995" t="s">
        <v>10343</v>
      </c>
    </row>
    <row r="996" spans="1:2">
      <c r="A996" s="1" t="s">
        <v>1971</v>
      </c>
      <c r="B996" t="s">
        <v>10234</v>
      </c>
    </row>
    <row r="997" spans="1:2">
      <c r="A997" s="1" t="s">
        <v>1972</v>
      </c>
      <c r="B997" t="s">
        <v>10234</v>
      </c>
    </row>
    <row r="998" spans="1:2">
      <c r="A998" s="1" t="s">
        <v>1973</v>
      </c>
      <c r="B998" t="s">
        <v>10354</v>
      </c>
    </row>
    <row r="999" spans="1:2">
      <c r="A999" s="1" t="s">
        <v>1974</v>
      </c>
      <c r="B999" t="s">
        <v>10355</v>
      </c>
    </row>
    <row r="1000" spans="1:2">
      <c r="A1000" s="1" t="s">
        <v>1975</v>
      </c>
      <c r="B1000" t="s">
        <v>10277</v>
      </c>
    </row>
    <row r="1001" spans="1:2">
      <c r="A1001" s="1" t="s">
        <v>1976</v>
      </c>
      <c r="B1001" t="s">
        <v>10250</v>
      </c>
    </row>
    <row r="1002" spans="1:2">
      <c r="A1002" s="1" t="s">
        <v>1977</v>
      </c>
      <c r="B1002" t="s">
        <v>10234</v>
      </c>
    </row>
    <row r="1003" spans="1:2">
      <c r="A1003" s="1" t="s">
        <v>1978</v>
      </c>
      <c r="B1003" t="s">
        <v>10234</v>
      </c>
    </row>
    <row r="1004" spans="1:2">
      <c r="A1004" s="1" t="s">
        <v>604</v>
      </c>
      <c r="B1004" t="s">
        <v>10244</v>
      </c>
    </row>
    <row r="1005" spans="1:2">
      <c r="A1005" s="1" t="s">
        <v>1979</v>
      </c>
      <c r="B1005" t="s">
        <v>10263</v>
      </c>
    </row>
    <row r="1006" spans="1:2">
      <c r="A1006" s="1" t="s">
        <v>666</v>
      </c>
      <c r="B1006" t="s">
        <v>10287</v>
      </c>
    </row>
    <row r="1007" spans="1:2">
      <c r="A1007" s="1" t="s">
        <v>1980</v>
      </c>
      <c r="B1007" t="s">
        <v>10356</v>
      </c>
    </row>
    <row r="1008" spans="1:2">
      <c r="A1008" s="1" t="s">
        <v>1981</v>
      </c>
      <c r="B1008" t="s">
        <v>10234</v>
      </c>
    </row>
    <row r="1009" spans="1:2">
      <c r="A1009" s="1" t="s">
        <v>1982</v>
      </c>
      <c r="B1009" t="s">
        <v>10245</v>
      </c>
    </row>
    <row r="1010" spans="1:2">
      <c r="A1010" s="1" t="s">
        <v>758</v>
      </c>
      <c r="B1010" t="s">
        <v>10274</v>
      </c>
    </row>
    <row r="1011" spans="1:2">
      <c r="A1011" s="1" t="s">
        <v>1983</v>
      </c>
      <c r="B1011" t="s">
        <v>10277</v>
      </c>
    </row>
    <row r="1012" spans="1:2">
      <c r="A1012" s="1" t="s">
        <v>1984</v>
      </c>
      <c r="B1012" t="s">
        <v>10234</v>
      </c>
    </row>
    <row r="1013" spans="1:2">
      <c r="A1013" s="1" t="s">
        <v>1985</v>
      </c>
      <c r="B1013" t="s">
        <v>10223</v>
      </c>
    </row>
    <row r="1014" spans="1:2">
      <c r="A1014" s="1" t="s">
        <v>1986</v>
      </c>
      <c r="B1014" t="s">
        <v>10229</v>
      </c>
    </row>
    <row r="1015" spans="1:2">
      <c r="A1015" s="1" t="s">
        <v>1987</v>
      </c>
      <c r="B1015" t="s">
        <v>10250</v>
      </c>
    </row>
    <row r="1016" spans="1:2">
      <c r="A1016" s="1" t="s">
        <v>1988</v>
      </c>
      <c r="B1016" t="s">
        <v>10287</v>
      </c>
    </row>
    <row r="1017" spans="1:2">
      <c r="A1017" s="1" t="s">
        <v>1989</v>
      </c>
      <c r="B1017" t="s">
        <v>10250</v>
      </c>
    </row>
    <row r="1018" spans="1:2">
      <c r="A1018" s="1" t="s">
        <v>1990</v>
      </c>
      <c r="B1018" t="s">
        <v>10234</v>
      </c>
    </row>
    <row r="1019" spans="1:2">
      <c r="A1019" s="1" t="s">
        <v>1991</v>
      </c>
      <c r="B1019" t="s">
        <v>10280</v>
      </c>
    </row>
    <row r="1020" spans="1:2">
      <c r="A1020" s="1" t="s">
        <v>1992</v>
      </c>
      <c r="B1020" t="s">
        <v>10234</v>
      </c>
    </row>
    <row r="1021" spans="1:2">
      <c r="A1021" s="1" t="s">
        <v>1993</v>
      </c>
      <c r="B1021" t="s">
        <v>10230</v>
      </c>
    </row>
    <row r="1022" spans="1:2">
      <c r="A1022" s="1" t="s">
        <v>1994</v>
      </c>
      <c r="B1022" t="s">
        <v>10286</v>
      </c>
    </row>
    <row r="1023" spans="1:2">
      <c r="A1023" s="1" t="s">
        <v>1995</v>
      </c>
      <c r="B1023" t="s">
        <v>10234</v>
      </c>
    </row>
    <row r="1024" spans="1:2">
      <c r="A1024" s="1" t="s">
        <v>1996</v>
      </c>
      <c r="B1024" t="s">
        <v>10309</v>
      </c>
    </row>
    <row r="1025" spans="1:2">
      <c r="A1025" s="1" t="s">
        <v>1997</v>
      </c>
      <c r="B1025" t="s">
        <v>10250</v>
      </c>
    </row>
    <row r="1026" spans="1:2">
      <c r="A1026" s="1" t="s">
        <v>658</v>
      </c>
      <c r="B1026" t="s">
        <v>10357</v>
      </c>
    </row>
    <row r="1027" spans="1:2">
      <c r="A1027" s="1" t="s">
        <v>1998</v>
      </c>
      <c r="B1027" t="s">
        <v>10234</v>
      </c>
    </row>
    <row r="1028" spans="1:2">
      <c r="A1028" s="1" t="s">
        <v>1999</v>
      </c>
      <c r="B1028" t="s">
        <v>10240</v>
      </c>
    </row>
    <row r="1029" spans="1:2">
      <c r="A1029" s="1" t="s">
        <v>2000</v>
      </c>
      <c r="B1029" t="s">
        <v>10223</v>
      </c>
    </row>
    <row r="1030" spans="1:2">
      <c r="A1030" s="1" t="s">
        <v>2001</v>
      </c>
      <c r="B1030" t="s">
        <v>10239</v>
      </c>
    </row>
    <row r="1031" spans="1:2">
      <c r="A1031" s="1" t="s">
        <v>2002</v>
      </c>
      <c r="B1031" t="s">
        <v>10358</v>
      </c>
    </row>
    <row r="1032" spans="1:2">
      <c r="A1032" s="1" t="s">
        <v>2003</v>
      </c>
      <c r="B1032" t="s">
        <v>10243</v>
      </c>
    </row>
    <row r="1033" spans="1:2">
      <c r="A1033" s="1" t="s">
        <v>2004</v>
      </c>
      <c r="B1033" t="s">
        <v>10277</v>
      </c>
    </row>
    <row r="1034" spans="1:2">
      <c r="A1034" s="1" t="s">
        <v>773</v>
      </c>
      <c r="B1034" t="s">
        <v>10244</v>
      </c>
    </row>
    <row r="1035" spans="1:2">
      <c r="A1035" s="1" t="s">
        <v>2005</v>
      </c>
      <c r="B1035" t="s">
        <v>10343</v>
      </c>
    </row>
    <row r="1036" spans="1:2">
      <c r="A1036" s="1" t="s">
        <v>2006</v>
      </c>
      <c r="B1036" t="s">
        <v>10302</v>
      </c>
    </row>
    <row r="1037" spans="1:2">
      <c r="A1037" s="1" t="s">
        <v>826</v>
      </c>
      <c r="B1037" t="s">
        <v>10277</v>
      </c>
    </row>
    <row r="1038" spans="1:2">
      <c r="A1038" s="1" t="s">
        <v>2007</v>
      </c>
      <c r="B1038" t="s">
        <v>10277</v>
      </c>
    </row>
    <row r="1039" spans="1:2">
      <c r="A1039" s="1" t="s">
        <v>2008</v>
      </c>
      <c r="B1039" t="s">
        <v>10277</v>
      </c>
    </row>
    <row r="1040" spans="1:2">
      <c r="A1040" s="1" t="s">
        <v>624</v>
      </c>
      <c r="B1040" t="s">
        <v>10243</v>
      </c>
    </row>
    <row r="1041" spans="1:2">
      <c r="A1041" s="1" t="s">
        <v>2009</v>
      </c>
      <c r="B1041" t="s">
        <v>10234</v>
      </c>
    </row>
    <row r="1042" spans="1:2">
      <c r="A1042" s="1" t="s">
        <v>2010</v>
      </c>
      <c r="B1042" t="s">
        <v>10245</v>
      </c>
    </row>
    <row r="1043" spans="1:2">
      <c r="A1043" s="1" t="s">
        <v>2011</v>
      </c>
      <c r="B1043" t="s">
        <v>10277</v>
      </c>
    </row>
    <row r="1044" spans="1:2">
      <c r="A1044" s="1" t="s">
        <v>2012</v>
      </c>
      <c r="B1044" t="s">
        <v>10277</v>
      </c>
    </row>
    <row r="1045" spans="1:2">
      <c r="A1045" s="1" t="s">
        <v>2013</v>
      </c>
      <c r="B1045" t="s">
        <v>10280</v>
      </c>
    </row>
    <row r="1046" spans="1:2">
      <c r="A1046" s="1" t="s">
        <v>2014</v>
      </c>
      <c r="B1046" t="s">
        <v>10277</v>
      </c>
    </row>
    <row r="1047" spans="1:2">
      <c r="A1047" s="1" t="s">
        <v>223</v>
      </c>
      <c r="B1047" t="s">
        <v>10278</v>
      </c>
    </row>
    <row r="1048" spans="1:2">
      <c r="A1048" s="1" t="s">
        <v>2015</v>
      </c>
      <c r="B1048" t="s">
        <v>10359</v>
      </c>
    </row>
    <row r="1049" spans="1:2">
      <c r="A1049" s="1" t="s">
        <v>2016</v>
      </c>
      <c r="B1049" t="s">
        <v>10250</v>
      </c>
    </row>
    <row r="1050" spans="1:2">
      <c r="A1050" s="1" t="s">
        <v>2017</v>
      </c>
      <c r="B1050" t="s">
        <v>10280</v>
      </c>
    </row>
    <row r="1051" spans="1:2">
      <c r="A1051" s="1" t="s">
        <v>2018</v>
      </c>
      <c r="B1051" t="s">
        <v>10255</v>
      </c>
    </row>
    <row r="1052" spans="1:2">
      <c r="A1052" s="1" t="s">
        <v>831</v>
      </c>
      <c r="B1052" t="s">
        <v>10229</v>
      </c>
    </row>
    <row r="1053" spans="1:2">
      <c r="A1053" s="1" t="s">
        <v>2019</v>
      </c>
      <c r="B1053" t="s">
        <v>10283</v>
      </c>
    </row>
    <row r="1054" spans="1:2">
      <c r="A1054" s="1" t="s">
        <v>2020</v>
      </c>
      <c r="B1054" t="s">
        <v>10244</v>
      </c>
    </row>
    <row r="1055" spans="1:2">
      <c r="A1055" s="1" t="s">
        <v>2021</v>
      </c>
      <c r="B1055" t="s">
        <v>10231</v>
      </c>
    </row>
    <row r="1056" spans="1:2">
      <c r="A1056" s="1" t="s">
        <v>2022</v>
      </c>
      <c r="B1056" t="s">
        <v>10360</v>
      </c>
    </row>
    <row r="1057" spans="1:2">
      <c r="A1057" s="1" t="s">
        <v>2023</v>
      </c>
      <c r="B1057" t="s">
        <v>10277</v>
      </c>
    </row>
    <row r="1058" spans="1:2">
      <c r="A1058" s="1" t="s">
        <v>2024</v>
      </c>
      <c r="B1058" t="s">
        <v>10231</v>
      </c>
    </row>
    <row r="1059" spans="1:2">
      <c r="A1059" s="1" t="s">
        <v>2025</v>
      </c>
      <c r="B1059" t="s">
        <v>10239</v>
      </c>
    </row>
    <row r="1060" spans="1:2">
      <c r="A1060" s="1" t="s">
        <v>450</v>
      </c>
      <c r="B1060" t="s">
        <v>10316</v>
      </c>
    </row>
    <row r="1061" spans="1:2">
      <c r="A1061" s="1" t="s">
        <v>2026</v>
      </c>
      <c r="B1061" t="s">
        <v>10244</v>
      </c>
    </row>
    <row r="1062" spans="1:2">
      <c r="A1062" s="1" t="s">
        <v>2027</v>
      </c>
      <c r="B1062" t="s">
        <v>10250</v>
      </c>
    </row>
    <row r="1063" spans="1:2">
      <c r="A1063" s="1" t="s">
        <v>2028</v>
      </c>
      <c r="B1063" t="s">
        <v>10239</v>
      </c>
    </row>
    <row r="1064" spans="1:2">
      <c r="A1064" s="1" t="s">
        <v>2029</v>
      </c>
      <c r="B1064" t="s">
        <v>10315</v>
      </c>
    </row>
    <row r="1065" spans="1:2">
      <c r="A1065" s="1" t="s">
        <v>2030</v>
      </c>
      <c r="B1065" t="s">
        <v>10239</v>
      </c>
    </row>
    <row r="1066" spans="1:2">
      <c r="A1066" s="1" t="s">
        <v>2031</v>
      </c>
      <c r="B1066" t="s">
        <v>10234</v>
      </c>
    </row>
    <row r="1067" spans="1:2">
      <c r="A1067" s="1" t="s">
        <v>2032</v>
      </c>
      <c r="B1067" t="s">
        <v>10277</v>
      </c>
    </row>
    <row r="1068" spans="1:2">
      <c r="A1068" s="1" t="s">
        <v>2033</v>
      </c>
      <c r="B1068" t="s">
        <v>10234</v>
      </c>
    </row>
    <row r="1069" spans="1:2">
      <c r="A1069" s="1" t="s">
        <v>2034</v>
      </c>
      <c r="B1069" t="s">
        <v>10347</v>
      </c>
    </row>
    <row r="1070" spans="1:2">
      <c r="A1070" s="1" t="s">
        <v>2035</v>
      </c>
      <c r="B1070" t="s">
        <v>10361</v>
      </c>
    </row>
    <row r="1071" spans="1:2">
      <c r="A1071" s="1" t="s">
        <v>2036</v>
      </c>
      <c r="B1071" t="s">
        <v>10262</v>
      </c>
    </row>
    <row r="1072" spans="1:2">
      <c r="A1072" s="1" t="s">
        <v>2037</v>
      </c>
      <c r="B1072" t="s">
        <v>10234</v>
      </c>
    </row>
    <row r="1073" spans="1:2">
      <c r="A1073" s="1" t="s">
        <v>2038</v>
      </c>
      <c r="B1073" t="s">
        <v>10362</v>
      </c>
    </row>
    <row r="1074" spans="1:2">
      <c r="A1074" s="1" t="s">
        <v>2039</v>
      </c>
      <c r="B1074" t="s">
        <v>10363</v>
      </c>
    </row>
    <row r="1075" spans="1:2">
      <c r="A1075" s="1" t="s">
        <v>2040</v>
      </c>
      <c r="B1075" t="s">
        <v>10262</v>
      </c>
    </row>
    <row r="1076" spans="1:2">
      <c r="A1076" s="1" t="s">
        <v>2041</v>
      </c>
      <c r="B1076" t="s">
        <v>10234</v>
      </c>
    </row>
    <row r="1077" spans="1:2">
      <c r="A1077" s="1" t="s">
        <v>2042</v>
      </c>
      <c r="B1077" t="s">
        <v>10240</v>
      </c>
    </row>
    <row r="1078" spans="1:2">
      <c r="A1078" s="1" t="s">
        <v>2043</v>
      </c>
      <c r="B1078" t="s">
        <v>10303</v>
      </c>
    </row>
    <row r="1079" spans="1:2">
      <c r="A1079" s="1" t="s">
        <v>769</v>
      </c>
      <c r="B1079" t="s">
        <v>10364</v>
      </c>
    </row>
    <row r="1080" spans="1:2">
      <c r="A1080" s="1" t="s">
        <v>408</v>
      </c>
      <c r="B1080" t="s">
        <v>10232</v>
      </c>
    </row>
    <row r="1081" spans="1:2">
      <c r="A1081" s="1" t="s">
        <v>2044</v>
      </c>
      <c r="B1081" t="s">
        <v>10343</v>
      </c>
    </row>
    <row r="1082" spans="1:2">
      <c r="A1082" s="1" t="s">
        <v>2045</v>
      </c>
      <c r="B1082" t="s">
        <v>10266</v>
      </c>
    </row>
    <row r="1083" spans="1:2">
      <c r="A1083" s="1" t="s">
        <v>772</v>
      </c>
      <c r="B1083" t="s">
        <v>10277</v>
      </c>
    </row>
    <row r="1084" spans="1:2">
      <c r="A1084" s="1" t="s">
        <v>2046</v>
      </c>
      <c r="B1084" t="s">
        <v>10287</v>
      </c>
    </row>
    <row r="1085" spans="1:2">
      <c r="A1085" s="1" t="s">
        <v>2047</v>
      </c>
      <c r="B1085" t="s">
        <v>901</v>
      </c>
    </row>
    <row r="1086" spans="1:2">
      <c r="A1086" s="1" t="s">
        <v>656</v>
      </c>
      <c r="B1086" t="s">
        <v>10240</v>
      </c>
    </row>
    <row r="1087" spans="1:2">
      <c r="A1087" s="1" t="s">
        <v>2048</v>
      </c>
      <c r="B1087" t="s">
        <v>10329</v>
      </c>
    </row>
    <row r="1088" spans="1:2">
      <c r="A1088" s="1" t="s">
        <v>2049</v>
      </c>
      <c r="B1088" t="s">
        <v>10234</v>
      </c>
    </row>
    <row r="1089" spans="1:2">
      <c r="A1089" s="1" t="s">
        <v>2050</v>
      </c>
      <c r="B1089" t="s">
        <v>10244</v>
      </c>
    </row>
    <row r="1090" spans="1:2">
      <c r="A1090" s="1" t="s">
        <v>2051</v>
      </c>
      <c r="B1090" t="s">
        <v>10234</v>
      </c>
    </row>
    <row r="1091" spans="1:2">
      <c r="A1091" s="1" t="s">
        <v>2052</v>
      </c>
      <c r="B1091" t="s">
        <v>10256</v>
      </c>
    </row>
    <row r="1092" spans="1:2">
      <c r="A1092" s="1" t="s">
        <v>2053</v>
      </c>
      <c r="B1092" t="s">
        <v>10365</v>
      </c>
    </row>
    <row r="1093" spans="1:2">
      <c r="A1093" s="1" t="s">
        <v>2054</v>
      </c>
      <c r="B1093" t="s">
        <v>10234</v>
      </c>
    </row>
    <row r="1094" spans="1:2">
      <c r="A1094" s="1" t="s">
        <v>2055</v>
      </c>
      <c r="B1094" t="s">
        <v>10286</v>
      </c>
    </row>
    <row r="1095" spans="1:2">
      <c r="A1095" s="1" t="s">
        <v>2056</v>
      </c>
      <c r="B1095" t="s">
        <v>10234</v>
      </c>
    </row>
    <row r="1096" spans="1:2">
      <c r="A1096" s="1" t="s">
        <v>2057</v>
      </c>
      <c r="B1096" t="s">
        <v>10234</v>
      </c>
    </row>
    <row r="1097" spans="1:2">
      <c r="A1097" s="1" t="s">
        <v>2058</v>
      </c>
      <c r="B1097" t="s">
        <v>10265</v>
      </c>
    </row>
    <row r="1098" spans="1:2">
      <c r="A1098" s="1" t="s">
        <v>2059</v>
      </c>
      <c r="B1098" t="s">
        <v>901</v>
      </c>
    </row>
    <row r="1099" spans="1:2">
      <c r="A1099" s="1" t="s">
        <v>2060</v>
      </c>
      <c r="B1099" t="s">
        <v>10234</v>
      </c>
    </row>
    <row r="1100" spans="1:2">
      <c r="A1100" s="1" t="s">
        <v>2061</v>
      </c>
      <c r="B1100" t="s">
        <v>10288</v>
      </c>
    </row>
    <row r="1101" spans="1:2">
      <c r="A1101" s="1" t="s">
        <v>2062</v>
      </c>
      <c r="B1101" t="s">
        <v>10245</v>
      </c>
    </row>
    <row r="1102" spans="1:2">
      <c r="A1102" s="1" t="s">
        <v>2063</v>
      </c>
      <c r="B1102" t="s">
        <v>10229</v>
      </c>
    </row>
    <row r="1103" spans="1:2">
      <c r="A1103" s="1" t="s">
        <v>2064</v>
      </c>
      <c r="B1103" t="s">
        <v>10277</v>
      </c>
    </row>
    <row r="1104" spans="1:2">
      <c r="A1104" s="1" t="s">
        <v>2065</v>
      </c>
      <c r="B1104" t="s">
        <v>10277</v>
      </c>
    </row>
    <row r="1105" spans="1:2">
      <c r="A1105" s="1" t="s">
        <v>653</v>
      </c>
      <c r="B1105" t="s">
        <v>10273</v>
      </c>
    </row>
    <row r="1106" spans="1:2">
      <c r="A1106" s="1" t="s">
        <v>2066</v>
      </c>
      <c r="B1106" t="s">
        <v>10366</v>
      </c>
    </row>
    <row r="1107" spans="1:2">
      <c r="A1107" s="1" t="s">
        <v>2067</v>
      </c>
      <c r="B1107" t="s">
        <v>10262</v>
      </c>
    </row>
    <row r="1108" spans="1:2">
      <c r="A1108" s="1" t="s">
        <v>2068</v>
      </c>
      <c r="B1108" t="s">
        <v>10234</v>
      </c>
    </row>
    <row r="1109" spans="1:2">
      <c r="A1109" s="1" t="s">
        <v>2069</v>
      </c>
      <c r="B1109" t="s">
        <v>10316</v>
      </c>
    </row>
    <row r="1110" spans="1:2">
      <c r="A1110" s="1" t="s">
        <v>2070</v>
      </c>
      <c r="B1110" t="s">
        <v>10234</v>
      </c>
    </row>
    <row r="1111" spans="1:2">
      <c r="A1111" s="1" t="s">
        <v>2071</v>
      </c>
      <c r="B1111" t="s">
        <v>10283</v>
      </c>
    </row>
    <row r="1112" spans="1:2">
      <c r="A1112" s="1" t="s">
        <v>2072</v>
      </c>
      <c r="B1112" t="s">
        <v>10279</v>
      </c>
    </row>
    <row r="1113" spans="1:2">
      <c r="A1113" s="1" t="s">
        <v>2073</v>
      </c>
      <c r="B1113" t="s">
        <v>10234</v>
      </c>
    </row>
    <row r="1114" spans="1:2">
      <c r="A1114" s="1" t="s">
        <v>2074</v>
      </c>
      <c r="B1114" t="s">
        <v>10286</v>
      </c>
    </row>
    <row r="1115" spans="1:2">
      <c r="A1115" s="1" t="s">
        <v>2075</v>
      </c>
      <c r="B1115" t="s">
        <v>10277</v>
      </c>
    </row>
    <row r="1116" spans="1:2">
      <c r="A1116" s="1" t="s">
        <v>2076</v>
      </c>
      <c r="B1116" t="s">
        <v>10242</v>
      </c>
    </row>
    <row r="1117" spans="1:2">
      <c r="A1117" s="1" t="s">
        <v>2077</v>
      </c>
      <c r="B1117" t="s">
        <v>10250</v>
      </c>
    </row>
    <row r="1118" spans="1:2">
      <c r="A1118" s="1" t="s">
        <v>2078</v>
      </c>
      <c r="B1118" t="s">
        <v>901</v>
      </c>
    </row>
    <row r="1119" spans="1:2">
      <c r="A1119" s="1" t="s">
        <v>2079</v>
      </c>
      <c r="B1119" t="s">
        <v>901</v>
      </c>
    </row>
    <row r="1120" spans="1:2">
      <c r="A1120" s="1" t="s">
        <v>2080</v>
      </c>
      <c r="B1120" t="s">
        <v>10288</v>
      </c>
    </row>
    <row r="1121" spans="1:2">
      <c r="A1121" s="1" t="s">
        <v>2081</v>
      </c>
      <c r="B1121" t="s">
        <v>10262</v>
      </c>
    </row>
    <row r="1122" spans="1:2">
      <c r="A1122" s="1" t="s">
        <v>2082</v>
      </c>
      <c r="B1122" t="s">
        <v>10265</v>
      </c>
    </row>
    <row r="1123" spans="1:2">
      <c r="A1123" s="1" t="s">
        <v>2083</v>
      </c>
      <c r="B1123" t="s">
        <v>10236</v>
      </c>
    </row>
    <row r="1124" spans="1:2">
      <c r="A1124" s="1" t="s">
        <v>2084</v>
      </c>
      <c r="B1124" t="s">
        <v>10287</v>
      </c>
    </row>
    <row r="1125" spans="1:2">
      <c r="A1125" s="1" t="s">
        <v>2085</v>
      </c>
      <c r="B1125" t="s">
        <v>10234</v>
      </c>
    </row>
    <row r="1126" spans="1:2">
      <c r="A1126" s="1" t="s">
        <v>2086</v>
      </c>
      <c r="B1126" t="s">
        <v>10234</v>
      </c>
    </row>
    <row r="1127" spans="1:2">
      <c r="A1127" s="1" t="s">
        <v>2087</v>
      </c>
      <c r="B1127" t="s">
        <v>10232</v>
      </c>
    </row>
    <row r="1128" spans="1:2">
      <c r="A1128" s="1" t="s">
        <v>2088</v>
      </c>
      <c r="B1128" t="s">
        <v>10239</v>
      </c>
    </row>
    <row r="1129" spans="1:2">
      <c r="A1129" s="1" t="s">
        <v>2089</v>
      </c>
      <c r="B1129" t="s">
        <v>10239</v>
      </c>
    </row>
    <row r="1130" spans="1:2">
      <c r="A1130" s="1" t="s">
        <v>585</v>
      </c>
      <c r="B1130" t="s">
        <v>10286</v>
      </c>
    </row>
    <row r="1131" spans="1:2">
      <c r="A1131" s="1" t="s">
        <v>2090</v>
      </c>
      <c r="B1131" t="s">
        <v>10234</v>
      </c>
    </row>
    <row r="1132" spans="1:2">
      <c r="A1132" s="1" t="s">
        <v>2091</v>
      </c>
      <c r="B1132" t="s">
        <v>10277</v>
      </c>
    </row>
    <row r="1133" spans="1:2">
      <c r="A1133" s="1" t="s">
        <v>2092</v>
      </c>
      <c r="B1133" t="s">
        <v>10239</v>
      </c>
    </row>
    <row r="1134" spans="1:2">
      <c r="A1134" s="1" t="s">
        <v>2093</v>
      </c>
      <c r="B1134" t="s">
        <v>10277</v>
      </c>
    </row>
    <row r="1135" spans="1:2">
      <c r="A1135" s="1" t="s">
        <v>2094</v>
      </c>
      <c r="B1135" t="s">
        <v>10234</v>
      </c>
    </row>
    <row r="1136" spans="1:2">
      <c r="A1136" s="1" t="s">
        <v>2095</v>
      </c>
      <c r="B1136" t="s">
        <v>10277</v>
      </c>
    </row>
    <row r="1137" spans="1:2">
      <c r="A1137" s="1" t="s">
        <v>2096</v>
      </c>
      <c r="B1137" t="s">
        <v>10280</v>
      </c>
    </row>
    <row r="1138" spans="1:2">
      <c r="A1138" s="1" t="s">
        <v>2097</v>
      </c>
      <c r="B1138" t="s">
        <v>10367</v>
      </c>
    </row>
    <row r="1139" spans="1:2">
      <c r="A1139" s="1" t="s">
        <v>2098</v>
      </c>
      <c r="B1139" t="s">
        <v>10234</v>
      </c>
    </row>
    <row r="1140" spans="1:2">
      <c r="A1140" s="1" t="s">
        <v>2099</v>
      </c>
      <c r="B1140" t="s">
        <v>10239</v>
      </c>
    </row>
    <row r="1141" spans="1:2">
      <c r="A1141" s="1" t="s">
        <v>2100</v>
      </c>
      <c r="B1141" t="s">
        <v>10231</v>
      </c>
    </row>
    <row r="1142" spans="1:2">
      <c r="A1142" s="1" t="s">
        <v>2101</v>
      </c>
      <c r="B1142" t="s">
        <v>10323</v>
      </c>
    </row>
    <row r="1143" spans="1:2">
      <c r="A1143" s="1" t="s">
        <v>2102</v>
      </c>
      <c r="B1143" t="s">
        <v>901</v>
      </c>
    </row>
    <row r="1144" spans="1:2">
      <c r="A1144" s="1" t="s">
        <v>2103</v>
      </c>
      <c r="B1144" t="s">
        <v>10243</v>
      </c>
    </row>
    <row r="1145" spans="1:2">
      <c r="A1145" s="1" t="s">
        <v>2104</v>
      </c>
      <c r="B1145" t="s">
        <v>10243</v>
      </c>
    </row>
    <row r="1146" spans="1:2">
      <c r="A1146" s="1" t="s">
        <v>2105</v>
      </c>
      <c r="B1146" t="s">
        <v>10244</v>
      </c>
    </row>
    <row r="1147" spans="1:2">
      <c r="A1147" s="1" t="s">
        <v>2106</v>
      </c>
      <c r="B1147" t="s">
        <v>10234</v>
      </c>
    </row>
    <row r="1148" spans="1:2">
      <c r="A1148" s="1" t="s">
        <v>2107</v>
      </c>
      <c r="B1148" t="s">
        <v>10366</v>
      </c>
    </row>
    <row r="1149" spans="1:2">
      <c r="A1149" s="1" t="s">
        <v>2108</v>
      </c>
      <c r="B1149" t="s">
        <v>10256</v>
      </c>
    </row>
    <row r="1150" spans="1:2">
      <c r="A1150" s="1" t="s">
        <v>252</v>
      </c>
      <c r="B1150" t="s">
        <v>10241</v>
      </c>
    </row>
    <row r="1151" spans="1:2">
      <c r="A1151" s="1" t="s">
        <v>2109</v>
      </c>
      <c r="B1151" t="s">
        <v>10230</v>
      </c>
    </row>
    <row r="1152" spans="1:2">
      <c r="A1152" s="1" t="s">
        <v>2110</v>
      </c>
      <c r="B1152" t="s">
        <v>10239</v>
      </c>
    </row>
    <row r="1153" spans="1:2">
      <c r="A1153" s="1" t="s">
        <v>648</v>
      </c>
      <c r="B1153" t="s">
        <v>10287</v>
      </c>
    </row>
    <row r="1154" spans="1:2">
      <c r="A1154" s="1" t="s">
        <v>2111</v>
      </c>
      <c r="B1154" t="s">
        <v>10273</v>
      </c>
    </row>
    <row r="1155" spans="1:2">
      <c r="A1155" s="1" t="s">
        <v>2112</v>
      </c>
      <c r="B1155" t="s">
        <v>10368</v>
      </c>
    </row>
    <row r="1156" spans="1:2">
      <c r="A1156" s="1" t="s">
        <v>2113</v>
      </c>
      <c r="B1156" t="s">
        <v>10267</v>
      </c>
    </row>
    <row r="1157" spans="1:2">
      <c r="A1157" s="1" t="s">
        <v>2114</v>
      </c>
      <c r="B1157" t="s">
        <v>10277</v>
      </c>
    </row>
    <row r="1158" spans="1:2">
      <c r="A1158" s="1" t="s">
        <v>2115</v>
      </c>
      <c r="B1158" t="s">
        <v>10369</v>
      </c>
    </row>
    <row r="1159" spans="1:2">
      <c r="A1159" s="1" t="s">
        <v>2116</v>
      </c>
      <c r="B1159" t="s">
        <v>10277</v>
      </c>
    </row>
    <row r="1160" spans="1:2">
      <c r="A1160" s="1" t="s">
        <v>2117</v>
      </c>
      <c r="B1160" t="s">
        <v>10286</v>
      </c>
    </row>
    <row r="1161" spans="1:2">
      <c r="A1161" s="1" t="s">
        <v>430</v>
      </c>
      <c r="B1161" t="s">
        <v>10232</v>
      </c>
    </row>
    <row r="1162" spans="1:2">
      <c r="A1162" s="1" t="s">
        <v>2118</v>
      </c>
      <c r="B1162" t="s">
        <v>10224</v>
      </c>
    </row>
    <row r="1163" spans="1:2">
      <c r="A1163" s="1" t="s">
        <v>2119</v>
      </c>
      <c r="B1163" t="s">
        <v>10234</v>
      </c>
    </row>
    <row r="1164" spans="1:2">
      <c r="A1164" s="1" t="s">
        <v>2120</v>
      </c>
      <c r="B1164" t="s">
        <v>10370</v>
      </c>
    </row>
    <row r="1165" spans="1:2">
      <c r="A1165" s="1" t="s">
        <v>2121</v>
      </c>
      <c r="B1165" t="s">
        <v>10262</v>
      </c>
    </row>
    <row r="1166" spans="1:2">
      <c r="A1166" s="1" t="s">
        <v>2122</v>
      </c>
      <c r="B1166" t="s">
        <v>10343</v>
      </c>
    </row>
    <row r="1167" spans="1:2">
      <c r="A1167" s="1" t="s">
        <v>2123</v>
      </c>
      <c r="B1167" t="s">
        <v>10341</v>
      </c>
    </row>
    <row r="1168" spans="1:2">
      <c r="A1168" s="1" t="s">
        <v>2124</v>
      </c>
      <c r="B1168" t="s">
        <v>10277</v>
      </c>
    </row>
    <row r="1169" spans="1:2">
      <c r="A1169" s="1" t="s">
        <v>2125</v>
      </c>
      <c r="B1169" t="s">
        <v>10303</v>
      </c>
    </row>
    <row r="1170" spans="1:2">
      <c r="A1170" s="1" t="s">
        <v>2126</v>
      </c>
      <c r="B1170" t="s">
        <v>10371</v>
      </c>
    </row>
    <row r="1171" spans="1:2">
      <c r="A1171" s="1" t="s">
        <v>2127</v>
      </c>
      <c r="B1171" t="s">
        <v>10252</v>
      </c>
    </row>
    <row r="1172" spans="1:2">
      <c r="A1172" s="1" t="s">
        <v>2128</v>
      </c>
      <c r="B1172" t="s">
        <v>10234</v>
      </c>
    </row>
    <row r="1173" spans="1:2">
      <c r="A1173" s="1" t="s">
        <v>2129</v>
      </c>
      <c r="B1173" t="s">
        <v>10229</v>
      </c>
    </row>
    <row r="1174" spans="1:2">
      <c r="A1174" s="1" t="s">
        <v>2130</v>
      </c>
      <c r="B1174" t="s">
        <v>10239</v>
      </c>
    </row>
    <row r="1175" spans="1:2">
      <c r="A1175" s="1" t="s">
        <v>2131</v>
      </c>
      <c r="B1175" t="s">
        <v>10234</v>
      </c>
    </row>
    <row r="1176" spans="1:2">
      <c r="A1176" s="1" t="s">
        <v>2132</v>
      </c>
      <c r="B1176" t="s">
        <v>10234</v>
      </c>
    </row>
    <row r="1177" spans="1:2">
      <c r="A1177" s="1" t="s">
        <v>2133</v>
      </c>
      <c r="B1177" t="s">
        <v>10229</v>
      </c>
    </row>
    <row r="1178" spans="1:2">
      <c r="A1178" s="1" t="s">
        <v>2134</v>
      </c>
      <c r="B1178" t="s">
        <v>10269</v>
      </c>
    </row>
    <row r="1179" spans="1:2">
      <c r="A1179" s="1" t="s">
        <v>2135</v>
      </c>
      <c r="B1179" t="s">
        <v>10305</v>
      </c>
    </row>
    <row r="1180" spans="1:2">
      <c r="A1180" s="1" t="s">
        <v>2136</v>
      </c>
      <c r="B1180" t="s">
        <v>10250</v>
      </c>
    </row>
    <row r="1181" spans="1:2">
      <c r="A1181" s="1" t="s">
        <v>2137</v>
      </c>
      <c r="B1181" t="s">
        <v>10234</v>
      </c>
    </row>
    <row r="1182" spans="1:2">
      <c r="A1182" s="1" t="s">
        <v>2138</v>
      </c>
      <c r="B1182" t="s">
        <v>10234</v>
      </c>
    </row>
    <row r="1183" spans="1:2">
      <c r="A1183" s="1" t="s">
        <v>2139</v>
      </c>
      <c r="B1183" t="s">
        <v>10283</v>
      </c>
    </row>
    <row r="1184" spans="1:2">
      <c r="A1184" s="1" t="s">
        <v>2140</v>
      </c>
      <c r="B1184" t="s">
        <v>10284</v>
      </c>
    </row>
    <row r="1185" spans="1:2">
      <c r="A1185" s="1" t="s">
        <v>2141</v>
      </c>
      <c r="B1185" t="s">
        <v>10338</v>
      </c>
    </row>
    <row r="1186" spans="1:2">
      <c r="A1186" s="1" t="s">
        <v>2142</v>
      </c>
      <c r="B1186" t="s">
        <v>10372</v>
      </c>
    </row>
    <row r="1187" spans="1:2">
      <c r="A1187" s="1" t="s">
        <v>2143</v>
      </c>
      <c r="B1187" t="s">
        <v>10250</v>
      </c>
    </row>
    <row r="1188" spans="1:2">
      <c r="A1188" s="1" t="s">
        <v>2144</v>
      </c>
      <c r="B1188" t="s">
        <v>10262</v>
      </c>
    </row>
    <row r="1189" spans="1:2">
      <c r="A1189" s="1" t="s">
        <v>2145</v>
      </c>
      <c r="B1189" t="s">
        <v>10287</v>
      </c>
    </row>
    <row r="1190" spans="1:2">
      <c r="A1190" s="1" t="s">
        <v>2146</v>
      </c>
      <c r="B1190" t="s">
        <v>10224</v>
      </c>
    </row>
    <row r="1191" spans="1:2">
      <c r="A1191" s="1" t="s">
        <v>2147</v>
      </c>
      <c r="B1191" t="s">
        <v>10243</v>
      </c>
    </row>
    <row r="1192" spans="1:2">
      <c r="A1192" s="1" t="s">
        <v>2148</v>
      </c>
      <c r="B1192" t="s">
        <v>10230</v>
      </c>
    </row>
    <row r="1193" spans="1:2">
      <c r="A1193" s="1" t="s">
        <v>2149</v>
      </c>
      <c r="B1193" t="s">
        <v>10289</v>
      </c>
    </row>
    <row r="1194" spans="1:2">
      <c r="A1194" s="1" t="s">
        <v>2150</v>
      </c>
      <c r="B1194" t="s">
        <v>10242</v>
      </c>
    </row>
    <row r="1195" spans="1:2">
      <c r="A1195" s="1" t="s">
        <v>382</v>
      </c>
      <c r="B1195" t="s">
        <v>10224</v>
      </c>
    </row>
    <row r="1196" spans="1:2">
      <c r="A1196" s="1" t="s">
        <v>2151</v>
      </c>
      <c r="B1196" t="s">
        <v>10234</v>
      </c>
    </row>
    <row r="1197" spans="1:2">
      <c r="A1197" s="1" t="s">
        <v>2152</v>
      </c>
      <c r="B1197" t="s">
        <v>10234</v>
      </c>
    </row>
    <row r="1198" spans="1:2">
      <c r="A1198" s="1" t="s">
        <v>2153</v>
      </c>
      <c r="B1198" t="s">
        <v>10277</v>
      </c>
    </row>
    <row r="1199" spans="1:2">
      <c r="A1199" s="1" t="s">
        <v>2154</v>
      </c>
      <c r="B1199" t="s">
        <v>10234</v>
      </c>
    </row>
    <row r="1200" spans="1:2">
      <c r="A1200" s="1" t="s">
        <v>2155</v>
      </c>
      <c r="B1200" t="s">
        <v>10234</v>
      </c>
    </row>
    <row r="1201" spans="1:2">
      <c r="A1201" s="1" t="s">
        <v>2156</v>
      </c>
      <c r="B1201" t="s">
        <v>10243</v>
      </c>
    </row>
    <row r="1202" spans="1:2">
      <c r="A1202" s="1" t="s">
        <v>2157</v>
      </c>
      <c r="B1202" t="s">
        <v>10373</v>
      </c>
    </row>
    <row r="1203" spans="1:2">
      <c r="A1203" s="1" t="s">
        <v>2158</v>
      </c>
      <c r="B1203" t="s">
        <v>10277</v>
      </c>
    </row>
    <row r="1204" spans="1:2">
      <c r="A1204" s="1" t="s">
        <v>2159</v>
      </c>
      <c r="B1204" t="s">
        <v>10277</v>
      </c>
    </row>
    <row r="1205" spans="1:2">
      <c r="A1205" s="1" t="s">
        <v>2160</v>
      </c>
      <c r="B1205" t="s">
        <v>10234</v>
      </c>
    </row>
    <row r="1206" spans="1:2">
      <c r="A1206" s="1" t="s">
        <v>2161</v>
      </c>
      <c r="B1206" t="s">
        <v>10230</v>
      </c>
    </row>
    <row r="1207" spans="1:2">
      <c r="A1207" s="1" t="s">
        <v>2162</v>
      </c>
      <c r="B1207" t="s">
        <v>10316</v>
      </c>
    </row>
    <row r="1208" spans="1:2">
      <c r="A1208" s="1" t="s">
        <v>2163</v>
      </c>
      <c r="B1208" t="s">
        <v>10234</v>
      </c>
    </row>
    <row r="1209" spans="1:2">
      <c r="A1209" s="1" t="s">
        <v>2164</v>
      </c>
      <c r="B1209" t="s">
        <v>10265</v>
      </c>
    </row>
    <row r="1210" spans="1:2">
      <c r="A1210" s="1" t="s">
        <v>2165</v>
      </c>
      <c r="B1210" t="s">
        <v>10234</v>
      </c>
    </row>
    <row r="1211" spans="1:2">
      <c r="A1211" s="1" t="s">
        <v>2166</v>
      </c>
      <c r="B1211" t="s">
        <v>10266</v>
      </c>
    </row>
    <row r="1212" spans="1:2">
      <c r="A1212" s="1" t="s">
        <v>2167</v>
      </c>
      <c r="B1212" t="s">
        <v>10231</v>
      </c>
    </row>
    <row r="1213" spans="1:2">
      <c r="A1213" s="1" t="s">
        <v>2168</v>
      </c>
      <c r="B1213" t="s">
        <v>10239</v>
      </c>
    </row>
    <row r="1214" spans="1:2">
      <c r="A1214" s="1" t="s">
        <v>2169</v>
      </c>
      <c r="B1214" t="s">
        <v>10239</v>
      </c>
    </row>
    <row r="1215" spans="1:2">
      <c r="A1215" s="1" t="s">
        <v>2170</v>
      </c>
      <c r="B1215" t="s">
        <v>10234</v>
      </c>
    </row>
    <row r="1216" spans="1:2">
      <c r="A1216" s="1" t="s">
        <v>2171</v>
      </c>
      <c r="B1216" t="s">
        <v>10287</v>
      </c>
    </row>
    <row r="1217" spans="1:2">
      <c r="A1217" s="1" t="s">
        <v>2172</v>
      </c>
      <c r="B1217" t="s">
        <v>10225</v>
      </c>
    </row>
    <row r="1218" spans="1:2">
      <c r="A1218" s="1" t="s">
        <v>2173</v>
      </c>
      <c r="B1218" t="s">
        <v>10277</v>
      </c>
    </row>
    <row r="1219" spans="1:2">
      <c r="A1219" s="1" t="s">
        <v>2174</v>
      </c>
      <c r="B1219" t="s">
        <v>10234</v>
      </c>
    </row>
    <row r="1220" spans="1:2">
      <c r="A1220" s="1" t="s">
        <v>2175</v>
      </c>
      <c r="B1220" t="s">
        <v>10243</v>
      </c>
    </row>
    <row r="1221" spans="1:2">
      <c r="A1221" s="1" t="s">
        <v>2176</v>
      </c>
      <c r="B1221" t="s">
        <v>10239</v>
      </c>
    </row>
    <row r="1222" spans="1:2">
      <c r="A1222" s="1" t="s">
        <v>2177</v>
      </c>
      <c r="B1222" t="s">
        <v>10346</v>
      </c>
    </row>
    <row r="1223" spans="1:2">
      <c r="A1223" s="1" t="s">
        <v>2178</v>
      </c>
      <c r="B1223" t="s">
        <v>901</v>
      </c>
    </row>
    <row r="1224" spans="1:2">
      <c r="A1224" s="1" t="s">
        <v>830</v>
      </c>
      <c r="B1224" t="s">
        <v>10374</v>
      </c>
    </row>
    <row r="1225" spans="1:2">
      <c r="A1225" s="1" t="s">
        <v>2179</v>
      </c>
      <c r="B1225" t="s">
        <v>10242</v>
      </c>
    </row>
    <row r="1226" spans="1:2">
      <c r="A1226" s="1" t="s">
        <v>2180</v>
      </c>
      <c r="B1226" t="s">
        <v>10234</v>
      </c>
    </row>
    <row r="1227" spans="1:2">
      <c r="A1227" s="1" t="s">
        <v>409</v>
      </c>
      <c r="B1227" t="s">
        <v>10259</v>
      </c>
    </row>
    <row r="1228" spans="1:2">
      <c r="A1228" s="1" t="s">
        <v>2181</v>
      </c>
      <c r="B1228" t="s">
        <v>10369</v>
      </c>
    </row>
    <row r="1229" spans="1:2">
      <c r="A1229" s="1" t="s">
        <v>2182</v>
      </c>
      <c r="B1229" t="s">
        <v>10277</v>
      </c>
    </row>
    <row r="1230" spans="1:2">
      <c r="A1230" s="1" t="s">
        <v>2183</v>
      </c>
      <c r="B1230" t="s">
        <v>10224</v>
      </c>
    </row>
    <row r="1231" spans="1:2">
      <c r="A1231" s="1" t="s">
        <v>788</v>
      </c>
      <c r="B1231" t="s">
        <v>10255</v>
      </c>
    </row>
    <row r="1232" spans="1:2">
      <c r="A1232" s="1" t="s">
        <v>2184</v>
      </c>
      <c r="B1232" t="s">
        <v>10375</v>
      </c>
    </row>
    <row r="1233" spans="1:2">
      <c r="A1233" s="1" t="s">
        <v>2185</v>
      </c>
      <c r="B1233" t="s">
        <v>10276</v>
      </c>
    </row>
    <row r="1234" spans="1:2">
      <c r="A1234" s="1" t="s">
        <v>2186</v>
      </c>
      <c r="B1234" t="s">
        <v>10243</v>
      </c>
    </row>
    <row r="1235" spans="1:2">
      <c r="A1235" s="1" t="s">
        <v>2187</v>
      </c>
      <c r="B1235" t="s">
        <v>10258</v>
      </c>
    </row>
    <row r="1236" spans="1:2">
      <c r="A1236" s="1" t="s">
        <v>2188</v>
      </c>
      <c r="B1236" t="s">
        <v>10234</v>
      </c>
    </row>
    <row r="1237" spans="1:2">
      <c r="A1237" s="1" t="s">
        <v>2189</v>
      </c>
      <c r="B1237" t="s">
        <v>10376</v>
      </c>
    </row>
    <row r="1238" spans="1:2">
      <c r="A1238" s="1" t="s">
        <v>2190</v>
      </c>
      <c r="B1238" t="s">
        <v>10278</v>
      </c>
    </row>
    <row r="1239" spans="1:2">
      <c r="A1239" s="1" t="s">
        <v>2191</v>
      </c>
      <c r="B1239" t="s">
        <v>10277</v>
      </c>
    </row>
    <row r="1240" spans="1:2">
      <c r="A1240" s="1" t="s">
        <v>2192</v>
      </c>
      <c r="B1240" t="s">
        <v>10377</v>
      </c>
    </row>
    <row r="1241" spans="1:2">
      <c r="A1241" s="1" t="s">
        <v>2193</v>
      </c>
      <c r="B1241" t="s">
        <v>10262</v>
      </c>
    </row>
    <row r="1242" spans="1:2">
      <c r="A1242" s="1" t="s">
        <v>662</v>
      </c>
      <c r="B1242" t="s">
        <v>10262</v>
      </c>
    </row>
    <row r="1243" spans="1:2">
      <c r="A1243" s="1" t="s">
        <v>2194</v>
      </c>
      <c r="B1243" t="s">
        <v>10262</v>
      </c>
    </row>
    <row r="1244" spans="1:2">
      <c r="A1244" s="1" t="s">
        <v>2195</v>
      </c>
      <c r="B1244" t="s">
        <v>10283</v>
      </c>
    </row>
    <row r="1245" spans="1:2">
      <c r="A1245" s="1" t="s">
        <v>2196</v>
      </c>
      <c r="B1245" t="s">
        <v>10362</v>
      </c>
    </row>
    <row r="1246" spans="1:2">
      <c r="A1246" s="1" t="s">
        <v>2197</v>
      </c>
      <c r="B1246" t="s">
        <v>10305</v>
      </c>
    </row>
    <row r="1247" spans="1:2">
      <c r="A1247" s="1" t="s">
        <v>2198</v>
      </c>
      <c r="B1247" t="s">
        <v>10277</v>
      </c>
    </row>
    <row r="1248" spans="1:2">
      <c r="A1248" s="1" t="s">
        <v>2199</v>
      </c>
      <c r="B1248" t="s">
        <v>10292</v>
      </c>
    </row>
    <row r="1249" spans="1:2">
      <c r="A1249" s="1" t="s">
        <v>2200</v>
      </c>
      <c r="B1249" t="s">
        <v>10281</v>
      </c>
    </row>
    <row r="1250" spans="1:2">
      <c r="A1250" s="1" t="s">
        <v>2201</v>
      </c>
      <c r="B1250" t="s">
        <v>10232</v>
      </c>
    </row>
    <row r="1251" spans="1:2">
      <c r="A1251" s="1" t="s">
        <v>2202</v>
      </c>
      <c r="B1251" t="s">
        <v>10287</v>
      </c>
    </row>
    <row r="1252" spans="1:2">
      <c r="A1252" s="1" t="s">
        <v>2203</v>
      </c>
      <c r="B1252" t="s">
        <v>901</v>
      </c>
    </row>
    <row r="1253" spans="1:2">
      <c r="A1253" s="1" t="s">
        <v>2204</v>
      </c>
      <c r="B1253" t="s">
        <v>10278</v>
      </c>
    </row>
    <row r="1254" spans="1:2">
      <c r="A1254" s="1" t="s">
        <v>2205</v>
      </c>
      <c r="B1254" t="s">
        <v>10378</v>
      </c>
    </row>
    <row r="1255" spans="1:2">
      <c r="A1255" s="1" t="s">
        <v>2206</v>
      </c>
      <c r="B1255" t="s">
        <v>10234</v>
      </c>
    </row>
    <row r="1256" spans="1:2">
      <c r="A1256" s="1" t="s">
        <v>2207</v>
      </c>
      <c r="B1256" t="s">
        <v>10224</v>
      </c>
    </row>
    <row r="1257" spans="1:2">
      <c r="A1257" s="1" t="s">
        <v>2208</v>
      </c>
      <c r="B1257" t="s">
        <v>10368</v>
      </c>
    </row>
    <row r="1258" spans="1:2">
      <c r="A1258" s="1" t="s">
        <v>2209</v>
      </c>
      <c r="B1258" t="s">
        <v>10225</v>
      </c>
    </row>
    <row r="1259" spans="1:2">
      <c r="A1259" s="1" t="s">
        <v>2210</v>
      </c>
      <c r="B1259" t="s">
        <v>10225</v>
      </c>
    </row>
    <row r="1260" spans="1:2">
      <c r="A1260" s="1" t="s">
        <v>2211</v>
      </c>
      <c r="B1260" t="s">
        <v>901</v>
      </c>
    </row>
    <row r="1261" spans="1:2">
      <c r="A1261" s="1" t="s">
        <v>2212</v>
      </c>
      <c r="B1261" t="s">
        <v>10379</v>
      </c>
    </row>
    <row r="1262" spans="1:2">
      <c r="A1262" s="1" t="s">
        <v>2213</v>
      </c>
      <c r="B1262" t="s">
        <v>10242</v>
      </c>
    </row>
    <row r="1263" spans="1:2">
      <c r="A1263" s="1" t="s">
        <v>2214</v>
      </c>
      <c r="B1263" t="s">
        <v>10301</v>
      </c>
    </row>
    <row r="1264" spans="1:2">
      <c r="A1264" s="1" t="s">
        <v>2215</v>
      </c>
      <c r="B1264" t="s">
        <v>10239</v>
      </c>
    </row>
    <row r="1265" spans="1:2">
      <c r="A1265" s="1" t="s">
        <v>825</v>
      </c>
      <c r="B1265" t="s">
        <v>10232</v>
      </c>
    </row>
    <row r="1266" spans="1:2">
      <c r="A1266" s="1" t="s">
        <v>2216</v>
      </c>
      <c r="B1266" t="s">
        <v>10250</v>
      </c>
    </row>
    <row r="1267" spans="1:2">
      <c r="A1267" s="1" t="s">
        <v>2217</v>
      </c>
      <c r="B1267" t="s">
        <v>10277</v>
      </c>
    </row>
    <row r="1268" spans="1:2">
      <c r="A1268" s="1" t="s">
        <v>2218</v>
      </c>
      <c r="B1268" t="s">
        <v>10256</v>
      </c>
    </row>
    <row r="1269" spans="1:2">
      <c r="A1269" s="1" t="s">
        <v>2219</v>
      </c>
      <c r="B1269" t="s">
        <v>10364</v>
      </c>
    </row>
    <row r="1270" spans="1:2">
      <c r="A1270" s="1" t="s">
        <v>2220</v>
      </c>
      <c r="B1270" t="s">
        <v>10380</v>
      </c>
    </row>
    <row r="1271" spans="1:2">
      <c r="A1271" s="1" t="s">
        <v>2221</v>
      </c>
      <c r="B1271" t="s">
        <v>10381</v>
      </c>
    </row>
    <row r="1272" spans="1:2">
      <c r="A1272" s="1" t="s">
        <v>2222</v>
      </c>
      <c r="B1272" t="s">
        <v>10382</v>
      </c>
    </row>
    <row r="1273" spans="1:2">
      <c r="A1273" s="1" t="s">
        <v>2223</v>
      </c>
      <c r="B1273" t="s">
        <v>10287</v>
      </c>
    </row>
    <row r="1274" spans="1:2">
      <c r="A1274" s="1" t="s">
        <v>2224</v>
      </c>
      <c r="B1274" t="s">
        <v>10287</v>
      </c>
    </row>
    <row r="1275" spans="1:2">
      <c r="A1275" s="1" t="s">
        <v>2225</v>
      </c>
      <c r="B1275" t="s">
        <v>10234</v>
      </c>
    </row>
    <row r="1276" spans="1:2">
      <c r="A1276" s="1" t="s">
        <v>2226</v>
      </c>
      <c r="B1276" t="s">
        <v>10242</v>
      </c>
    </row>
    <row r="1277" spans="1:2">
      <c r="A1277" s="1" t="s">
        <v>2227</v>
      </c>
      <c r="B1277" t="s">
        <v>10234</v>
      </c>
    </row>
    <row r="1278" spans="1:2">
      <c r="A1278" s="1" t="s">
        <v>2228</v>
      </c>
      <c r="B1278" t="s">
        <v>10239</v>
      </c>
    </row>
    <row r="1279" spans="1:2">
      <c r="A1279" s="1" t="s">
        <v>2229</v>
      </c>
      <c r="B1279" t="s">
        <v>10277</v>
      </c>
    </row>
    <row r="1280" spans="1:2">
      <c r="A1280" s="1" t="s">
        <v>2230</v>
      </c>
      <c r="B1280" t="s">
        <v>10239</v>
      </c>
    </row>
    <row r="1281" spans="1:2">
      <c r="A1281" s="1" t="s">
        <v>2231</v>
      </c>
      <c r="B1281" t="s">
        <v>10263</v>
      </c>
    </row>
    <row r="1282" spans="1:2">
      <c r="A1282" s="1" t="s">
        <v>2232</v>
      </c>
      <c r="B1282" t="s">
        <v>10239</v>
      </c>
    </row>
    <row r="1283" spans="1:2">
      <c r="A1283" s="1" t="s">
        <v>2233</v>
      </c>
      <c r="B1283" t="s">
        <v>10224</v>
      </c>
    </row>
    <row r="1284" spans="1:2">
      <c r="A1284" s="1" t="s">
        <v>2234</v>
      </c>
      <c r="B1284" t="s">
        <v>10275</v>
      </c>
    </row>
    <row r="1285" spans="1:2">
      <c r="A1285" s="1" t="s">
        <v>2235</v>
      </c>
      <c r="B1285" t="s">
        <v>901</v>
      </c>
    </row>
    <row r="1286" spans="1:2">
      <c r="A1286" s="1" t="s">
        <v>2236</v>
      </c>
      <c r="B1286" t="s">
        <v>10225</v>
      </c>
    </row>
    <row r="1287" spans="1:2">
      <c r="A1287" s="1" t="s">
        <v>2237</v>
      </c>
      <c r="B1287" t="s">
        <v>10303</v>
      </c>
    </row>
    <row r="1288" spans="1:2">
      <c r="A1288" s="1" t="s">
        <v>2238</v>
      </c>
      <c r="B1288" t="s">
        <v>10284</v>
      </c>
    </row>
    <row r="1289" spans="1:2">
      <c r="A1289" s="1" t="s">
        <v>2239</v>
      </c>
      <c r="B1289" t="s">
        <v>10262</v>
      </c>
    </row>
    <row r="1290" spans="1:2">
      <c r="A1290" s="1" t="s">
        <v>2240</v>
      </c>
      <c r="B1290" t="s">
        <v>10277</v>
      </c>
    </row>
    <row r="1291" spans="1:2">
      <c r="A1291" s="1" t="s">
        <v>2241</v>
      </c>
      <c r="B1291" t="s">
        <v>10283</v>
      </c>
    </row>
    <row r="1292" spans="1:2">
      <c r="A1292" s="1" t="s">
        <v>2242</v>
      </c>
      <c r="B1292" t="s">
        <v>10224</v>
      </c>
    </row>
    <row r="1293" spans="1:2">
      <c r="A1293" s="1" t="s">
        <v>2243</v>
      </c>
      <c r="B1293" t="s">
        <v>10383</v>
      </c>
    </row>
    <row r="1294" spans="1:2">
      <c r="A1294" s="1" t="s">
        <v>2244</v>
      </c>
      <c r="B1294" t="s">
        <v>10287</v>
      </c>
    </row>
    <row r="1295" spans="1:2">
      <c r="A1295" s="1" t="s">
        <v>2245</v>
      </c>
      <c r="B1295" t="s">
        <v>10234</v>
      </c>
    </row>
    <row r="1296" spans="1:2">
      <c r="A1296" s="1" t="s">
        <v>2246</v>
      </c>
      <c r="B1296" t="s">
        <v>10239</v>
      </c>
    </row>
    <row r="1297" spans="1:2">
      <c r="A1297" s="1" t="s">
        <v>2247</v>
      </c>
      <c r="B1297" t="s">
        <v>10263</v>
      </c>
    </row>
    <row r="1298" spans="1:2">
      <c r="A1298" s="1" t="s">
        <v>2248</v>
      </c>
      <c r="B1298" t="s">
        <v>10234</v>
      </c>
    </row>
    <row r="1299" spans="1:2">
      <c r="A1299" s="1" t="s">
        <v>2249</v>
      </c>
      <c r="B1299" t="s">
        <v>10241</v>
      </c>
    </row>
    <row r="1300" spans="1:2">
      <c r="A1300" s="1" t="s">
        <v>2250</v>
      </c>
      <c r="B1300" t="s">
        <v>10281</v>
      </c>
    </row>
    <row r="1301" spans="1:2">
      <c r="A1301" s="1" t="s">
        <v>2251</v>
      </c>
      <c r="B1301" t="s">
        <v>10231</v>
      </c>
    </row>
    <row r="1302" spans="1:2">
      <c r="A1302" s="1" t="s">
        <v>2252</v>
      </c>
      <c r="B1302" t="s">
        <v>10287</v>
      </c>
    </row>
    <row r="1303" spans="1:2">
      <c r="A1303" s="1" t="s">
        <v>2253</v>
      </c>
      <c r="B1303" t="s">
        <v>10283</v>
      </c>
    </row>
    <row r="1304" spans="1:2">
      <c r="A1304" s="1" t="s">
        <v>2254</v>
      </c>
      <c r="B1304" t="s">
        <v>10224</v>
      </c>
    </row>
    <row r="1305" spans="1:2">
      <c r="A1305" s="1" t="s">
        <v>2255</v>
      </c>
      <c r="B1305" t="s">
        <v>10239</v>
      </c>
    </row>
    <row r="1306" spans="1:2">
      <c r="A1306" s="1" t="s">
        <v>2256</v>
      </c>
      <c r="B1306" t="s">
        <v>10287</v>
      </c>
    </row>
    <row r="1307" spans="1:2">
      <c r="A1307" s="1" t="s">
        <v>2257</v>
      </c>
      <c r="B1307" t="s">
        <v>10286</v>
      </c>
    </row>
    <row r="1308" spans="1:2">
      <c r="A1308" s="1" t="s">
        <v>2258</v>
      </c>
      <c r="B1308" t="s">
        <v>10277</v>
      </c>
    </row>
    <row r="1309" spans="1:2">
      <c r="A1309" s="1" t="s">
        <v>2259</v>
      </c>
      <c r="B1309" t="s">
        <v>10257</v>
      </c>
    </row>
    <row r="1310" spans="1:2">
      <c r="A1310" s="1" t="s">
        <v>2260</v>
      </c>
      <c r="B1310" t="s">
        <v>10243</v>
      </c>
    </row>
    <row r="1311" spans="1:2">
      <c r="A1311" s="1" t="s">
        <v>2261</v>
      </c>
      <c r="B1311" t="s">
        <v>10313</v>
      </c>
    </row>
    <row r="1312" spans="1:2">
      <c r="A1312" s="1" t="s">
        <v>2262</v>
      </c>
      <c r="B1312" t="s">
        <v>10225</v>
      </c>
    </row>
    <row r="1313" spans="1:2">
      <c r="A1313" s="1" t="s">
        <v>2263</v>
      </c>
      <c r="B1313" t="s">
        <v>10271</v>
      </c>
    </row>
    <row r="1314" spans="1:2">
      <c r="A1314" s="1" t="s">
        <v>2264</v>
      </c>
      <c r="B1314" t="s">
        <v>10286</v>
      </c>
    </row>
    <row r="1315" spans="1:2">
      <c r="A1315" s="1" t="s">
        <v>2265</v>
      </c>
      <c r="B1315" t="s">
        <v>10281</v>
      </c>
    </row>
    <row r="1316" spans="1:2">
      <c r="A1316" s="1" t="s">
        <v>2266</v>
      </c>
      <c r="B1316" t="s">
        <v>10384</v>
      </c>
    </row>
    <row r="1317" spans="1:2">
      <c r="A1317" s="1" t="s">
        <v>2267</v>
      </c>
      <c r="B1317" t="s">
        <v>10316</v>
      </c>
    </row>
    <row r="1318" spans="1:2">
      <c r="A1318" s="1" t="s">
        <v>2268</v>
      </c>
      <c r="B1318" t="s">
        <v>10263</v>
      </c>
    </row>
    <row r="1319" spans="1:2">
      <c r="A1319" s="1" t="s">
        <v>2269</v>
      </c>
      <c r="B1319" t="s">
        <v>10234</v>
      </c>
    </row>
    <row r="1320" spans="1:2">
      <c r="A1320" s="1" t="s">
        <v>2270</v>
      </c>
      <c r="B1320" t="s">
        <v>10239</v>
      </c>
    </row>
    <row r="1321" spans="1:2">
      <c r="A1321" s="1" t="s">
        <v>2271</v>
      </c>
      <c r="B1321" t="s">
        <v>10385</v>
      </c>
    </row>
    <row r="1322" spans="1:2">
      <c r="A1322" s="1" t="s">
        <v>2272</v>
      </c>
      <c r="B1322" t="s">
        <v>10266</v>
      </c>
    </row>
    <row r="1323" spans="1:2">
      <c r="A1323" s="1" t="s">
        <v>2273</v>
      </c>
      <c r="B1323" t="s">
        <v>10366</v>
      </c>
    </row>
    <row r="1324" spans="1:2">
      <c r="A1324" s="1" t="s">
        <v>2274</v>
      </c>
      <c r="B1324" t="s">
        <v>10262</v>
      </c>
    </row>
    <row r="1325" spans="1:2">
      <c r="A1325" s="1" t="s">
        <v>2275</v>
      </c>
      <c r="B1325" t="s">
        <v>10386</v>
      </c>
    </row>
    <row r="1326" spans="1:2">
      <c r="A1326" s="1" t="s">
        <v>2276</v>
      </c>
      <c r="B1326" t="s">
        <v>10229</v>
      </c>
    </row>
    <row r="1327" spans="1:2">
      <c r="A1327" s="1" t="s">
        <v>2277</v>
      </c>
      <c r="B1327" t="s">
        <v>10277</v>
      </c>
    </row>
    <row r="1328" spans="1:2">
      <c r="A1328" s="1" t="s">
        <v>2278</v>
      </c>
      <c r="B1328" t="s">
        <v>10266</v>
      </c>
    </row>
    <row r="1329" spans="1:2">
      <c r="A1329" s="1" t="s">
        <v>2279</v>
      </c>
      <c r="B1329" t="s">
        <v>10311</v>
      </c>
    </row>
    <row r="1330" spans="1:2">
      <c r="A1330" s="1" t="s">
        <v>2280</v>
      </c>
      <c r="B1330" t="s">
        <v>10239</v>
      </c>
    </row>
    <row r="1331" spans="1:2">
      <c r="A1331" s="1" t="s">
        <v>2281</v>
      </c>
      <c r="B1331" t="s">
        <v>10234</v>
      </c>
    </row>
    <row r="1332" spans="1:2">
      <c r="A1332" s="1" t="s">
        <v>2282</v>
      </c>
      <c r="B1332" t="s">
        <v>10387</v>
      </c>
    </row>
    <row r="1333" spans="1:2">
      <c r="A1333" s="1" t="s">
        <v>2283</v>
      </c>
      <c r="B1333" t="s">
        <v>10272</v>
      </c>
    </row>
    <row r="1334" spans="1:2">
      <c r="A1334" s="1" t="s">
        <v>2284</v>
      </c>
      <c r="B1334" t="s">
        <v>10234</v>
      </c>
    </row>
    <row r="1335" spans="1:2">
      <c r="A1335" s="1" t="s">
        <v>2285</v>
      </c>
      <c r="B1335" t="s">
        <v>10262</v>
      </c>
    </row>
    <row r="1336" spans="1:2">
      <c r="A1336" s="1" t="s">
        <v>2286</v>
      </c>
      <c r="B1336" t="s">
        <v>10277</v>
      </c>
    </row>
    <row r="1337" spans="1:2">
      <c r="A1337" s="1" t="s">
        <v>2287</v>
      </c>
      <c r="B1337" t="s">
        <v>10234</v>
      </c>
    </row>
    <row r="1338" spans="1:2">
      <c r="A1338" s="1" t="s">
        <v>741</v>
      </c>
      <c r="B1338" t="s">
        <v>10233</v>
      </c>
    </row>
    <row r="1339" spans="1:2">
      <c r="A1339" s="1" t="s">
        <v>2288</v>
      </c>
      <c r="B1339" t="s">
        <v>10293</v>
      </c>
    </row>
    <row r="1340" spans="1:2">
      <c r="A1340" s="1" t="s">
        <v>2289</v>
      </c>
      <c r="B1340" t="s">
        <v>10239</v>
      </c>
    </row>
    <row r="1341" spans="1:2">
      <c r="A1341" s="1" t="s">
        <v>2290</v>
      </c>
      <c r="B1341" t="s">
        <v>10266</v>
      </c>
    </row>
    <row r="1342" spans="1:2">
      <c r="A1342" s="1" t="s">
        <v>2291</v>
      </c>
      <c r="B1342" t="s">
        <v>10277</v>
      </c>
    </row>
    <row r="1343" spans="1:2">
      <c r="A1343" s="1" t="s">
        <v>2292</v>
      </c>
      <c r="B1343" t="s">
        <v>901</v>
      </c>
    </row>
    <row r="1344" spans="1:2">
      <c r="A1344" s="1" t="s">
        <v>2293</v>
      </c>
      <c r="B1344" t="s">
        <v>10286</v>
      </c>
    </row>
    <row r="1345" spans="1:2">
      <c r="A1345" s="1" t="s">
        <v>783</v>
      </c>
      <c r="B1345" t="s">
        <v>10224</v>
      </c>
    </row>
    <row r="1346" spans="1:2">
      <c r="A1346" s="1" t="s">
        <v>2294</v>
      </c>
      <c r="B1346" t="s">
        <v>10234</v>
      </c>
    </row>
    <row r="1347" spans="1:2">
      <c r="A1347" s="1" t="s">
        <v>2295</v>
      </c>
      <c r="B1347" t="s">
        <v>10234</v>
      </c>
    </row>
    <row r="1348" spans="1:2">
      <c r="A1348" s="1" t="s">
        <v>2296</v>
      </c>
      <c r="B1348" t="s">
        <v>10243</v>
      </c>
    </row>
    <row r="1349" spans="1:2">
      <c r="A1349" s="1" t="s">
        <v>2297</v>
      </c>
      <c r="B1349" t="s">
        <v>10254</v>
      </c>
    </row>
    <row r="1350" spans="1:2">
      <c r="A1350" s="1" t="s">
        <v>2298</v>
      </c>
      <c r="B1350" t="s">
        <v>10287</v>
      </c>
    </row>
    <row r="1351" spans="1:2">
      <c r="A1351" s="1" t="s">
        <v>2299</v>
      </c>
      <c r="B1351" t="s">
        <v>10252</v>
      </c>
    </row>
    <row r="1352" spans="1:2">
      <c r="A1352" s="1" t="s">
        <v>2300</v>
      </c>
      <c r="B1352" t="s">
        <v>10357</v>
      </c>
    </row>
    <row r="1353" spans="1:2">
      <c r="A1353" s="1" t="s">
        <v>2301</v>
      </c>
      <c r="B1353" t="s">
        <v>10239</v>
      </c>
    </row>
    <row r="1354" spans="1:2">
      <c r="A1354" s="1" t="s">
        <v>2302</v>
      </c>
      <c r="B1354" t="s">
        <v>10239</v>
      </c>
    </row>
    <row r="1355" spans="1:2">
      <c r="A1355" s="1" t="s">
        <v>2303</v>
      </c>
      <c r="B1355" t="s">
        <v>10277</v>
      </c>
    </row>
    <row r="1356" spans="1:2">
      <c r="A1356" s="1" t="s">
        <v>2304</v>
      </c>
      <c r="B1356" t="s">
        <v>10371</v>
      </c>
    </row>
    <row r="1357" spans="1:2">
      <c r="A1357" s="1" t="s">
        <v>2305</v>
      </c>
      <c r="B1357" t="s">
        <v>10277</v>
      </c>
    </row>
    <row r="1358" spans="1:2">
      <c r="A1358" s="1" t="s">
        <v>692</v>
      </c>
      <c r="B1358" t="s">
        <v>10309</v>
      </c>
    </row>
    <row r="1359" spans="1:2">
      <c r="A1359" s="1" t="s">
        <v>2306</v>
      </c>
      <c r="B1359" t="s">
        <v>10256</v>
      </c>
    </row>
    <row r="1360" spans="1:2">
      <c r="A1360" s="1" t="s">
        <v>2307</v>
      </c>
      <c r="B1360" t="s">
        <v>10234</v>
      </c>
    </row>
    <row r="1361" spans="1:2">
      <c r="A1361" s="1" t="s">
        <v>2308</v>
      </c>
      <c r="B1361" t="s">
        <v>10277</v>
      </c>
    </row>
    <row r="1362" spans="1:2">
      <c r="A1362" s="1" t="s">
        <v>2309</v>
      </c>
      <c r="B1362" t="s">
        <v>10225</v>
      </c>
    </row>
    <row r="1363" spans="1:2">
      <c r="A1363" s="1" t="s">
        <v>2310</v>
      </c>
      <c r="B1363" t="s">
        <v>901</v>
      </c>
    </row>
    <row r="1364" spans="1:2">
      <c r="A1364" s="1" t="s">
        <v>2311</v>
      </c>
      <c r="B1364" t="s">
        <v>10243</v>
      </c>
    </row>
    <row r="1365" spans="1:2">
      <c r="A1365" s="1" t="s">
        <v>2312</v>
      </c>
      <c r="B1365" t="s">
        <v>10288</v>
      </c>
    </row>
    <row r="1366" spans="1:2">
      <c r="A1366" s="1" t="s">
        <v>2313</v>
      </c>
      <c r="B1366" t="s">
        <v>10388</v>
      </c>
    </row>
    <row r="1367" spans="1:2">
      <c r="A1367" s="1" t="s">
        <v>2314</v>
      </c>
      <c r="B1367" t="s">
        <v>10291</v>
      </c>
    </row>
    <row r="1368" spans="1:2">
      <c r="A1368" s="1" t="s">
        <v>2315</v>
      </c>
      <c r="B1368" t="s">
        <v>10286</v>
      </c>
    </row>
    <row r="1369" spans="1:2">
      <c r="A1369" s="1" t="s">
        <v>2316</v>
      </c>
      <c r="B1369" t="s">
        <v>10256</v>
      </c>
    </row>
    <row r="1370" spans="1:2">
      <c r="A1370" s="1" t="s">
        <v>2317</v>
      </c>
      <c r="B1370" t="s">
        <v>10224</v>
      </c>
    </row>
    <row r="1371" spans="1:2">
      <c r="A1371" s="1" t="s">
        <v>2318</v>
      </c>
      <c r="B1371" t="s">
        <v>10234</v>
      </c>
    </row>
    <row r="1372" spans="1:2">
      <c r="A1372" s="1" t="s">
        <v>2319</v>
      </c>
      <c r="B1372" t="s">
        <v>10389</v>
      </c>
    </row>
    <row r="1373" spans="1:2">
      <c r="A1373" s="1" t="s">
        <v>2320</v>
      </c>
      <c r="B1373" t="s">
        <v>10239</v>
      </c>
    </row>
    <row r="1374" spans="1:2">
      <c r="A1374" s="1" t="s">
        <v>2321</v>
      </c>
      <c r="B1374" t="s">
        <v>10287</v>
      </c>
    </row>
    <row r="1375" spans="1:2">
      <c r="A1375" s="1" t="s">
        <v>2322</v>
      </c>
      <c r="B1375" t="s">
        <v>10222</v>
      </c>
    </row>
    <row r="1376" spans="1:2">
      <c r="A1376" s="1" t="s">
        <v>2323</v>
      </c>
      <c r="B1376" t="s">
        <v>10262</v>
      </c>
    </row>
    <row r="1377" spans="1:2">
      <c r="A1377" s="1" t="s">
        <v>2324</v>
      </c>
      <c r="B1377" t="s">
        <v>10242</v>
      </c>
    </row>
    <row r="1378" spans="1:2">
      <c r="A1378" s="1" t="s">
        <v>2325</v>
      </c>
      <c r="B1378" t="s">
        <v>10262</v>
      </c>
    </row>
    <row r="1379" spans="1:2">
      <c r="A1379" s="1" t="s">
        <v>2326</v>
      </c>
      <c r="B1379" t="s">
        <v>10224</v>
      </c>
    </row>
    <row r="1380" spans="1:2">
      <c r="A1380" s="1" t="s">
        <v>2327</v>
      </c>
      <c r="B1380" t="s">
        <v>10239</v>
      </c>
    </row>
    <row r="1381" spans="1:2">
      <c r="A1381" s="1" t="s">
        <v>2328</v>
      </c>
      <c r="B1381" t="s">
        <v>10390</v>
      </c>
    </row>
    <row r="1382" spans="1:2">
      <c r="A1382" s="1" t="s">
        <v>2329</v>
      </c>
      <c r="B1382" t="s">
        <v>10332</v>
      </c>
    </row>
    <row r="1383" spans="1:2">
      <c r="A1383" s="1" t="s">
        <v>2330</v>
      </c>
      <c r="B1383" t="s">
        <v>10282</v>
      </c>
    </row>
    <row r="1384" spans="1:2">
      <c r="A1384" s="1" t="s">
        <v>216</v>
      </c>
      <c r="B1384" t="s">
        <v>10351</v>
      </c>
    </row>
    <row r="1385" spans="1:2">
      <c r="A1385" s="1" t="s">
        <v>2331</v>
      </c>
      <c r="B1385" t="s">
        <v>10283</v>
      </c>
    </row>
    <row r="1386" spans="1:2">
      <c r="A1386" s="1" t="s">
        <v>2332</v>
      </c>
      <c r="B1386" t="s">
        <v>10240</v>
      </c>
    </row>
    <row r="1387" spans="1:2">
      <c r="A1387" s="1" t="s">
        <v>2333</v>
      </c>
      <c r="B1387" t="s">
        <v>10234</v>
      </c>
    </row>
    <row r="1388" spans="1:2">
      <c r="A1388" s="1" t="s">
        <v>2334</v>
      </c>
      <c r="B1388" t="s">
        <v>10243</v>
      </c>
    </row>
    <row r="1389" spans="1:2">
      <c r="A1389" s="1" t="s">
        <v>2335</v>
      </c>
      <c r="B1389" t="s">
        <v>901</v>
      </c>
    </row>
    <row r="1390" spans="1:2">
      <c r="A1390" s="1" t="s">
        <v>2336</v>
      </c>
      <c r="B1390" t="s">
        <v>10391</v>
      </c>
    </row>
    <row r="1391" spans="1:2">
      <c r="A1391" s="1" t="s">
        <v>2337</v>
      </c>
      <c r="B1391" t="s">
        <v>10303</v>
      </c>
    </row>
    <row r="1392" spans="1:2">
      <c r="A1392" s="1" t="s">
        <v>872</v>
      </c>
      <c r="B1392" t="s">
        <v>10343</v>
      </c>
    </row>
    <row r="1393" spans="1:2">
      <c r="A1393" s="1" t="s">
        <v>2338</v>
      </c>
      <c r="B1393" t="s">
        <v>10234</v>
      </c>
    </row>
    <row r="1394" spans="1:2">
      <c r="A1394" s="1" t="s">
        <v>2339</v>
      </c>
      <c r="B1394" t="s">
        <v>10224</v>
      </c>
    </row>
    <row r="1395" spans="1:2">
      <c r="A1395" s="1" t="s">
        <v>2340</v>
      </c>
      <c r="B1395" t="s">
        <v>10234</v>
      </c>
    </row>
    <row r="1396" spans="1:2">
      <c r="A1396" s="1" t="s">
        <v>2341</v>
      </c>
      <c r="B1396" t="s">
        <v>10225</v>
      </c>
    </row>
    <row r="1397" spans="1:2">
      <c r="A1397" s="1" t="s">
        <v>2342</v>
      </c>
      <c r="B1397" t="s">
        <v>10234</v>
      </c>
    </row>
    <row r="1398" spans="1:2">
      <c r="A1398" s="1" t="s">
        <v>2343</v>
      </c>
      <c r="B1398" t="s">
        <v>10224</v>
      </c>
    </row>
    <row r="1399" spans="1:2">
      <c r="A1399" s="1" t="s">
        <v>2344</v>
      </c>
      <c r="B1399" t="s">
        <v>10242</v>
      </c>
    </row>
    <row r="1400" spans="1:2">
      <c r="A1400" s="1" t="s">
        <v>2345</v>
      </c>
      <c r="B1400" t="s">
        <v>10262</v>
      </c>
    </row>
    <row r="1401" spans="1:2">
      <c r="A1401" s="1" t="s">
        <v>2346</v>
      </c>
      <c r="B1401" t="s">
        <v>10263</v>
      </c>
    </row>
    <row r="1402" spans="1:2">
      <c r="A1402" s="1" t="s">
        <v>2347</v>
      </c>
      <c r="B1402" t="s">
        <v>10229</v>
      </c>
    </row>
    <row r="1403" spans="1:2">
      <c r="A1403" s="1" t="s">
        <v>2348</v>
      </c>
      <c r="B1403" t="s">
        <v>10234</v>
      </c>
    </row>
    <row r="1404" spans="1:2">
      <c r="A1404" s="1" t="s">
        <v>2349</v>
      </c>
      <c r="B1404" t="s">
        <v>10350</v>
      </c>
    </row>
    <row r="1405" spans="1:2">
      <c r="A1405" s="1" t="s">
        <v>2350</v>
      </c>
      <c r="B1405" t="s">
        <v>10240</v>
      </c>
    </row>
    <row r="1406" spans="1:2">
      <c r="A1406" s="1" t="s">
        <v>2351</v>
      </c>
      <c r="B1406" t="s">
        <v>10388</v>
      </c>
    </row>
    <row r="1407" spans="1:2">
      <c r="A1407" s="1" t="s">
        <v>2352</v>
      </c>
      <c r="B1407" t="s">
        <v>10228</v>
      </c>
    </row>
    <row r="1408" spans="1:2">
      <c r="A1408" s="1" t="s">
        <v>809</v>
      </c>
      <c r="B1408" t="s">
        <v>10326</v>
      </c>
    </row>
    <row r="1409" spans="1:2">
      <c r="A1409" s="1" t="s">
        <v>2353</v>
      </c>
      <c r="B1409" t="s">
        <v>10263</v>
      </c>
    </row>
    <row r="1410" spans="1:2">
      <c r="A1410" s="1" t="s">
        <v>2354</v>
      </c>
      <c r="B1410" t="s">
        <v>10239</v>
      </c>
    </row>
    <row r="1411" spans="1:2">
      <c r="A1411" s="1" t="s">
        <v>643</v>
      </c>
      <c r="B1411" t="s">
        <v>10239</v>
      </c>
    </row>
    <row r="1412" spans="1:2">
      <c r="A1412" s="1" t="s">
        <v>2355</v>
      </c>
      <c r="B1412" t="s">
        <v>10234</v>
      </c>
    </row>
    <row r="1413" spans="1:2">
      <c r="A1413" s="1" t="s">
        <v>770</v>
      </c>
      <c r="B1413" t="s">
        <v>10274</v>
      </c>
    </row>
    <row r="1414" spans="1:2">
      <c r="A1414" s="1" t="s">
        <v>2356</v>
      </c>
      <c r="B1414" t="s">
        <v>10281</v>
      </c>
    </row>
    <row r="1415" spans="1:2">
      <c r="A1415" s="1" t="s">
        <v>2357</v>
      </c>
      <c r="B1415" t="s">
        <v>10241</v>
      </c>
    </row>
    <row r="1416" spans="1:2">
      <c r="A1416" s="1" t="s">
        <v>2358</v>
      </c>
      <c r="B1416" t="s">
        <v>10262</v>
      </c>
    </row>
    <row r="1417" spans="1:2">
      <c r="A1417" s="1" t="s">
        <v>784</v>
      </c>
      <c r="B1417" t="s">
        <v>10233</v>
      </c>
    </row>
    <row r="1418" spans="1:2">
      <c r="A1418" s="1" t="s">
        <v>2359</v>
      </c>
      <c r="B1418" t="s">
        <v>10229</v>
      </c>
    </row>
    <row r="1419" spans="1:2">
      <c r="A1419" s="1" t="s">
        <v>2360</v>
      </c>
      <c r="B1419" t="s">
        <v>901</v>
      </c>
    </row>
    <row r="1420" spans="1:2">
      <c r="A1420" s="1" t="s">
        <v>2361</v>
      </c>
      <c r="B1420" t="s">
        <v>10392</v>
      </c>
    </row>
    <row r="1421" spans="1:2">
      <c r="A1421" s="1" t="s">
        <v>2362</v>
      </c>
      <c r="B1421" t="s">
        <v>10277</v>
      </c>
    </row>
    <row r="1422" spans="1:2">
      <c r="A1422" s="1" t="s">
        <v>2363</v>
      </c>
      <c r="B1422" t="s">
        <v>10366</v>
      </c>
    </row>
    <row r="1423" spans="1:2">
      <c r="A1423" s="1" t="s">
        <v>2364</v>
      </c>
      <c r="B1423" t="s">
        <v>10351</v>
      </c>
    </row>
    <row r="1424" spans="1:2">
      <c r="A1424" s="1" t="s">
        <v>2365</v>
      </c>
      <c r="B1424" t="s">
        <v>10234</v>
      </c>
    </row>
    <row r="1425" spans="1:2">
      <c r="A1425" s="1" t="s">
        <v>2366</v>
      </c>
      <c r="B1425" t="s">
        <v>10279</v>
      </c>
    </row>
    <row r="1426" spans="1:2">
      <c r="A1426" s="1" t="s">
        <v>2367</v>
      </c>
      <c r="B1426" t="s">
        <v>10277</v>
      </c>
    </row>
    <row r="1427" spans="1:2">
      <c r="A1427" s="1" t="s">
        <v>2368</v>
      </c>
      <c r="B1427" t="s">
        <v>10387</v>
      </c>
    </row>
    <row r="1428" spans="1:2">
      <c r="A1428" s="1" t="s">
        <v>2369</v>
      </c>
      <c r="B1428" t="s">
        <v>10234</v>
      </c>
    </row>
    <row r="1429" spans="1:2">
      <c r="A1429" s="1" t="s">
        <v>2370</v>
      </c>
      <c r="B1429" t="s">
        <v>10240</v>
      </c>
    </row>
    <row r="1430" spans="1:2">
      <c r="A1430" s="1" t="s">
        <v>2371</v>
      </c>
      <c r="B1430" t="s">
        <v>10281</v>
      </c>
    </row>
    <row r="1431" spans="1:2">
      <c r="A1431" s="1" t="s">
        <v>2372</v>
      </c>
      <c r="B1431" t="s">
        <v>10239</v>
      </c>
    </row>
    <row r="1432" spans="1:2">
      <c r="A1432" s="1" t="s">
        <v>2373</v>
      </c>
      <c r="B1432" t="s">
        <v>10231</v>
      </c>
    </row>
    <row r="1433" spans="1:2">
      <c r="A1433" s="1" t="s">
        <v>2374</v>
      </c>
      <c r="B1433" t="s">
        <v>10234</v>
      </c>
    </row>
    <row r="1434" spans="1:2">
      <c r="A1434" s="1" t="s">
        <v>2375</v>
      </c>
      <c r="B1434" t="s">
        <v>10276</v>
      </c>
    </row>
    <row r="1435" spans="1:2">
      <c r="A1435" s="1" t="s">
        <v>2376</v>
      </c>
      <c r="B1435" t="s">
        <v>10243</v>
      </c>
    </row>
    <row r="1436" spans="1:2">
      <c r="A1436" s="1" t="s">
        <v>2377</v>
      </c>
      <c r="B1436" t="s">
        <v>10336</v>
      </c>
    </row>
    <row r="1437" spans="1:2">
      <c r="A1437" s="1" t="s">
        <v>2378</v>
      </c>
      <c r="B1437" t="s">
        <v>10243</v>
      </c>
    </row>
    <row r="1438" spans="1:2">
      <c r="A1438" s="1" t="s">
        <v>2379</v>
      </c>
      <c r="B1438" t="s">
        <v>10287</v>
      </c>
    </row>
    <row r="1439" spans="1:2">
      <c r="A1439" s="1" t="s">
        <v>2380</v>
      </c>
      <c r="B1439" t="s">
        <v>10393</v>
      </c>
    </row>
    <row r="1440" spans="1:2">
      <c r="A1440" s="1" t="s">
        <v>2381</v>
      </c>
      <c r="B1440" t="s">
        <v>10263</v>
      </c>
    </row>
    <row r="1441" spans="1:2">
      <c r="A1441" s="1" t="s">
        <v>2382</v>
      </c>
      <c r="B1441" t="s">
        <v>10242</v>
      </c>
    </row>
    <row r="1442" spans="1:2">
      <c r="A1442" s="1" t="s">
        <v>2383</v>
      </c>
      <c r="B1442" t="s">
        <v>10266</v>
      </c>
    </row>
    <row r="1443" spans="1:2">
      <c r="A1443" s="1" t="s">
        <v>2384</v>
      </c>
      <c r="B1443" t="s">
        <v>10319</v>
      </c>
    </row>
    <row r="1444" spans="1:2">
      <c r="A1444" s="1" t="s">
        <v>2385</v>
      </c>
      <c r="B1444" t="s">
        <v>10292</v>
      </c>
    </row>
    <row r="1445" spans="1:2">
      <c r="A1445" s="1" t="s">
        <v>2386</v>
      </c>
      <c r="B1445" t="s">
        <v>10277</v>
      </c>
    </row>
    <row r="1446" spans="1:2">
      <c r="A1446" s="1" t="s">
        <v>2387</v>
      </c>
      <c r="B1446" t="s">
        <v>10239</v>
      </c>
    </row>
    <row r="1447" spans="1:2">
      <c r="A1447" s="1" t="s">
        <v>2388</v>
      </c>
      <c r="B1447" t="s">
        <v>10394</v>
      </c>
    </row>
    <row r="1448" spans="1:2">
      <c r="A1448" s="1" t="s">
        <v>2389</v>
      </c>
      <c r="B1448" t="s">
        <v>10234</v>
      </c>
    </row>
    <row r="1449" spans="1:2">
      <c r="A1449" s="1" t="s">
        <v>2390</v>
      </c>
      <c r="B1449" t="s">
        <v>10277</v>
      </c>
    </row>
    <row r="1450" spans="1:2">
      <c r="A1450" s="1" t="s">
        <v>2391</v>
      </c>
      <c r="B1450" t="s">
        <v>10372</v>
      </c>
    </row>
    <row r="1451" spans="1:2">
      <c r="A1451" s="1" t="s">
        <v>2392</v>
      </c>
      <c r="B1451" t="s">
        <v>10258</v>
      </c>
    </row>
    <row r="1452" spans="1:2">
      <c r="A1452" s="1" t="s">
        <v>2393</v>
      </c>
      <c r="B1452" t="s">
        <v>10258</v>
      </c>
    </row>
    <row r="1453" spans="1:2">
      <c r="A1453" s="1" t="s">
        <v>2394</v>
      </c>
      <c r="B1453" t="s">
        <v>10312</v>
      </c>
    </row>
    <row r="1454" spans="1:2">
      <c r="A1454" s="1" t="s">
        <v>2395</v>
      </c>
      <c r="B1454" t="s">
        <v>10227</v>
      </c>
    </row>
    <row r="1455" spans="1:2">
      <c r="A1455" s="1" t="s">
        <v>2396</v>
      </c>
      <c r="B1455" t="s">
        <v>10322</v>
      </c>
    </row>
    <row r="1456" spans="1:2">
      <c r="A1456" s="1" t="s">
        <v>2397</v>
      </c>
      <c r="B1456" t="s">
        <v>10287</v>
      </c>
    </row>
    <row r="1457" spans="1:2">
      <c r="A1457" s="1" t="s">
        <v>2398</v>
      </c>
      <c r="B1457" t="s">
        <v>10395</v>
      </c>
    </row>
    <row r="1458" spans="1:2">
      <c r="A1458" s="1" t="s">
        <v>2399</v>
      </c>
      <c r="B1458" t="s">
        <v>10283</v>
      </c>
    </row>
    <row r="1459" spans="1:2">
      <c r="A1459" s="1" t="s">
        <v>2400</v>
      </c>
      <c r="B1459" t="s">
        <v>10243</v>
      </c>
    </row>
    <row r="1460" spans="1:2">
      <c r="A1460" s="1" t="s">
        <v>2401</v>
      </c>
      <c r="B1460" t="s">
        <v>10280</v>
      </c>
    </row>
    <row r="1461" spans="1:2">
      <c r="A1461" s="1" t="s">
        <v>2402</v>
      </c>
      <c r="B1461" t="s">
        <v>10376</v>
      </c>
    </row>
    <row r="1462" spans="1:2">
      <c r="A1462" s="1" t="s">
        <v>2403</v>
      </c>
      <c r="B1462" t="s">
        <v>10396</v>
      </c>
    </row>
    <row r="1463" spans="1:2">
      <c r="A1463" s="1" t="s">
        <v>2404</v>
      </c>
      <c r="B1463" t="s">
        <v>10283</v>
      </c>
    </row>
    <row r="1464" spans="1:2">
      <c r="A1464" s="1" t="s">
        <v>2405</v>
      </c>
      <c r="B1464" t="s">
        <v>10277</v>
      </c>
    </row>
    <row r="1465" spans="1:2">
      <c r="A1465" s="1" t="s">
        <v>598</v>
      </c>
      <c r="B1465" t="s">
        <v>10240</v>
      </c>
    </row>
    <row r="1466" spans="1:2">
      <c r="A1466" s="1" t="s">
        <v>2406</v>
      </c>
      <c r="B1466" t="s">
        <v>10234</v>
      </c>
    </row>
    <row r="1467" spans="1:2">
      <c r="A1467" s="1" t="s">
        <v>2407</v>
      </c>
      <c r="B1467" t="s">
        <v>901</v>
      </c>
    </row>
    <row r="1468" spans="1:2">
      <c r="A1468" s="1" t="s">
        <v>2408</v>
      </c>
      <c r="B1468" t="s">
        <v>10366</v>
      </c>
    </row>
    <row r="1469" spans="1:2">
      <c r="A1469" s="1" t="s">
        <v>2409</v>
      </c>
      <c r="B1469" t="s">
        <v>10254</v>
      </c>
    </row>
    <row r="1470" spans="1:2">
      <c r="A1470" s="1" t="s">
        <v>2410</v>
      </c>
      <c r="B1470" t="s">
        <v>10277</v>
      </c>
    </row>
    <row r="1471" spans="1:2">
      <c r="A1471" s="1" t="s">
        <v>2411</v>
      </c>
      <c r="B1471" t="s">
        <v>10303</v>
      </c>
    </row>
    <row r="1472" spans="1:2">
      <c r="A1472" s="1" t="s">
        <v>2412</v>
      </c>
      <c r="B1472" t="s">
        <v>10262</v>
      </c>
    </row>
    <row r="1473" spans="1:2">
      <c r="A1473" s="1" t="s">
        <v>2413</v>
      </c>
      <c r="B1473" t="s">
        <v>10239</v>
      </c>
    </row>
    <row r="1474" spans="1:2">
      <c r="A1474" s="1" t="s">
        <v>2414</v>
      </c>
      <c r="B1474" t="s">
        <v>10302</v>
      </c>
    </row>
    <row r="1475" spans="1:2">
      <c r="A1475" s="1" t="s">
        <v>2415</v>
      </c>
      <c r="B1475" t="s">
        <v>10302</v>
      </c>
    </row>
    <row r="1476" spans="1:2">
      <c r="A1476" s="1" t="s">
        <v>2416</v>
      </c>
      <c r="B1476" t="s">
        <v>10397</v>
      </c>
    </row>
    <row r="1477" spans="1:2">
      <c r="A1477" s="1" t="s">
        <v>2417</v>
      </c>
      <c r="B1477" t="s">
        <v>10240</v>
      </c>
    </row>
    <row r="1478" spans="1:2">
      <c r="A1478" s="1" t="s">
        <v>2418</v>
      </c>
      <c r="B1478" t="s">
        <v>10230</v>
      </c>
    </row>
    <row r="1479" spans="1:2">
      <c r="A1479" s="1" t="s">
        <v>2419</v>
      </c>
      <c r="B1479" t="s">
        <v>10322</v>
      </c>
    </row>
    <row r="1480" spans="1:2">
      <c r="A1480" s="1" t="s">
        <v>2420</v>
      </c>
      <c r="B1480" t="s">
        <v>10398</v>
      </c>
    </row>
    <row r="1481" spans="1:2">
      <c r="A1481" s="1" t="s">
        <v>2421</v>
      </c>
      <c r="B1481" t="s">
        <v>10234</v>
      </c>
    </row>
    <row r="1482" spans="1:2">
      <c r="A1482" s="1" t="s">
        <v>2422</v>
      </c>
      <c r="B1482" t="s">
        <v>10258</v>
      </c>
    </row>
    <row r="1483" spans="1:2">
      <c r="A1483" s="1" t="s">
        <v>2423</v>
      </c>
      <c r="B1483" t="s">
        <v>10228</v>
      </c>
    </row>
    <row r="1484" spans="1:2">
      <c r="A1484" s="1" t="s">
        <v>2424</v>
      </c>
      <c r="B1484" t="s">
        <v>10252</v>
      </c>
    </row>
    <row r="1485" spans="1:2">
      <c r="A1485" s="1" t="s">
        <v>2425</v>
      </c>
      <c r="B1485" t="s">
        <v>10230</v>
      </c>
    </row>
    <row r="1486" spans="1:2">
      <c r="A1486" s="1" t="s">
        <v>2426</v>
      </c>
      <c r="B1486" t="s">
        <v>10263</v>
      </c>
    </row>
    <row r="1487" spans="1:2">
      <c r="A1487" s="1" t="s">
        <v>2427</v>
      </c>
      <c r="B1487" t="s">
        <v>10239</v>
      </c>
    </row>
    <row r="1488" spans="1:2">
      <c r="A1488" s="1" t="s">
        <v>2428</v>
      </c>
      <c r="B1488" t="s">
        <v>10225</v>
      </c>
    </row>
    <row r="1489" spans="1:2">
      <c r="A1489" s="1" t="s">
        <v>2429</v>
      </c>
      <c r="B1489" t="s">
        <v>10243</v>
      </c>
    </row>
    <row r="1490" spans="1:2">
      <c r="A1490" s="1" t="s">
        <v>2430</v>
      </c>
      <c r="B1490" t="s">
        <v>10239</v>
      </c>
    </row>
    <row r="1491" spans="1:2">
      <c r="A1491" s="1" t="s">
        <v>2431</v>
      </c>
      <c r="B1491" t="s">
        <v>10322</v>
      </c>
    </row>
    <row r="1492" spans="1:2">
      <c r="A1492" s="1" t="s">
        <v>2432</v>
      </c>
      <c r="B1492" t="s">
        <v>10239</v>
      </c>
    </row>
    <row r="1493" spans="1:2">
      <c r="A1493" s="1" t="s">
        <v>2433</v>
      </c>
      <c r="B1493" t="s">
        <v>10234</v>
      </c>
    </row>
    <row r="1494" spans="1:2">
      <c r="A1494" s="1" t="s">
        <v>2434</v>
      </c>
      <c r="B1494" t="s">
        <v>10343</v>
      </c>
    </row>
    <row r="1495" spans="1:2">
      <c r="A1495" s="1" t="s">
        <v>2435</v>
      </c>
      <c r="B1495" t="s">
        <v>10366</v>
      </c>
    </row>
    <row r="1496" spans="1:2">
      <c r="A1496" s="1" t="s">
        <v>2436</v>
      </c>
      <c r="B1496" t="s">
        <v>10323</v>
      </c>
    </row>
    <row r="1497" spans="1:2">
      <c r="A1497" s="1" t="s">
        <v>2437</v>
      </c>
      <c r="B1497" t="s">
        <v>10228</v>
      </c>
    </row>
    <row r="1498" spans="1:2">
      <c r="A1498" s="1" t="s">
        <v>2438</v>
      </c>
      <c r="B1498" t="s">
        <v>10387</v>
      </c>
    </row>
    <row r="1499" spans="1:2">
      <c r="A1499" s="1" t="s">
        <v>821</v>
      </c>
      <c r="B1499" t="s">
        <v>10234</v>
      </c>
    </row>
    <row r="1500" spans="1:2">
      <c r="A1500" s="1" t="s">
        <v>2439</v>
      </c>
      <c r="B1500" t="s">
        <v>901</v>
      </c>
    </row>
    <row r="1501" spans="1:2">
      <c r="A1501" s="1" t="s">
        <v>238</v>
      </c>
      <c r="B1501" t="s">
        <v>10234</v>
      </c>
    </row>
    <row r="1502" spans="1:2">
      <c r="A1502" s="1" t="s">
        <v>873</v>
      </c>
      <c r="B1502" t="s">
        <v>10313</v>
      </c>
    </row>
    <row r="1503" spans="1:2">
      <c r="A1503" s="1" t="s">
        <v>2440</v>
      </c>
      <c r="B1503" t="s">
        <v>10301</v>
      </c>
    </row>
    <row r="1504" spans="1:2">
      <c r="A1504" s="1" t="s">
        <v>2441</v>
      </c>
      <c r="B1504" t="s">
        <v>10290</v>
      </c>
    </row>
    <row r="1505" spans="1:2">
      <c r="A1505" s="1" t="s">
        <v>2442</v>
      </c>
      <c r="B1505" t="s">
        <v>10399</v>
      </c>
    </row>
    <row r="1506" spans="1:2">
      <c r="A1506" s="1" t="s">
        <v>2443</v>
      </c>
      <c r="B1506" t="s">
        <v>10266</v>
      </c>
    </row>
    <row r="1507" spans="1:2">
      <c r="A1507" s="1" t="s">
        <v>487</v>
      </c>
      <c r="B1507" t="s">
        <v>10400</v>
      </c>
    </row>
    <row r="1508" spans="1:2">
      <c r="A1508" s="1" t="s">
        <v>2444</v>
      </c>
      <c r="B1508" t="s">
        <v>10306</v>
      </c>
    </row>
    <row r="1509" spans="1:2">
      <c r="A1509" s="1" t="s">
        <v>2445</v>
      </c>
      <c r="B1509" t="s">
        <v>10332</v>
      </c>
    </row>
    <row r="1510" spans="1:2">
      <c r="A1510" s="1" t="s">
        <v>2446</v>
      </c>
      <c r="B1510" t="s">
        <v>10287</v>
      </c>
    </row>
    <row r="1511" spans="1:2">
      <c r="A1511" s="1" t="s">
        <v>2447</v>
      </c>
      <c r="B1511" t="s">
        <v>10401</v>
      </c>
    </row>
    <row r="1512" spans="1:2">
      <c r="A1512" s="1" t="s">
        <v>2448</v>
      </c>
      <c r="B1512" t="s">
        <v>10224</v>
      </c>
    </row>
    <row r="1513" spans="1:2">
      <c r="A1513" s="1" t="s">
        <v>2449</v>
      </c>
      <c r="B1513" t="s">
        <v>10290</v>
      </c>
    </row>
    <row r="1514" spans="1:2">
      <c r="A1514" s="1" t="s">
        <v>2450</v>
      </c>
      <c r="B1514" t="s">
        <v>10277</v>
      </c>
    </row>
    <row r="1515" spans="1:2">
      <c r="A1515" s="1" t="s">
        <v>2451</v>
      </c>
      <c r="B1515" t="s">
        <v>10402</v>
      </c>
    </row>
    <row r="1516" spans="1:2">
      <c r="A1516" s="1" t="s">
        <v>2452</v>
      </c>
      <c r="B1516" t="s">
        <v>901</v>
      </c>
    </row>
    <row r="1517" spans="1:2">
      <c r="A1517" s="1" t="s">
        <v>2453</v>
      </c>
      <c r="B1517" t="s">
        <v>10234</v>
      </c>
    </row>
    <row r="1518" spans="1:2">
      <c r="A1518" s="1" t="s">
        <v>462</v>
      </c>
      <c r="B1518" t="s">
        <v>10278</v>
      </c>
    </row>
    <row r="1519" spans="1:2">
      <c r="A1519" s="1" t="s">
        <v>2454</v>
      </c>
      <c r="B1519" t="s">
        <v>10234</v>
      </c>
    </row>
    <row r="1520" spans="1:2">
      <c r="A1520" s="1" t="s">
        <v>2455</v>
      </c>
      <c r="B1520" t="s">
        <v>10305</v>
      </c>
    </row>
    <row r="1521" spans="1:2">
      <c r="A1521" s="1" t="s">
        <v>2456</v>
      </c>
      <c r="B1521" t="s">
        <v>10266</v>
      </c>
    </row>
    <row r="1522" spans="1:2">
      <c r="A1522" s="1" t="s">
        <v>871</v>
      </c>
      <c r="B1522" t="s">
        <v>10277</v>
      </c>
    </row>
    <row r="1523" spans="1:2">
      <c r="A1523" s="1" t="s">
        <v>2457</v>
      </c>
      <c r="B1523" t="s">
        <v>10286</v>
      </c>
    </row>
    <row r="1524" spans="1:2">
      <c r="A1524" s="1" t="s">
        <v>2458</v>
      </c>
      <c r="B1524" t="s">
        <v>10287</v>
      </c>
    </row>
    <row r="1525" spans="1:2">
      <c r="A1525" s="1" t="s">
        <v>2459</v>
      </c>
      <c r="B1525" t="s">
        <v>901</v>
      </c>
    </row>
    <row r="1526" spans="1:2">
      <c r="A1526" s="1" t="s">
        <v>2460</v>
      </c>
      <c r="B1526" t="s">
        <v>10366</v>
      </c>
    </row>
    <row r="1527" spans="1:2">
      <c r="A1527" s="1" t="s">
        <v>2461</v>
      </c>
      <c r="B1527" t="s">
        <v>10403</v>
      </c>
    </row>
    <row r="1528" spans="1:2">
      <c r="A1528" s="1" t="s">
        <v>2462</v>
      </c>
      <c r="B1528" t="s">
        <v>10242</v>
      </c>
    </row>
    <row r="1529" spans="1:2">
      <c r="A1529" s="1" t="s">
        <v>2463</v>
      </c>
      <c r="B1529" t="s">
        <v>10263</v>
      </c>
    </row>
    <row r="1530" spans="1:2">
      <c r="A1530" s="1" t="s">
        <v>90</v>
      </c>
      <c r="B1530" t="s">
        <v>10258</v>
      </c>
    </row>
    <row r="1531" spans="1:2">
      <c r="A1531" s="1" t="s">
        <v>2464</v>
      </c>
      <c r="B1531" t="s">
        <v>10404</v>
      </c>
    </row>
    <row r="1532" spans="1:2">
      <c r="A1532" s="1" t="s">
        <v>2465</v>
      </c>
      <c r="B1532" t="s">
        <v>10357</v>
      </c>
    </row>
    <row r="1533" spans="1:2">
      <c r="A1533" s="1" t="s">
        <v>2466</v>
      </c>
      <c r="B1533" t="s">
        <v>901</v>
      </c>
    </row>
    <row r="1534" spans="1:2">
      <c r="A1534" s="1" t="s">
        <v>396</v>
      </c>
      <c r="B1534" t="s">
        <v>10282</v>
      </c>
    </row>
    <row r="1535" spans="1:2">
      <c r="A1535" s="1" t="s">
        <v>2467</v>
      </c>
      <c r="B1535" t="s">
        <v>901</v>
      </c>
    </row>
    <row r="1536" spans="1:2">
      <c r="A1536" s="1" t="s">
        <v>2468</v>
      </c>
      <c r="B1536" t="s">
        <v>10224</v>
      </c>
    </row>
    <row r="1537" spans="1:2">
      <c r="A1537" s="1" t="s">
        <v>724</v>
      </c>
      <c r="B1537" t="s">
        <v>10277</v>
      </c>
    </row>
    <row r="1538" spans="1:2">
      <c r="A1538" s="1" t="s">
        <v>2469</v>
      </c>
      <c r="B1538" t="s">
        <v>10242</v>
      </c>
    </row>
    <row r="1539" spans="1:2">
      <c r="A1539" s="1" t="s">
        <v>2470</v>
      </c>
      <c r="B1539" t="s">
        <v>10404</v>
      </c>
    </row>
    <row r="1540" spans="1:2">
      <c r="A1540" s="1" t="s">
        <v>445</v>
      </c>
      <c r="B1540" t="s">
        <v>10277</v>
      </c>
    </row>
    <row r="1541" spans="1:2">
      <c r="A1541" s="1" t="s">
        <v>2471</v>
      </c>
      <c r="B1541" t="s">
        <v>10319</v>
      </c>
    </row>
    <row r="1542" spans="1:2">
      <c r="A1542" s="1" t="s">
        <v>2472</v>
      </c>
      <c r="B1542" t="s">
        <v>10239</v>
      </c>
    </row>
    <row r="1543" spans="1:2">
      <c r="A1543" s="1" t="s">
        <v>206</v>
      </c>
      <c r="B1543" t="s">
        <v>10258</v>
      </c>
    </row>
    <row r="1544" spans="1:2">
      <c r="A1544" s="1" t="s">
        <v>883</v>
      </c>
      <c r="B1544" t="s">
        <v>10252</v>
      </c>
    </row>
    <row r="1545" spans="1:2">
      <c r="A1545" s="1" t="s">
        <v>2473</v>
      </c>
      <c r="B1545" t="s">
        <v>10239</v>
      </c>
    </row>
    <row r="1546" spans="1:2">
      <c r="A1546" s="1" t="s">
        <v>2474</v>
      </c>
      <c r="B1546" t="s">
        <v>10399</v>
      </c>
    </row>
    <row r="1547" spans="1:2">
      <c r="A1547" s="1" t="s">
        <v>2475</v>
      </c>
      <c r="B1547" t="s">
        <v>10224</v>
      </c>
    </row>
    <row r="1548" spans="1:2">
      <c r="A1548" s="1" t="s">
        <v>2476</v>
      </c>
      <c r="B1548" t="s">
        <v>10287</v>
      </c>
    </row>
    <row r="1549" spans="1:2">
      <c r="A1549" s="1" t="s">
        <v>2477</v>
      </c>
      <c r="B1549" t="s">
        <v>10266</v>
      </c>
    </row>
    <row r="1550" spans="1:2">
      <c r="A1550" s="1" t="s">
        <v>2478</v>
      </c>
      <c r="B1550" t="s">
        <v>10319</v>
      </c>
    </row>
    <row r="1551" spans="1:2">
      <c r="A1551" s="1" t="s">
        <v>2479</v>
      </c>
      <c r="B1551" t="s">
        <v>10234</v>
      </c>
    </row>
    <row r="1552" spans="1:2">
      <c r="A1552" s="1" t="s">
        <v>2480</v>
      </c>
      <c r="B1552" t="s">
        <v>10405</v>
      </c>
    </row>
    <row r="1553" spans="1:2">
      <c r="A1553" s="1" t="s">
        <v>2481</v>
      </c>
      <c r="B1553" t="s">
        <v>10406</v>
      </c>
    </row>
    <row r="1554" spans="1:2">
      <c r="A1554" s="1" t="s">
        <v>2482</v>
      </c>
      <c r="B1554" t="s">
        <v>10407</v>
      </c>
    </row>
    <row r="1555" spans="1:2">
      <c r="A1555" s="1" t="s">
        <v>2483</v>
      </c>
      <c r="B1555" t="s">
        <v>10272</v>
      </c>
    </row>
    <row r="1556" spans="1:2">
      <c r="A1556" s="1" t="s">
        <v>2484</v>
      </c>
      <c r="B1556" t="s">
        <v>10243</v>
      </c>
    </row>
    <row r="1557" spans="1:2">
      <c r="A1557" s="1" t="s">
        <v>2485</v>
      </c>
      <c r="B1557" t="s">
        <v>10262</v>
      </c>
    </row>
    <row r="1558" spans="1:2">
      <c r="A1558" s="1" t="s">
        <v>2486</v>
      </c>
      <c r="B1558" t="s">
        <v>10290</v>
      </c>
    </row>
    <row r="1559" spans="1:2">
      <c r="A1559" s="1" t="s">
        <v>2487</v>
      </c>
      <c r="B1559" t="s">
        <v>10239</v>
      </c>
    </row>
    <row r="1560" spans="1:2">
      <c r="A1560" s="1" t="s">
        <v>2488</v>
      </c>
      <c r="B1560" t="s">
        <v>10408</v>
      </c>
    </row>
    <row r="1561" spans="1:2">
      <c r="A1561" s="1" t="s">
        <v>2489</v>
      </c>
      <c r="B1561" t="s">
        <v>10265</v>
      </c>
    </row>
    <row r="1562" spans="1:2">
      <c r="A1562" s="1" t="s">
        <v>2490</v>
      </c>
      <c r="B1562" t="s">
        <v>10377</v>
      </c>
    </row>
    <row r="1563" spans="1:2">
      <c r="A1563" s="1" t="s">
        <v>876</v>
      </c>
      <c r="B1563" t="s">
        <v>10324</v>
      </c>
    </row>
    <row r="1564" spans="1:2">
      <c r="A1564" s="1" t="s">
        <v>2491</v>
      </c>
      <c r="B1564" t="s">
        <v>10366</v>
      </c>
    </row>
    <row r="1565" spans="1:2">
      <c r="A1565" s="1" t="s">
        <v>2492</v>
      </c>
      <c r="B1565" t="s">
        <v>10239</v>
      </c>
    </row>
    <row r="1566" spans="1:2">
      <c r="A1566" s="1" t="s">
        <v>2493</v>
      </c>
      <c r="B1566" t="s">
        <v>10287</v>
      </c>
    </row>
    <row r="1567" spans="1:2">
      <c r="A1567" s="1" t="s">
        <v>2494</v>
      </c>
      <c r="B1567" t="s">
        <v>10266</v>
      </c>
    </row>
    <row r="1568" spans="1:2">
      <c r="A1568" s="1" t="s">
        <v>2495</v>
      </c>
      <c r="B1568" t="s">
        <v>10277</v>
      </c>
    </row>
    <row r="1569" spans="1:2">
      <c r="A1569" s="1" t="s">
        <v>2496</v>
      </c>
      <c r="B1569" t="s">
        <v>10234</v>
      </c>
    </row>
    <row r="1570" spans="1:2">
      <c r="A1570" s="1" t="s">
        <v>2497</v>
      </c>
      <c r="B1570" t="s">
        <v>10305</v>
      </c>
    </row>
    <row r="1571" spans="1:2">
      <c r="A1571" s="1" t="s">
        <v>2498</v>
      </c>
      <c r="B1571" t="s">
        <v>10239</v>
      </c>
    </row>
    <row r="1572" spans="1:2">
      <c r="A1572" s="1" t="s">
        <v>596</v>
      </c>
      <c r="B1572" t="s">
        <v>10250</v>
      </c>
    </row>
    <row r="1573" spans="1:2">
      <c r="A1573" s="1" t="s">
        <v>2499</v>
      </c>
      <c r="B1573" t="s">
        <v>10317</v>
      </c>
    </row>
    <row r="1574" spans="1:2">
      <c r="A1574" s="1" t="s">
        <v>2500</v>
      </c>
      <c r="B1574" t="s">
        <v>10366</v>
      </c>
    </row>
    <row r="1575" spans="1:2">
      <c r="A1575" s="1" t="s">
        <v>2501</v>
      </c>
      <c r="B1575" t="s">
        <v>10287</v>
      </c>
    </row>
    <row r="1576" spans="1:2">
      <c r="A1576" s="1" t="s">
        <v>2502</v>
      </c>
      <c r="B1576" t="s">
        <v>10225</v>
      </c>
    </row>
    <row r="1577" spans="1:2">
      <c r="A1577" s="1" t="s">
        <v>2503</v>
      </c>
      <c r="B1577" t="s">
        <v>10302</v>
      </c>
    </row>
    <row r="1578" spans="1:2">
      <c r="A1578" s="1" t="s">
        <v>2504</v>
      </c>
      <c r="B1578" t="s">
        <v>10224</v>
      </c>
    </row>
    <row r="1579" spans="1:2">
      <c r="A1579" s="1" t="s">
        <v>2505</v>
      </c>
      <c r="B1579" t="s">
        <v>10230</v>
      </c>
    </row>
    <row r="1580" spans="1:2">
      <c r="A1580" s="1" t="s">
        <v>2506</v>
      </c>
      <c r="B1580" t="s">
        <v>10225</v>
      </c>
    </row>
    <row r="1581" spans="1:2">
      <c r="A1581" s="1" t="s">
        <v>2507</v>
      </c>
      <c r="B1581" t="s">
        <v>10409</v>
      </c>
    </row>
    <row r="1582" spans="1:2">
      <c r="A1582" s="1" t="s">
        <v>2508</v>
      </c>
      <c r="B1582" t="s">
        <v>10243</v>
      </c>
    </row>
    <row r="1583" spans="1:2">
      <c r="A1583" s="1" t="s">
        <v>635</v>
      </c>
      <c r="B1583" t="s">
        <v>10277</v>
      </c>
    </row>
    <row r="1584" spans="1:2">
      <c r="A1584" s="1" t="s">
        <v>2509</v>
      </c>
      <c r="B1584" t="s">
        <v>10286</v>
      </c>
    </row>
    <row r="1585" spans="1:2">
      <c r="A1585" s="1" t="s">
        <v>2510</v>
      </c>
      <c r="B1585" t="s">
        <v>10410</v>
      </c>
    </row>
    <row r="1586" spans="1:2">
      <c r="A1586" s="1" t="s">
        <v>2511</v>
      </c>
      <c r="B1586" t="s">
        <v>10239</v>
      </c>
    </row>
    <row r="1587" spans="1:2">
      <c r="A1587" s="1" t="s">
        <v>2512</v>
      </c>
      <c r="B1587" t="s">
        <v>10411</v>
      </c>
    </row>
    <row r="1588" spans="1:2">
      <c r="A1588" s="1" t="s">
        <v>2513</v>
      </c>
      <c r="B1588" t="s">
        <v>10245</v>
      </c>
    </row>
    <row r="1589" spans="1:2">
      <c r="A1589" s="1" t="s">
        <v>2514</v>
      </c>
      <c r="B1589" t="s">
        <v>10240</v>
      </c>
    </row>
    <row r="1590" spans="1:2">
      <c r="A1590" s="1" t="s">
        <v>2515</v>
      </c>
      <c r="B1590" t="s">
        <v>10239</v>
      </c>
    </row>
    <row r="1591" spans="1:2">
      <c r="A1591" s="1" t="s">
        <v>2516</v>
      </c>
      <c r="B1591" t="s">
        <v>10287</v>
      </c>
    </row>
    <row r="1592" spans="1:2">
      <c r="A1592" s="1" t="s">
        <v>2517</v>
      </c>
      <c r="B1592" t="s">
        <v>10412</v>
      </c>
    </row>
    <row r="1593" spans="1:2">
      <c r="A1593" s="1" t="s">
        <v>2518</v>
      </c>
      <c r="B1593" t="s">
        <v>10239</v>
      </c>
    </row>
    <row r="1594" spans="1:2">
      <c r="A1594" s="1" t="s">
        <v>601</v>
      </c>
      <c r="B1594" t="s">
        <v>10243</v>
      </c>
    </row>
    <row r="1595" spans="1:2">
      <c r="A1595" s="1" t="s">
        <v>2519</v>
      </c>
      <c r="B1595" t="s">
        <v>10223</v>
      </c>
    </row>
    <row r="1596" spans="1:2">
      <c r="A1596" s="1" t="s">
        <v>2520</v>
      </c>
      <c r="B1596" t="s">
        <v>10266</v>
      </c>
    </row>
    <row r="1597" spans="1:2">
      <c r="A1597" s="1" t="s">
        <v>2521</v>
      </c>
      <c r="B1597" t="s">
        <v>10374</v>
      </c>
    </row>
    <row r="1598" spans="1:2">
      <c r="A1598" s="1" t="s">
        <v>155</v>
      </c>
      <c r="B1598" t="s">
        <v>10314</v>
      </c>
    </row>
    <row r="1599" spans="1:2">
      <c r="A1599" s="1" t="s">
        <v>2522</v>
      </c>
      <c r="B1599" t="s">
        <v>10360</v>
      </c>
    </row>
    <row r="1600" spans="1:2">
      <c r="A1600" s="1" t="s">
        <v>2523</v>
      </c>
      <c r="B1600" t="s">
        <v>10240</v>
      </c>
    </row>
    <row r="1601" spans="1:2">
      <c r="A1601" s="1" t="s">
        <v>2524</v>
      </c>
      <c r="B1601" t="s">
        <v>10239</v>
      </c>
    </row>
    <row r="1602" spans="1:2">
      <c r="A1602" s="1" t="s">
        <v>2525</v>
      </c>
      <c r="B1602" t="s">
        <v>10289</v>
      </c>
    </row>
    <row r="1603" spans="1:2">
      <c r="A1603" s="1" t="s">
        <v>2526</v>
      </c>
      <c r="B1603" t="s">
        <v>10413</v>
      </c>
    </row>
    <row r="1604" spans="1:2">
      <c r="A1604" s="1" t="s">
        <v>786</v>
      </c>
      <c r="B1604" t="s">
        <v>10387</v>
      </c>
    </row>
    <row r="1605" spans="1:2">
      <c r="A1605" s="1" t="s">
        <v>491</v>
      </c>
      <c r="B1605" t="s">
        <v>10240</v>
      </c>
    </row>
    <row r="1606" spans="1:2">
      <c r="A1606" s="1" t="s">
        <v>2527</v>
      </c>
      <c r="B1606" t="s">
        <v>901</v>
      </c>
    </row>
    <row r="1607" spans="1:2">
      <c r="A1607" s="1" t="s">
        <v>2528</v>
      </c>
      <c r="B1607" t="s">
        <v>10287</v>
      </c>
    </row>
    <row r="1608" spans="1:2">
      <c r="A1608" s="1" t="s">
        <v>2529</v>
      </c>
      <c r="B1608" t="s">
        <v>10366</v>
      </c>
    </row>
    <row r="1609" spans="1:2">
      <c r="A1609" s="1" t="s">
        <v>2530</v>
      </c>
      <c r="B1609" t="s">
        <v>10225</v>
      </c>
    </row>
    <row r="1610" spans="1:2">
      <c r="A1610" s="1" t="s">
        <v>2531</v>
      </c>
      <c r="B1610" t="s">
        <v>10224</v>
      </c>
    </row>
    <row r="1611" spans="1:2">
      <c r="A1611" s="1" t="s">
        <v>2532</v>
      </c>
      <c r="B1611" t="s">
        <v>10277</v>
      </c>
    </row>
    <row r="1612" spans="1:2">
      <c r="A1612" s="1" t="s">
        <v>2533</v>
      </c>
      <c r="B1612" t="s">
        <v>10361</v>
      </c>
    </row>
    <row r="1613" spans="1:2">
      <c r="A1613" s="1" t="s">
        <v>2534</v>
      </c>
      <c r="B1613" t="s">
        <v>10243</v>
      </c>
    </row>
    <row r="1614" spans="1:2">
      <c r="A1614" s="1" t="s">
        <v>2535</v>
      </c>
      <c r="B1614" t="s">
        <v>10366</v>
      </c>
    </row>
    <row r="1615" spans="1:2">
      <c r="A1615" s="1" t="s">
        <v>2536</v>
      </c>
      <c r="B1615" t="s">
        <v>10353</v>
      </c>
    </row>
    <row r="1616" spans="1:2">
      <c r="A1616" s="1" t="s">
        <v>2537</v>
      </c>
      <c r="B1616" t="s">
        <v>10234</v>
      </c>
    </row>
    <row r="1617" spans="1:2">
      <c r="A1617" s="1" t="s">
        <v>2538</v>
      </c>
      <c r="B1617" t="s">
        <v>10351</v>
      </c>
    </row>
    <row r="1618" spans="1:2">
      <c r="A1618" s="1" t="s">
        <v>2539</v>
      </c>
      <c r="B1618" t="s">
        <v>10322</v>
      </c>
    </row>
    <row r="1619" spans="1:2">
      <c r="A1619" s="1" t="s">
        <v>2540</v>
      </c>
      <c r="B1619" t="s">
        <v>10256</v>
      </c>
    </row>
    <row r="1620" spans="1:2">
      <c r="A1620" s="1" t="s">
        <v>2541</v>
      </c>
      <c r="B1620" t="s">
        <v>10302</v>
      </c>
    </row>
    <row r="1621" spans="1:2">
      <c r="A1621" s="1" t="s">
        <v>762</v>
      </c>
      <c r="B1621" t="s">
        <v>10255</v>
      </c>
    </row>
    <row r="1622" spans="1:2">
      <c r="A1622" s="1" t="s">
        <v>2542</v>
      </c>
      <c r="B1622" t="s">
        <v>10239</v>
      </c>
    </row>
    <row r="1623" spans="1:2">
      <c r="A1623" s="1" t="s">
        <v>2543</v>
      </c>
      <c r="B1623" t="s">
        <v>10263</v>
      </c>
    </row>
    <row r="1624" spans="1:2">
      <c r="A1624" s="1" t="s">
        <v>2544</v>
      </c>
      <c r="B1624" t="s">
        <v>10225</v>
      </c>
    </row>
    <row r="1625" spans="1:2">
      <c r="A1625" s="1" t="s">
        <v>2545</v>
      </c>
      <c r="B1625" t="s">
        <v>10239</v>
      </c>
    </row>
    <row r="1626" spans="1:2">
      <c r="A1626" s="1" t="s">
        <v>2546</v>
      </c>
      <c r="B1626" t="s">
        <v>10239</v>
      </c>
    </row>
    <row r="1627" spans="1:2">
      <c r="A1627" s="1" t="s">
        <v>2547</v>
      </c>
      <c r="B1627" t="s">
        <v>10414</v>
      </c>
    </row>
    <row r="1628" spans="1:2">
      <c r="A1628" s="1" t="s">
        <v>2548</v>
      </c>
      <c r="B1628" t="s">
        <v>10225</v>
      </c>
    </row>
    <row r="1629" spans="1:2">
      <c r="A1629" s="1" t="s">
        <v>2549</v>
      </c>
      <c r="B1629" t="s">
        <v>10243</v>
      </c>
    </row>
    <row r="1630" spans="1:2">
      <c r="A1630" s="1" t="s">
        <v>2550</v>
      </c>
      <c r="B1630" t="s">
        <v>10258</v>
      </c>
    </row>
    <row r="1631" spans="1:2">
      <c r="A1631" s="1" t="s">
        <v>2551</v>
      </c>
      <c r="B1631" t="s">
        <v>10398</v>
      </c>
    </row>
    <row r="1632" spans="1:2">
      <c r="A1632" s="1" t="s">
        <v>2552</v>
      </c>
      <c r="B1632" t="s">
        <v>10277</v>
      </c>
    </row>
    <row r="1633" spans="1:2">
      <c r="A1633" s="1" t="s">
        <v>2553</v>
      </c>
      <c r="B1633" t="s">
        <v>10239</v>
      </c>
    </row>
    <row r="1634" spans="1:2">
      <c r="A1634" s="1" t="s">
        <v>222</v>
      </c>
      <c r="B1634" t="s">
        <v>10285</v>
      </c>
    </row>
    <row r="1635" spans="1:2">
      <c r="A1635" s="1" t="s">
        <v>2554</v>
      </c>
      <c r="B1635" t="s">
        <v>10239</v>
      </c>
    </row>
    <row r="1636" spans="1:2">
      <c r="A1636" s="1" t="s">
        <v>2555</v>
      </c>
      <c r="B1636" t="s">
        <v>10351</v>
      </c>
    </row>
    <row r="1637" spans="1:2">
      <c r="A1637" s="1" t="s">
        <v>2556</v>
      </c>
      <c r="B1637" t="s">
        <v>10304</v>
      </c>
    </row>
    <row r="1638" spans="1:2">
      <c r="A1638" s="1" t="s">
        <v>2557</v>
      </c>
      <c r="B1638" t="s">
        <v>10223</v>
      </c>
    </row>
    <row r="1639" spans="1:2">
      <c r="A1639" s="1" t="s">
        <v>2558</v>
      </c>
      <c r="B1639" t="s">
        <v>10362</v>
      </c>
    </row>
    <row r="1640" spans="1:2">
      <c r="A1640" s="1" t="s">
        <v>2559</v>
      </c>
      <c r="B1640" t="s">
        <v>10239</v>
      </c>
    </row>
    <row r="1641" spans="1:2">
      <c r="A1641" s="1" t="s">
        <v>2560</v>
      </c>
      <c r="B1641" t="s">
        <v>10242</v>
      </c>
    </row>
    <row r="1642" spans="1:2">
      <c r="A1642" s="1" t="s">
        <v>2561</v>
      </c>
      <c r="B1642" t="s">
        <v>10234</v>
      </c>
    </row>
    <row r="1643" spans="1:2">
      <c r="A1643" s="1" t="s">
        <v>2562</v>
      </c>
      <c r="B1643" t="s">
        <v>10225</v>
      </c>
    </row>
    <row r="1644" spans="1:2">
      <c r="A1644" s="1" t="s">
        <v>824</v>
      </c>
      <c r="B1644" t="s">
        <v>10277</v>
      </c>
    </row>
    <row r="1645" spans="1:2">
      <c r="A1645" s="1" t="s">
        <v>2563</v>
      </c>
      <c r="B1645" t="s">
        <v>10246</v>
      </c>
    </row>
    <row r="1646" spans="1:2">
      <c r="A1646" s="1" t="s">
        <v>815</v>
      </c>
      <c r="B1646" t="s">
        <v>10277</v>
      </c>
    </row>
    <row r="1647" spans="1:2">
      <c r="A1647" s="1" t="s">
        <v>2564</v>
      </c>
      <c r="B1647" t="s">
        <v>10238</v>
      </c>
    </row>
    <row r="1648" spans="1:2">
      <c r="A1648" s="1" t="s">
        <v>2565</v>
      </c>
      <c r="B1648" t="s">
        <v>10239</v>
      </c>
    </row>
    <row r="1649" spans="1:2">
      <c r="A1649" s="1" t="s">
        <v>2566</v>
      </c>
      <c r="B1649" t="s">
        <v>10240</v>
      </c>
    </row>
    <row r="1650" spans="1:2">
      <c r="A1650" s="1" t="s">
        <v>2567</v>
      </c>
      <c r="B1650" t="s">
        <v>10277</v>
      </c>
    </row>
    <row r="1651" spans="1:2">
      <c r="A1651" s="1" t="s">
        <v>752</v>
      </c>
      <c r="B1651" t="s">
        <v>10274</v>
      </c>
    </row>
    <row r="1652" spans="1:2">
      <c r="A1652" s="1" t="s">
        <v>2568</v>
      </c>
      <c r="B1652" t="s">
        <v>10415</v>
      </c>
    </row>
    <row r="1653" spans="1:2">
      <c r="A1653" s="1" t="s">
        <v>879</v>
      </c>
      <c r="B1653" t="s">
        <v>10286</v>
      </c>
    </row>
    <row r="1654" spans="1:2">
      <c r="A1654" s="1" t="s">
        <v>2569</v>
      </c>
      <c r="B1654" t="s">
        <v>10239</v>
      </c>
    </row>
    <row r="1655" spans="1:2">
      <c r="A1655" s="1" t="s">
        <v>2570</v>
      </c>
      <c r="B1655" t="s">
        <v>10242</v>
      </c>
    </row>
    <row r="1656" spans="1:2">
      <c r="A1656" s="1" t="s">
        <v>2571</v>
      </c>
      <c r="B1656" t="s">
        <v>10243</v>
      </c>
    </row>
    <row r="1657" spans="1:2">
      <c r="A1657" s="1" t="s">
        <v>2572</v>
      </c>
      <c r="B1657" t="s">
        <v>10266</v>
      </c>
    </row>
    <row r="1658" spans="1:2">
      <c r="A1658" s="1" t="s">
        <v>2573</v>
      </c>
      <c r="B1658" t="s">
        <v>10364</v>
      </c>
    </row>
    <row r="1659" spans="1:2">
      <c r="A1659" s="1" t="s">
        <v>2574</v>
      </c>
      <c r="B1659" t="s">
        <v>10234</v>
      </c>
    </row>
    <row r="1660" spans="1:2">
      <c r="A1660" s="1" t="s">
        <v>2575</v>
      </c>
      <c r="B1660" t="s">
        <v>10224</v>
      </c>
    </row>
    <row r="1661" spans="1:2">
      <c r="A1661" s="1" t="s">
        <v>2576</v>
      </c>
      <c r="B1661" t="s">
        <v>10332</v>
      </c>
    </row>
    <row r="1662" spans="1:2">
      <c r="A1662" s="1" t="s">
        <v>849</v>
      </c>
      <c r="B1662" t="s">
        <v>10399</v>
      </c>
    </row>
    <row r="1663" spans="1:2">
      <c r="A1663" s="1" t="s">
        <v>2577</v>
      </c>
      <c r="B1663" t="s">
        <v>10241</v>
      </c>
    </row>
    <row r="1664" spans="1:2">
      <c r="A1664" s="1" t="s">
        <v>2578</v>
      </c>
      <c r="B1664" t="s">
        <v>10224</v>
      </c>
    </row>
    <row r="1665" spans="1:2">
      <c r="A1665" s="1" t="s">
        <v>2579</v>
      </c>
      <c r="B1665" t="s">
        <v>10243</v>
      </c>
    </row>
    <row r="1666" spans="1:2">
      <c r="A1666" s="1" t="s">
        <v>607</v>
      </c>
      <c r="B1666" t="s">
        <v>10225</v>
      </c>
    </row>
    <row r="1667" spans="1:2">
      <c r="A1667" s="1" t="s">
        <v>2580</v>
      </c>
      <c r="B1667" t="s">
        <v>10229</v>
      </c>
    </row>
    <row r="1668" spans="1:2">
      <c r="A1668" s="1" t="s">
        <v>2581</v>
      </c>
      <c r="B1668" t="s">
        <v>10243</v>
      </c>
    </row>
    <row r="1669" spans="1:2">
      <c r="A1669" s="1" t="s">
        <v>2582</v>
      </c>
      <c r="B1669" t="s">
        <v>10243</v>
      </c>
    </row>
    <row r="1670" spans="1:2">
      <c r="A1670" s="1" t="s">
        <v>2583</v>
      </c>
      <c r="B1670" t="s">
        <v>10234</v>
      </c>
    </row>
    <row r="1671" spans="1:2">
      <c r="A1671" s="1" t="s">
        <v>2584</v>
      </c>
      <c r="B1671" t="s">
        <v>10239</v>
      </c>
    </row>
    <row r="1672" spans="1:2">
      <c r="A1672" s="1" t="s">
        <v>2585</v>
      </c>
      <c r="B1672" t="s">
        <v>10277</v>
      </c>
    </row>
    <row r="1673" spans="1:2">
      <c r="A1673" s="1" t="s">
        <v>2586</v>
      </c>
      <c r="B1673" t="s">
        <v>10234</v>
      </c>
    </row>
    <row r="1674" spans="1:2">
      <c r="A1674" s="1" t="s">
        <v>2587</v>
      </c>
      <c r="B1674" t="s">
        <v>10286</v>
      </c>
    </row>
    <row r="1675" spans="1:2">
      <c r="A1675" s="1" t="s">
        <v>2588</v>
      </c>
      <c r="B1675" t="s">
        <v>10225</v>
      </c>
    </row>
    <row r="1676" spans="1:2">
      <c r="A1676" s="1" t="s">
        <v>2589</v>
      </c>
      <c r="B1676" t="s">
        <v>10234</v>
      </c>
    </row>
    <row r="1677" spans="1:2">
      <c r="A1677" s="1" t="s">
        <v>2590</v>
      </c>
      <c r="B1677" t="s">
        <v>10234</v>
      </c>
    </row>
    <row r="1678" spans="1:2">
      <c r="A1678" s="1" t="s">
        <v>2591</v>
      </c>
      <c r="B1678" t="s">
        <v>10243</v>
      </c>
    </row>
    <row r="1679" spans="1:2">
      <c r="A1679" s="1" t="s">
        <v>574</v>
      </c>
      <c r="B1679" t="s">
        <v>10265</v>
      </c>
    </row>
    <row r="1680" spans="1:2">
      <c r="A1680" s="1" t="s">
        <v>2592</v>
      </c>
      <c r="B1680" t="s">
        <v>10251</v>
      </c>
    </row>
    <row r="1681" spans="1:2">
      <c r="A1681" s="1" t="s">
        <v>2593</v>
      </c>
      <c r="B1681" t="s">
        <v>10258</v>
      </c>
    </row>
    <row r="1682" spans="1:2">
      <c r="A1682" s="1" t="s">
        <v>2594</v>
      </c>
      <c r="B1682" t="s">
        <v>10234</v>
      </c>
    </row>
    <row r="1683" spans="1:2">
      <c r="A1683" s="1" t="s">
        <v>2595</v>
      </c>
      <c r="B1683" t="s">
        <v>10262</v>
      </c>
    </row>
    <row r="1684" spans="1:2">
      <c r="A1684" s="1" t="s">
        <v>2596</v>
      </c>
      <c r="B1684" t="s">
        <v>10242</v>
      </c>
    </row>
    <row r="1685" spans="1:2">
      <c r="A1685" s="1" t="s">
        <v>2597</v>
      </c>
      <c r="B1685" t="s">
        <v>10305</v>
      </c>
    </row>
    <row r="1686" spans="1:2">
      <c r="A1686" s="1" t="s">
        <v>2598</v>
      </c>
      <c r="B1686" t="s">
        <v>10287</v>
      </c>
    </row>
    <row r="1687" spans="1:2">
      <c r="A1687" s="1" t="s">
        <v>2599</v>
      </c>
      <c r="B1687" t="s">
        <v>10277</v>
      </c>
    </row>
    <row r="1688" spans="1:2">
      <c r="A1688" s="1" t="s">
        <v>2600</v>
      </c>
      <c r="B1688" t="s">
        <v>10225</v>
      </c>
    </row>
    <row r="1689" spans="1:2">
      <c r="A1689" s="1" t="s">
        <v>2601</v>
      </c>
      <c r="B1689" t="s">
        <v>10262</v>
      </c>
    </row>
    <row r="1690" spans="1:2">
      <c r="A1690" s="1" t="s">
        <v>2602</v>
      </c>
      <c r="B1690" t="s">
        <v>10225</v>
      </c>
    </row>
    <row r="1691" spans="1:2">
      <c r="A1691" s="1" t="s">
        <v>2603</v>
      </c>
      <c r="B1691" t="s">
        <v>10262</v>
      </c>
    </row>
    <row r="1692" spans="1:2">
      <c r="A1692" s="1" t="s">
        <v>2604</v>
      </c>
      <c r="B1692" t="s">
        <v>10243</v>
      </c>
    </row>
    <row r="1693" spans="1:2">
      <c r="A1693" s="1" t="s">
        <v>2605</v>
      </c>
      <c r="B1693" t="s">
        <v>10287</v>
      </c>
    </row>
    <row r="1694" spans="1:2">
      <c r="A1694" s="1" t="s">
        <v>2606</v>
      </c>
      <c r="B1694" t="s">
        <v>10239</v>
      </c>
    </row>
    <row r="1695" spans="1:2">
      <c r="A1695" s="1" t="s">
        <v>2607</v>
      </c>
      <c r="B1695" t="s">
        <v>10225</v>
      </c>
    </row>
    <row r="1696" spans="1:2">
      <c r="A1696" s="1" t="s">
        <v>2608</v>
      </c>
      <c r="B1696" t="s">
        <v>10243</v>
      </c>
    </row>
    <row r="1697" spans="1:2">
      <c r="A1697" s="1" t="s">
        <v>564</v>
      </c>
      <c r="B1697" t="s">
        <v>10260</v>
      </c>
    </row>
    <row r="1698" spans="1:2">
      <c r="A1698" s="1" t="s">
        <v>2609</v>
      </c>
      <c r="B1698" t="s">
        <v>10361</v>
      </c>
    </row>
    <row r="1699" spans="1:2">
      <c r="A1699" s="1" t="s">
        <v>2610</v>
      </c>
      <c r="B1699" t="s">
        <v>10278</v>
      </c>
    </row>
    <row r="1700" spans="1:2">
      <c r="A1700" s="1" t="s">
        <v>659</v>
      </c>
      <c r="B1700" t="s">
        <v>10278</v>
      </c>
    </row>
    <row r="1701" spans="1:2">
      <c r="A1701" s="1" t="s">
        <v>2611</v>
      </c>
      <c r="B1701" t="s">
        <v>10287</v>
      </c>
    </row>
    <row r="1702" spans="1:2">
      <c r="A1702" s="1" t="s">
        <v>2612</v>
      </c>
      <c r="B1702" t="s">
        <v>10225</v>
      </c>
    </row>
    <row r="1703" spans="1:2">
      <c r="A1703" s="1" t="s">
        <v>2613</v>
      </c>
      <c r="B1703" t="s">
        <v>10244</v>
      </c>
    </row>
    <row r="1704" spans="1:2">
      <c r="A1704" s="1" t="s">
        <v>2614</v>
      </c>
      <c r="B1704" t="s">
        <v>10289</v>
      </c>
    </row>
    <row r="1705" spans="1:2">
      <c r="A1705" s="1" t="s">
        <v>2615</v>
      </c>
      <c r="B1705" t="s">
        <v>10396</v>
      </c>
    </row>
    <row r="1706" spans="1:2">
      <c r="A1706" s="1" t="s">
        <v>2616</v>
      </c>
      <c r="B1706" t="s">
        <v>10416</v>
      </c>
    </row>
    <row r="1707" spans="1:2">
      <c r="A1707" s="1" t="s">
        <v>2617</v>
      </c>
      <c r="B1707" t="s">
        <v>10417</v>
      </c>
    </row>
    <row r="1708" spans="1:2">
      <c r="A1708" s="1" t="s">
        <v>2618</v>
      </c>
      <c r="B1708" t="s">
        <v>10234</v>
      </c>
    </row>
    <row r="1709" spans="1:2">
      <c r="A1709" s="1" t="s">
        <v>2619</v>
      </c>
      <c r="B1709" t="s">
        <v>10239</v>
      </c>
    </row>
    <row r="1710" spans="1:2">
      <c r="A1710" s="1" t="s">
        <v>2620</v>
      </c>
      <c r="B1710" t="s">
        <v>10224</v>
      </c>
    </row>
    <row r="1711" spans="1:2">
      <c r="A1711" s="1" t="s">
        <v>2621</v>
      </c>
      <c r="B1711" t="s">
        <v>10370</v>
      </c>
    </row>
    <row r="1712" spans="1:2">
      <c r="A1712" s="1" t="s">
        <v>2622</v>
      </c>
      <c r="B1712" t="s">
        <v>10239</v>
      </c>
    </row>
    <row r="1713" spans="1:2">
      <c r="A1713" s="1" t="s">
        <v>2623</v>
      </c>
      <c r="B1713" t="s">
        <v>10350</v>
      </c>
    </row>
    <row r="1714" spans="1:2">
      <c r="A1714" s="1" t="s">
        <v>2624</v>
      </c>
      <c r="B1714" t="s">
        <v>10234</v>
      </c>
    </row>
    <row r="1715" spans="1:2">
      <c r="A1715" s="1" t="s">
        <v>860</v>
      </c>
      <c r="B1715" t="s">
        <v>10286</v>
      </c>
    </row>
    <row r="1716" spans="1:2">
      <c r="A1716" s="1" t="s">
        <v>2625</v>
      </c>
      <c r="B1716" t="s">
        <v>10319</v>
      </c>
    </row>
    <row r="1717" spans="1:2">
      <c r="A1717" s="1" t="s">
        <v>2626</v>
      </c>
      <c r="B1717" t="s">
        <v>10353</v>
      </c>
    </row>
    <row r="1718" spans="1:2">
      <c r="A1718" s="1" t="s">
        <v>2627</v>
      </c>
      <c r="B1718" t="s">
        <v>10277</v>
      </c>
    </row>
    <row r="1719" spans="1:2">
      <c r="A1719" s="1" t="s">
        <v>2628</v>
      </c>
      <c r="B1719" t="s">
        <v>10263</v>
      </c>
    </row>
    <row r="1720" spans="1:2">
      <c r="A1720" s="1" t="s">
        <v>2629</v>
      </c>
      <c r="B1720" t="s">
        <v>10243</v>
      </c>
    </row>
    <row r="1721" spans="1:2">
      <c r="A1721" s="1" t="s">
        <v>2630</v>
      </c>
      <c r="B1721" t="s">
        <v>10418</v>
      </c>
    </row>
    <row r="1722" spans="1:2">
      <c r="A1722" s="1" t="s">
        <v>2631</v>
      </c>
      <c r="B1722" t="s">
        <v>10366</v>
      </c>
    </row>
    <row r="1723" spans="1:2">
      <c r="A1723" s="1" t="s">
        <v>2632</v>
      </c>
      <c r="B1723" t="s">
        <v>10366</v>
      </c>
    </row>
    <row r="1724" spans="1:2">
      <c r="A1724" s="1" t="s">
        <v>2633</v>
      </c>
      <c r="B1724" t="s">
        <v>10292</v>
      </c>
    </row>
    <row r="1725" spans="1:2">
      <c r="A1725" s="1" t="s">
        <v>2634</v>
      </c>
      <c r="B1725" t="s">
        <v>10266</v>
      </c>
    </row>
    <row r="1726" spans="1:2">
      <c r="A1726" s="1" t="s">
        <v>721</v>
      </c>
      <c r="B1726" t="s">
        <v>10419</v>
      </c>
    </row>
    <row r="1727" spans="1:2">
      <c r="A1727" s="1" t="s">
        <v>2635</v>
      </c>
      <c r="B1727" t="s">
        <v>10277</v>
      </c>
    </row>
    <row r="1728" spans="1:2">
      <c r="A1728" s="1" t="s">
        <v>2636</v>
      </c>
      <c r="B1728" t="s">
        <v>10240</v>
      </c>
    </row>
    <row r="1729" spans="1:2">
      <c r="A1729" s="1" t="s">
        <v>2637</v>
      </c>
      <c r="B1729" t="s">
        <v>10390</v>
      </c>
    </row>
    <row r="1730" spans="1:2">
      <c r="A1730" s="1" t="s">
        <v>2638</v>
      </c>
      <c r="B1730" t="s">
        <v>10234</v>
      </c>
    </row>
    <row r="1731" spans="1:2">
      <c r="A1731" s="1" t="s">
        <v>2639</v>
      </c>
      <c r="B1731" t="s">
        <v>10277</v>
      </c>
    </row>
    <row r="1732" spans="1:2">
      <c r="A1732" s="1" t="s">
        <v>2640</v>
      </c>
      <c r="B1732" t="s">
        <v>10277</v>
      </c>
    </row>
    <row r="1733" spans="1:2">
      <c r="A1733" s="1" t="s">
        <v>2641</v>
      </c>
      <c r="B1733" t="s">
        <v>10240</v>
      </c>
    </row>
    <row r="1734" spans="1:2">
      <c r="A1734" s="1" t="s">
        <v>2642</v>
      </c>
      <c r="B1734" t="s">
        <v>10357</v>
      </c>
    </row>
    <row r="1735" spans="1:2">
      <c r="A1735" s="1" t="s">
        <v>2643</v>
      </c>
      <c r="B1735" t="s">
        <v>10239</v>
      </c>
    </row>
    <row r="1736" spans="1:2">
      <c r="A1736" s="1" t="s">
        <v>2644</v>
      </c>
      <c r="B1736" t="s">
        <v>10245</v>
      </c>
    </row>
    <row r="1737" spans="1:2">
      <c r="A1737" s="1" t="s">
        <v>2645</v>
      </c>
      <c r="B1737" t="s">
        <v>10305</v>
      </c>
    </row>
    <row r="1738" spans="1:2">
      <c r="A1738" s="1" t="s">
        <v>2646</v>
      </c>
      <c r="B1738" t="s">
        <v>10286</v>
      </c>
    </row>
    <row r="1739" spans="1:2">
      <c r="A1739" s="1" t="s">
        <v>2647</v>
      </c>
      <c r="B1739" t="s">
        <v>10354</v>
      </c>
    </row>
    <row r="1740" spans="1:2">
      <c r="A1740" s="1" t="s">
        <v>2648</v>
      </c>
      <c r="B1740" t="s">
        <v>10277</v>
      </c>
    </row>
    <row r="1741" spans="1:2">
      <c r="A1741" s="1" t="s">
        <v>2649</v>
      </c>
      <c r="B1741" t="s">
        <v>10282</v>
      </c>
    </row>
    <row r="1742" spans="1:2">
      <c r="A1742" s="1" t="s">
        <v>189</v>
      </c>
      <c r="B1742" t="s">
        <v>10322</v>
      </c>
    </row>
    <row r="1743" spans="1:2">
      <c r="A1743" s="1" t="s">
        <v>2650</v>
      </c>
      <c r="B1743" t="s">
        <v>10319</v>
      </c>
    </row>
    <row r="1744" spans="1:2">
      <c r="A1744" s="1" t="s">
        <v>2651</v>
      </c>
      <c r="B1744" t="s">
        <v>10225</v>
      </c>
    </row>
    <row r="1745" spans="1:2">
      <c r="A1745" s="1" t="s">
        <v>2652</v>
      </c>
      <c r="B1745" t="s">
        <v>10277</v>
      </c>
    </row>
    <row r="1746" spans="1:2">
      <c r="A1746" s="1" t="s">
        <v>2653</v>
      </c>
      <c r="B1746" t="s">
        <v>10240</v>
      </c>
    </row>
    <row r="1747" spans="1:2">
      <c r="A1747" s="1" t="s">
        <v>2654</v>
      </c>
      <c r="B1747" t="s">
        <v>10280</v>
      </c>
    </row>
    <row r="1748" spans="1:2">
      <c r="A1748" s="1" t="s">
        <v>618</v>
      </c>
      <c r="B1748" t="s">
        <v>10411</v>
      </c>
    </row>
    <row r="1749" spans="1:2">
      <c r="A1749" s="1" t="s">
        <v>2655</v>
      </c>
      <c r="B1749" t="s">
        <v>10382</v>
      </c>
    </row>
    <row r="1750" spans="1:2">
      <c r="A1750" s="1" t="s">
        <v>2656</v>
      </c>
      <c r="B1750" t="s">
        <v>10319</v>
      </c>
    </row>
    <row r="1751" spans="1:2">
      <c r="A1751" s="1" t="s">
        <v>428</v>
      </c>
      <c r="B1751" t="s">
        <v>10232</v>
      </c>
    </row>
    <row r="1752" spans="1:2">
      <c r="A1752" s="1" t="s">
        <v>675</v>
      </c>
      <c r="B1752" t="s">
        <v>10277</v>
      </c>
    </row>
    <row r="1753" spans="1:2">
      <c r="A1753" s="1" t="s">
        <v>2657</v>
      </c>
      <c r="B1753" t="s">
        <v>10420</v>
      </c>
    </row>
    <row r="1754" spans="1:2">
      <c r="A1754" s="1" t="s">
        <v>2658</v>
      </c>
      <c r="B1754" t="s">
        <v>10225</v>
      </c>
    </row>
    <row r="1755" spans="1:2">
      <c r="A1755" s="1" t="s">
        <v>2659</v>
      </c>
      <c r="B1755" t="s">
        <v>10303</v>
      </c>
    </row>
    <row r="1756" spans="1:2">
      <c r="A1756" s="1" t="s">
        <v>2660</v>
      </c>
      <c r="B1756" t="s">
        <v>10329</v>
      </c>
    </row>
    <row r="1757" spans="1:2">
      <c r="A1757" s="1" t="s">
        <v>2661</v>
      </c>
      <c r="B1757" t="s">
        <v>10234</v>
      </c>
    </row>
    <row r="1758" spans="1:2">
      <c r="A1758" s="1" t="s">
        <v>2662</v>
      </c>
      <c r="B1758" t="s">
        <v>901</v>
      </c>
    </row>
    <row r="1759" spans="1:2">
      <c r="A1759" s="1" t="s">
        <v>2663</v>
      </c>
      <c r="B1759" t="s">
        <v>10240</v>
      </c>
    </row>
    <row r="1760" spans="1:2">
      <c r="A1760" s="1" t="s">
        <v>2664</v>
      </c>
      <c r="B1760" t="s">
        <v>901</v>
      </c>
    </row>
    <row r="1761" spans="1:2">
      <c r="A1761" s="1" t="s">
        <v>2665</v>
      </c>
      <c r="B1761" t="s">
        <v>10234</v>
      </c>
    </row>
    <row r="1762" spans="1:2">
      <c r="A1762" s="1" t="s">
        <v>2666</v>
      </c>
      <c r="B1762" t="s">
        <v>10239</v>
      </c>
    </row>
    <row r="1763" spans="1:2">
      <c r="A1763" s="1" t="s">
        <v>2667</v>
      </c>
      <c r="B1763" t="s">
        <v>10232</v>
      </c>
    </row>
    <row r="1764" spans="1:2">
      <c r="A1764" s="1" t="s">
        <v>2668</v>
      </c>
      <c r="B1764" t="s">
        <v>10234</v>
      </c>
    </row>
    <row r="1765" spans="1:2">
      <c r="A1765" s="1" t="s">
        <v>2669</v>
      </c>
      <c r="B1765" t="s">
        <v>10421</v>
      </c>
    </row>
    <row r="1766" spans="1:2">
      <c r="A1766" s="1" t="s">
        <v>2670</v>
      </c>
      <c r="B1766" t="s">
        <v>10225</v>
      </c>
    </row>
    <row r="1767" spans="1:2">
      <c r="A1767" s="1" t="s">
        <v>2671</v>
      </c>
      <c r="B1767" t="s">
        <v>10243</v>
      </c>
    </row>
    <row r="1768" spans="1:2">
      <c r="A1768" s="1" t="s">
        <v>2672</v>
      </c>
      <c r="B1768" t="s">
        <v>10309</v>
      </c>
    </row>
    <row r="1769" spans="1:2">
      <c r="A1769" s="1" t="s">
        <v>2673</v>
      </c>
      <c r="B1769" t="s">
        <v>901</v>
      </c>
    </row>
    <row r="1770" spans="1:2">
      <c r="A1770" s="1" t="s">
        <v>2674</v>
      </c>
      <c r="B1770" t="s">
        <v>10422</v>
      </c>
    </row>
    <row r="1771" spans="1:2">
      <c r="A1771" s="1" t="s">
        <v>2675</v>
      </c>
      <c r="B1771" t="s">
        <v>10277</v>
      </c>
    </row>
    <row r="1772" spans="1:2">
      <c r="A1772" s="1" t="s">
        <v>2676</v>
      </c>
      <c r="B1772" t="s">
        <v>10277</v>
      </c>
    </row>
    <row r="1773" spans="1:2">
      <c r="A1773" s="1" t="s">
        <v>867</v>
      </c>
      <c r="B1773" t="s">
        <v>10274</v>
      </c>
    </row>
    <row r="1774" spans="1:2">
      <c r="A1774" s="1" t="s">
        <v>2677</v>
      </c>
      <c r="B1774" t="s">
        <v>10239</v>
      </c>
    </row>
    <row r="1775" spans="1:2">
      <c r="A1775" s="1" t="s">
        <v>2678</v>
      </c>
      <c r="B1775" t="s">
        <v>10423</v>
      </c>
    </row>
    <row r="1776" spans="1:2">
      <c r="A1776" s="1" t="s">
        <v>2679</v>
      </c>
      <c r="B1776" t="s">
        <v>10234</v>
      </c>
    </row>
    <row r="1777" spans="1:2">
      <c r="A1777" s="1" t="s">
        <v>2680</v>
      </c>
      <c r="B1777" t="s">
        <v>10234</v>
      </c>
    </row>
    <row r="1778" spans="1:2">
      <c r="A1778" s="1" t="s">
        <v>2681</v>
      </c>
      <c r="B1778" t="s">
        <v>10225</v>
      </c>
    </row>
    <row r="1779" spans="1:2">
      <c r="A1779" s="1" t="s">
        <v>2682</v>
      </c>
      <c r="B1779" t="s">
        <v>10417</v>
      </c>
    </row>
    <row r="1780" spans="1:2">
      <c r="A1780" s="1" t="s">
        <v>2683</v>
      </c>
      <c r="B1780" t="s">
        <v>10262</v>
      </c>
    </row>
    <row r="1781" spans="1:2">
      <c r="A1781" s="1" t="s">
        <v>2684</v>
      </c>
      <c r="B1781" t="s">
        <v>10292</v>
      </c>
    </row>
    <row r="1782" spans="1:2">
      <c r="A1782" s="1" t="s">
        <v>2685</v>
      </c>
      <c r="B1782" t="s">
        <v>10319</v>
      </c>
    </row>
    <row r="1783" spans="1:2">
      <c r="A1783" s="1" t="s">
        <v>2686</v>
      </c>
      <c r="B1783" t="s">
        <v>10229</v>
      </c>
    </row>
    <row r="1784" spans="1:2">
      <c r="A1784" s="1" t="s">
        <v>2687</v>
      </c>
      <c r="B1784" t="s">
        <v>10248</v>
      </c>
    </row>
    <row r="1785" spans="1:2">
      <c r="A1785" s="1" t="s">
        <v>2688</v>
      </c>
      <c r="B1785" t="s">
        <v>10297</v>
      </c>
    </row>
    <row r="1786" spans="1:2">
      <c r="A1786" s="1" t="s">
        <v>2689</v>
      </c>
      <c r="B1786" t="s">
        <v>10257</v>
      </c>
    </row>
    <row r="1787" spans="1:2">
      <c r="A1787" s="1" t="s">
        <v>2690</v>
      </c>
      <c r="B1787" t="s">
        <v>10316</v>
      </c>
    </row>
    <row r="1788" spans="1:2">
      <c r="A1788" s="1" t="s">
        <v>2691</v>
      </c>
      <c r="B1788" t="s">
        <v>10382</v>
      </c>
    </row>
    <row r="1789" spans="1:2">
      <c r="A1789" s="1" t="s">
        <v>2692</v>
      </c>
      <c r="B1789" t="s">
        <v>10286</v>
      </c>
    </row>
    <row r="1790" spans="1:2">
      <c r="A1790" s="1" t="s">
        <v>294</v>
      </c>
      <c r="B1790" t="s">
        <v>10265</v>
      </c>
    </row>
    <row r="1791" spans="1:2">
      <c r="A1791" s="1" t="s">
        <v>2693</v>
      </c>
      <c r="B1791" t="s">
        <v>10224</v>
      </c>
    </row>
    <row r="1792" spans="1:2">
      <c r="A1792" s="1" t="s">
        <v>2694</v>
      </c>
      <c r="B1792" t="s">
        <v>10277</v>
      </c>
    </row>
    <row r="1793" spans="1:2">
      <c r="A1793" s="1" t="s">
        <v>2695</v>
      </c>
      <c r="B1793" t="s">
        <v>10229</v>
      </c>
    </row>
    <row r="1794" spans="1:2">
      <c r="A1794" s="1" t="s">
        <v>2696</v>
      </c>
      <c r="B1794" t="s">
        <v>10234</v>
      </c>
    </row>
    <row r="1795" spans="1:2">
      <c r="A1795" s="1" t="s">
        <v>2697</v>
      </c>
      <c r="B1795" t="s">
        <v>10325</v>
      </c>
    </row>
    <row r="1796" spans="1:2">
      <c r="A1796" s="1" t="s">
        <v>2698</v>
      </c>
      <c r="B1796" t="s">
        <v>10225</v>
      </c>
    </row>
    <row r="1797" spans="1:2">
      <c r="A1797" s="1" t="s">
        <v>2699</v>
      </c>
      <c r="B1797" t="s">
        <v>10224</v>
      </c>
    </row>
    <row r="1798" spans="1:2">
      <c r="A1798" s="1" t="s">
        <v>2700</v>
      </c>
      <c r="B1798" t="s">
        <v>10253</v>
      </c>
    </row>
    <row r="1799" spans="1:2">
      <c r="A1799" s="1" t="s">
        <v>2701</v>
      </c>
      <c r="B1799" t="s">
        <v>10303</v>
      </c>
    </row>
    <row r="1800" spans="1:2">
      <c r="A1800" s="1" t="s">
        <v>2702</v>
      </c>
      <c r="B1800" t="s">
        <v>10413</v>
      </c>
    </row>
    <row r="1801" spans="1:2">
      <c r="A1801" s="1" t="s">
        <v>2703</v>
      </c>
      <c r="B1801" t="s">
        <v>10271</v>
      </c>
    </row>
    <row r="1802" spans="1:2">
      <c r="A1802" s="1" t="s">
        <v>2704</v>
      </c>
      <c r="B1802" t="s">
        <v>10234</v>
      </c>
    </row>
    <row r="1803" spans="1:2">
      <c r="A1803" s="1" t="s">
        <v>2705</v>
      </c>
      <c r="B1803" t="s">
        <v>10305</v>
      </c>
    </row>
    <row r="1804" spans="1:2">
      <c r="A1804" s="1" t="s">
        <v>2706</v>
      </c>
      <c r="B1804" t="s">
        <v>10240</v>
      </c>
    </row>
    <row r="1805" spans="1:2">
      <c r="A1805" s="1" t="s">
        <v>2707</v>
      </c>
      <c r="B1805" t="s">
        <v>10262</v>
      </c>
    </row>
    <row r="1806" spans="1:2">
      <c r="A1806" s="1" t="s">
        <v>2708</v>
      </c>
      <c r="B1806" t="s">
        <v>10366</v>
      </c>
    </row>
    <row r="1807" spans="1:2">
      <c r="A1807" s="1" t="s">
        <v>702</v>
      </c>
      <c r="B1807" t="s">
        <v>10239</v>
      </c>
    </row>
    <row r="1808" spans="1:2">
      <c r="A1808" s="1" t="s">
        <v>2709</v>
      </c>
      <c r="B1808" t="s">
        <v>10224</v>
      </c>
    </row>
    <row r="1809" spans="1:2">
      <c r="A1809" s="1" t="s">
        <v>2710</v>
      </c>
      <c r="B1809" t="s">
        <v>10243</v>
      </c>
    </row>
    <row r="1810" spans="1:2">
      <c r="A1810" s="1" t="s">
        <v>2711</v>
      </c>
      <c r="B1810" t="s">
        <v>10339</v>
      </c>
    </row>
    <row r="1811" spans="1:2">
      <c r="A1811" s="1" t="s">
        <v>2712</v>
      </c>
      <c r="B1811" t="s">
        <v>10243</v>
      </c>
    </row>
    <row r="1812" spans="1:2">
      <c r="A1812" s="1" t="s">
        <v>2713</v>
      </c>
      <c r="B1812" t="s">
        <v>10238</v>
      </c>
    </row>
    <row r="1813" spans="1:2">
      <c r="A1813" s="1" t="s">
        <v>2714</v>
      </c>
      <c r="B1813" t="s">
        <v>10234</v>
      </c>
    </row>
    <row r="1814" spans="1:2">
      <c r="A1814" s="1" t="s">
        <v>2715</v>
      </c>
      <c r="B1814" t="s">
        <v>10234</v>
      </c>
    </row>
    <row r="1815" spans="1:2">
      <c r="A1815" s="1" t="s">
        <v>2716</v>
      </c>
      <c r="B1815" t="s">
        <v>10263</v>
      </c>
    </row>
    <row r="1816" spans="1:2">
      <c r="A1816" s="1" t="s">
        <v>2717</v>
      </c>
      <c r="B1816" t="s">
        <v>10269</v>
      </c>
    </row>
    <row r="1817" spans="1:2">
      <c r="A1817" s="1" t="s">
        <v>2718</v>
      </c>
      <c r="B1817" t="s">
        <v>10321</v>
      </c>
    </row>
    <row r="1818" spans="1:2">
      <c r="A1818" s="1" t="s">
        <v>2719</v>
      </c>
      <c r="B1818" t="s">
        <v>10256</v>
      </c>
    </row>
    <row r="1819" spans="1:2">
      <c r="A1819" s="1" t="s">
        <v>221</v>
      </c>
      <c r="B1819" t="s">
        <v>10313</v>
      </c>
    </row>
    <row r="1820" spans="1:2">
      <c r="A1820" s="1" t="s">
        <v>2720</v>
      </c>
      <c r="B1820" t="s">
        <v>10292</v>
      </c>
    </row>
    <row r="1821" spans="1:2">
      <c r="A1821" s="1" t="s">
        <v>2721</v>
      </c>
      <c r="B1821" t="s">
        <v>10277</v>
      </c>
    </row>
    <row r="1822" spans="1:2">
      <c r="A1822" s="1" t="s">
        <v>636</v>
      </c>
      <c r="B1822" t="s">
        <v>10261</v>
      </c>
    </row>
    <row r="1823" spans="1:2">
      <c r="A1823" s="1" t="s">
        <v>2722</v>
      </c>
      <c r="B1823" t="s">
        <v>10234</v>
      </c>
    </row>
    <row r="1824" spans="1:2">
      <c r="A1824" s="1" t="s">
        <v>2723</v>
      </c>
      <c r="B1824" t="s">
        <v>10424</v>
      </c>
    </row>
    <row r="1825" spans="1:2">
      <c r="A1825" s="1" t="s">
        <v>2724</v>
      </c>
      <c r="B1825" t="s">
        <v>10357</v>
      </c>
    </row>
    <row r="1826" spans="1:2">
      <c r="A1826" s="1" t="s">
        <v>2725</v>
      </c>
      <c r="B1826" t="s">
        <v>10234</v>
      </c>
    </row>
    <row r="1827" spans="1:2">
      <c r="A1827" s="1" t="s">
        <v>612</v>
      </c>
      <c r="B1827" t="s">
        <v>10229</v>
      </c>
    </row>
    <row r="1828" spans="1:2">
      <c r="A1828" s="1" t="s">
        <v>2726</v>
      </c>
      <c r="B1828" t="s">
        <v>10243</v>
      </c>
    </row>
    <row r="1829" spans="1:2">
      <c r="A1829" s="1" t="s">
        <v>326</v>
      </c>
      <c r="B1829" t="s">
        <v>10322</v>
      </c>
    </row>
    <row r="1830" spans="1:2">
      <c r="A1830" s="1" t="s">
        <v>2727</v>
      </c>
      <c r="B1830" t="s">
        <v>10354</v>
      </c>
    </row>
    <row r="1831" spans="1:2">
      <c r="A1831" s="1" t="s">
        <v>2728</v>
      </c>
      <c r="B1831" t="s">
        <v>10223</v>
      </c>
    </row>
    <row r="1832" spans="1:2">
      <c r="A1832" s="1" t="s">
        <v>2729</v>
      </c>
      <c r="B1832" t="s">
        <v>10262</v>
      </c>
    </row>
    <row r="1833" spans="1:2">
      <c r="A1833" s="1" t="s">
        <v>729</v>
      </c>
      <c r="B1833" t="s">
        <v>10379</v>
      </c>
    </row>
    <row r="1834" spans="1:2">
      <c r="A1834" s="1" t="s">
        <v>2730</v>
      </c>
      <c r="B1834" t="s">
        <v>10277</v>
      </c>
    </row>
    <row r="1835" spans="1:2">
      <c r="A1835" s="1" t="s">
        <v>2731</v>
      </c>
      <c r="B1835" t="s">
        <v>10262</v>
      </c>
    </row>
    <row r="1836" spans="1:2">
      <c r="A1836" s="1" t="s">
        <v>2732</v>
      </c>
      <c r="B1836" t="s">
        <v>10224</v>
      </c>
    </row>
    <row r="1837" spans="1:2">
      <c r="A1837" s="1" t="s">
        <v>2733</v>
      </c>
      <c r="B1837" t="s">
        <v>10277</v>
      </c>
    </row>
    <row r="1838" spans="1:2">
      <c r="A1838" s="1" t="s">
        <v>2734</v>
      </c>
      <c r="B1838" t="s">
        <v>10259</v>
      </c>
    </row>
    <row r="1839" spans="1:2">
      <c r="A1839" s="1" t="s">
        <v>2735</v>
      </c>
      <c r="B1839" t="s">
        <v>10366</v>
      </c>
    </row>
    <row r="1840" spans="1:2">
      <c r="A1840" s="1" t="s">
        <v>2736</v>
      </c>
      <c r="B1840" t="s">
        <v>10316</v>
      </c>
    </row>
    <row r="1841" spans="1:2">
      <c r="A1841" s="1" t="s">
        <v>2737</v>
      </c>
      <c r="B1841" t="s">
        <v>10234</v>
      </c>
    </row>
    <row r="1842" spans="1:2">
      <c r="A1842" s="1" t="s">
        <v>2738</v>
      </c>
      <c r="B1842" t="s">
        <v>10243</v>
      </c>
    </row>
    <row r="1843" spans="1:2">
      <c r="A1843" s="1" t="s">
        <v>2739</v>
      </c>
      <c r="B1843" t="s">
        <v>10234</v>
      </c>
    </row>
    <row r="1844" spans="1:2">
      <c r="A1844" s="1" t="s">
        <v>2740</v>
      </c>
      <c r="B1844" t="s">
        <v>10258</v>
      </c>
    </row>
    <row r="1845" spans="1:2">
      <c r="A1845" s="1" t="s">
        <v>2741</v>
      </c>
      <c r="B1845" t="s">
        <v>10292</v>
      </c>
    </row>
    <row r="1846" spans="1:2">
      <c r="A1846" s="1" t="s">
        <v>2742</v>
      </c>
      <c r="B1846" t="s">
        <v>10234</v>
      </c>
    </row>
    <row r="1847" spans="1:2">
      <c r="A1847" s="1" t="s">
        <v>2743</v>
      </c>
      <c r="B1847" t="s">
        <v>10293</v>
      </c>
    </row>
    <row r="1848" spans="1:2">
      <c r="A1848" s="1" t="s">
        <v>777</v>
      </c>
      <c r="B1848" t="s">
        <v>10255</v>
      </c>
    </row>
    <row r="1849" spans="1:2">
      <c r="A1849" s="1" t="s">
        <v>2744</v>
      </c>
      <c r="B1849" t="s">
        <v>10240</v>
      </c>
    </row>
    <row r="1850" spans="1:2">
      <c r="A1850" s="1" t="s">
        <v>2745</v>
      </c>
      <c r="B1850" t="s">
        <v>10243</v>
      </c>
    </row>
    <row r="1851" spans="1:2">
      <c r="A1851" s="1" t="s">
        <v>2746</v>
      </c>
      <c r="B1851" t="s">
        <v>10234</v>
      </c>
    </row>
    <row r="1852" spans="1:2">
      <c r="A1852" s="1" t="s">
        <v>2747</v>
      </c>
      <c r="B1852" t="s">
        <v>901</v>
      </c>
    </row>
    <row r="1853" spans="1:2">
      <c r="A1853" s="1" t="s">
        <v>2748</v>
      </c>
      <c r="B1853" t="s">
        <v>10240</v>
      </c>
    </row>
    <row r="1854" spans="1:2">
      <c r="A1854" s="1" t="s">
        <v>2749</v>
      </c>
      <c r="B1854" t="s">
        <v>10266</v>
      </c>
    </row>
    <row r="1855" spans="1:2">
      <c r="A1855" s="1" t="s">
        <v>2750</v>
      </c>
      <c r="B1855" t="s">
        <v>10224</v>
      </c>
    </row>
    <row r="1856" spans="1:2">
      <c r="A1856" s="1" t="s">
        <v>2751</v>
      </c>
      <c r="B1856" t="s">
        <v>10288</v>
      </c>
    </row>
    <row r="1857" spans="1:2">
      <c r="A1857" s="1" t="s">
        <v>2752</v>
      </c>
      <c r="B1857" t="s">
        <v>10234</v>
      </c>
    </row>
    <row r="1858" spans="1:2">
      <c r="A1858" s="1" t="s">
        <v>2753</v>
      </c>
      <c r="B1858" t="s">
        <v>10251</v>
      </c>
    </row>
    <row r="1859" spans="1:2">
      <c r="A1859" s="1" t="s">
        <v>2754</v>
      </c>
      <c r="B1859" t="s">
        <v>10234</v>
      </c>
    </row>
    <row r="1860" spans="1:2">
      <c r="A1860" s="1" t="s">
        <v>2755</v>
      </c>
      <c r="B1860" t="s">
        <v>10312</v>
      </c>
    </row>
    <row r="1861" spans="1:2">
      <c r="A1861" s="1" t="s">
        <v>2756</v>
      </c>
      <c r="B1861" t="s">
        <v>10255</v>
      </c>
    </row>
    <row r="1862" spans="1:2">
      <c r="A1862" s="1" t="s">
        <v>2757</v>
      </c>
      <c r="B1862" t="s">
        <v>10290</v>
      </c>
    </row>
    <row r="1863" spans="1:2">
      <c r="A1863" s="1" t="s">
        <v>2758</v>
      </c>
      <c r="B1863" t="s">
        <v>10239</v>
      </c>
    </row>
    <row r="1864" spans="1:2">
      <c r="A1864" s="1" t="s">
        <v>2759</v>
      </c>
      <c r="B1864" t="s">
        <v>10262</v>
      </c>
    </row>
    <row r="1865" spans="1:2">
      <c r="A1865" s="1" t="s">
        <v>2760</v>
      </c>
      <c r="B1865" t="s">
        <v>10351</v>
      </c>
    </row>
    <row r="1866" spans="1:2">
      <c r="A1866" s="1" t="s">
        <v>2761</v>
      </c>
      <c r="B1866" t="s">
        <v>10346</v>
      </c>
    </row>
    <row r="1867" spans="1:2">
      <c r="A1867" s="1" t="s">
        <v>2762</v>
      </c>
      <c r="B1867" t="s">
        <v>10354</v>
      </c>
    </row>
    <row r="1868" spans="1:2">
      <c r="A1868" s="1" t="s">
        <v>2763</v>
      </c>
      <c r="B1868" t="s">
        <v>10305</v>
      </c>
    </row>
    <row r="1869" spans="1:2">
      <c r="A1869" s="1" t="s">
        <v>2764</v>
      </c>
      <c r="B1869" t="s">
        <v>10230</v>
      </c>
    </row>
    <row r="1870" spans="1:2">
      <c r="A1870" s="1" t="s">
        <v>2765</v>
      </c>
      <c r="B1870" t="s">
        <v>10234</v>
      </c>
    </row>
    <row r="1871" spans="1:2">
      <c r="A1871" s="1" t="s">
        <v>2766</v>
      </c>
      <c r="B1871" t="s">
        <v>10410</v>
      </c>
    </row>
    <row r="1872" spans="1:2">
      <c r="A1872" s="1" t="s">
        <v>2767</v>
      </c>
      <c r="B1872" t="s">
        <v>10266</v>
      </c>
    </row>
    <row r="1873" spans="1:2">
      <c r="A1873" s="1" t="s">
        <v>2768</v>
      </c>
      <c r="B1873" t="s">
        <v>10336</v>
      </c>
    </row>
    <row r="1874" spans="1:2">
      <c r="A1874" s="1" t="s">
        <v>2769</v>
      </c>
      <c r="B1874" t="s">
        <v>901</v>
      </c>
    </row>
    <row r="1875" spans="1:2">
      <c r="A1875" s="1" t="s">
        <v>2770</v>
      </c>
      <c r="B1875" t="s">
        <v>10292</v>
      </c>
    </row>
    <row r="1876" spans="1:2">
      <c r="A1876" s="1" t="s">
        <v>2771</v>
      </c>
      <c r="B1876" t="s">
        <v>10258</v>
      </c>
    </row>
    <row r="1877" spans="1:2">
      <c r="A1877" s="1" t="s">
        <v>2772</v>
      </c>
      <c r="B1877" t="s">
        <v>10277</v>
      </c>
    </row>
    <row r="1878" spans="1:2">
      <c r="A1878" s="1" t="s">
        <v>2773</v>
      </c>
      <c r="B1878" t="s">
        <v>901</v>
      </c>
    </row>
    <row r="1879" spans="1:2">
      <c r="A1879" s="1" t="s">
        <v>2774</v>
      </c>
      <c r="B1879" t="s">
        <v>10234</v>
      </c>
    </row>
    <row r="1880" spans="1:2">
      <c r="A1880" s="1" t="s">
        <v>2775</v>
      </c>
      <c r="B1880" t="s">
        <v>10262</v>
      </c>
    </row>
    <row r="1881" spans="1:2">
      <c r="A1881" s="1" t="s">
        <v>2776</v>
      </c>
      <c r="B1881" t="s">
        <v>10425</v>
      </c>
    </row>
    <row r="1882" spans="1:2">
      <c r="A1882" s="1" t="s">
        <v>2777</v>
      </c>
      <c r="B1882" t="s">
        <v>10258</v>
      </c>
    </row>
    <row r="1883" spans="1:2">
      <c r="A1883" s="1" t="s">
        <v>2778</v>
      </c>
      <c r="B1883" t="s">
        <v>10343</v>
      </c>
    </row>
    <row r="1884" spans="1:2">
      <c r="A1884" s="1" t="s">
        <v>2779</v>
      </c>
      <c r="B1884" t="s">
        <v>10234</v>
      </c>
    </row>
    <row r="1885" spans="1:2">
      <c r="A1885" s="1" t="s">
        <v>2780</v>
      </c>
      <c r="B1885" t="s">
        <v>10224</v>
      </c>
    </row>
    <row r="1886" spans="1:2">
      <c r="A1886" s="1" t="s">
        <v>2781</v>
      </c>
      <c r="B1886" t="s">
        <v>10322</v>
      </c>
    </row>
    <row r="1887" spans="1:2">
      <c r="A1887" s="1" t="s">
        <v>621</v>
      </c>
      <c r="B1887" t="s">
        <v>10234</v>
      </c>
    </row>
    <row r="1888" spans="1:2">
      <c r="A1888" s="1" t="s">
        <v>2782</v>
      </c>
      <c r="B1888" t="s">
        <v>10240</v>
      </c>
    </row>
    <row r="1889" spans="1:2">
      <c r="A1889" s="1" t="s">
        <v>2783</v>
      </c>
      <c r="B1889" t="s">
        <v>10426</v>
      </c>
    </row>
    <row r="1890" spans="1:2">
      <c r="A1890" s="1" t="s">
        <v>2784</v>
      </c>
      <c r="B1890" t="s">
        <v>10364</v>
      </c>
    </row>
    <row r="1891" spans="1:2">
      <c r="A1891" s="1" t="s">
        <v>634</v>
      </c>
      <c r="B1891" t="s">
        <v>10274</v>
      </c>
    </row>
    <row r="1892" spans="1:2">
      <c r="A1892" s="1" t="s">
        <v>2785</v>
      </c>
      <c r="B1892" t="s">
        <v>10422</v>
      </c>
    </row>
    <row r="1893" spans="1:2">
      <c r="A1893" s="1" t="s">
        <v>2786</v>
      </c>
      <c r="B1893" t="s">
        <v>10240</v>
      </c>
    </row>
    <row r="1894" spans="1:2">
      <c r="A1894" s="1" t="s">
        <v>2787</v>
      </c>
      <c r="B1894" t="s">
        <v>10256</v>
      </c>
    </row>
    <row r="1895" spans="1:2">
      <c r="A1895" s="1" t="s">
        <v>2788</v>
      </c>
      <c r="B1895" t="s">
        <v>10366</v>
      </c>
    </row>
    <row r="1896" spans="1:2">
      <c r="A1896" s="1" t="s">
        <v>2789</v>
      </c>
      <c r="B1896" t="s">
        <v>10370</v>
      </c>
    </row>
    <row r="1897" spans="1:2">
      <c r="A1897" s="1" t="s">
        <v>2790</v>
      </c>
      <c r="B1897" t="s">
        <v>10225</v>
      </c>
    </row>
    <row r="1898" spans="1:2">
      <c r="A1898" s="1" t="s">
        <v>2791</v>
      </c>
      <c r="B1898" t="s">
        <v>10366</v>
      </c>
    </row>
    <row r="1899" spans="1:2">
      <c r="A1899" s="1" t="s">
        <v>2792</v>
      </c>
      <c r="B1899" t="s">
        <v>10286</v>
      </c>
    </row>
    <row r="1900" spans="1:2">
      <c r="A1900" s="1" t="s">
        <v>2793</v>
      </c>
      <c r="B1900" t="s">
        <v>10234</v>
      </c>
    </row>
    <row r="1901" spans="1:2">
      <c r="A1901" s="1" t="s">
        <v>2794</v>
      </c>
      <c r="B1901" t="s">
        <v>10224</v>
      </c>
    </row>
    <row r="1902" spans="1:2">
      <c r="A1902" s="1" t="s">
        <v>2795</v>
      </c>
      <c r="B1902" t="s">
        <v>901</v>
      </c>
    </row>
    <row r="1903" spans="1:2">
      <c r="A1903" s="1" t="s">
        <v>2796</v>
      </c>
      <c r="B1903" t="s">
        <v>10427</v>
      </c>
    </row>
    <row r="1904" spans="1:2">
      <c r="A1904" s="1" t="s">
        <v>2797</v>
      </c>
      <c r="B1904" t="s">
        <v>901</v>
      </c>
    </row>
    <row r="1905" spans="1:2">
      <c r="A1905" s="1" t="s">
        <v>878</v>
      </c>
      <c r="B1905" t="s">
        <v>10229</v>
      </c>
    </row>
    <row r="1906" spans="1:2">
      <c r="A1906" s="1" t="s">
        <v>2798</v>
      </c>
      <c r="B1906" t="s">
        <v>10366</v>
      </c>
    </row>
    <row r="1907" spans="1:2">
      <c r="A1907" s="1" t="s">
        <v>2799</v>
      </c>
      <c r="B1907" t="s">
        <v>10234</v>
      </c>
    </row>
    <row r="1908" spans="1:2">
      <c r="A1908" s="1" t="s">
        <v>466</v>
      </c>
      <c r="B1908" t="s">
        <v>10322</v>
      </c>
    </row>
    <row r="1909" spans="1:2">
      <c r="A1909" s="1" t="s">
        <v>2800</v>
      </c>
      <c r="B1909" t="s">
        <v>10366</v>
      </c>
    </row>
    <row r="1910" spans="1:2">
      <c r="A1910" s="1" t="s">
        <v>2801</v>
      </c>
      <c r="B1910" t="s">
        <v>10316</v>
      </c>
    </row>
    <row r="1911" spans="1:2">
      <c r="A1911" s="1" t="s">
        <v>2802</v>
      </c>
      <c r="B1911" t="s">
        <v>10224</v>
      </c>
    </row>
    <row r="1912" spans="1:2">
      <c r="A1912" s="1" t="s">
        <v>2803</v>
      </c>
      <c r="B1912" t="s">
        <v>10234</v>
      </c>
    </row>
    <row r="1913" spans="1:2">
      <c r="A1913" s="1" t="s">
        <v>678</v>
      </c>
      <c r="B1913" t="s">
        <v>10302</v>
      </c>
    </row>
    <row r="1914" spans="1:2">
      <c r="A1914" s="1" t="s">
        <v>2804</v>
      </c>
      <c r="B1914" t="s">
        <v>10404</v>
      </c>
    </row>
    <row r="1915" spans="1:2">
      <c r="A1915" s="1" t="s">
        <v>2805</v>
      </c>
      <c r="B1915" t="s">
        <v>10234</v>
      </c>
    </row>
    <row r="1916" spans="1:2">
      <c r="A1916" s="1" t="s">
        <v>2806</v>
      </c>
      <c r="B1916" t="s">
        <v>10345</v>
      </c>
    </row>
    <row r="1917" spans="1:2">
      <c r="A1917" s="1" t="s">
        <v>2807</v>
      </c>
      <c r="B1917" t="s">
        <v>10256</v>
      </c>
    </row>
    <row r="1918" spans="1:2">
      <c r="A1918" s="1" t="s">
        <v>2808</v>
      </c>
      <c r="B1918" t="s">
        <v>10266</v>
      </c>
    </row>
    <row r="1919" spans="1:2">
      <c r="A1919" s="1" t="s">
        <v>2809</v>
      </c>
      <c r="B1919" t="s">
        <v>10244</v>
      </c>
    </row>
    <row r="1920" spans="1:2">
      <c r="A1920" s="1" t="s">
        <v>2810</v>
      </c>
      <c r="B1920" t="s">
        <v>10282</v>
      </c>
    </row>
    <row r="1921" spans="1:2">
      <c r="A1921" s="1" t="s">
        <v>2811</v>
      </c>
      <c r="B1921" t="s">
        <v>10229</v>
      </c>
    </row>
    <row r="1922" spans="1:2">
      <c r="A1922" s="1" t="s">
        <v>2812</v>
      </c>
      <c r="B1922" t="s">
        <v>10234</v>
      </c>
    </row>
    <row r="1923" spans="1:2">
      <c r="A1923" s="1" t="s">
        <v>2813</v>
      </c>
      <c r="B1923" t="s">
        <v>10236</v>
      </c>
    </row>
    <row r="1924" spans="1:2">
      <c r="A1924" s="1" t="s">
        <v>793</v>
      </c>
      <c r="B1924" t="s">
        <v>10344</v>
      </c>
    </row>
    <row r="1925" spans="1:2">
      <c r="A1925" s="1" t="s">
        <v>2814</v>
      </c>
      <c r="B1925" t="s">
        <v>10239</v>
      </c>
    </row>
    <row r="1926" spans="1:2">
      <c r="A1926" s="1" t="s">
        <v>2815</v>
      </c>
      <c r="B1926" t="s">
        <v>10422</v>
      </c>
    </row>
    <row r="1927" spans="1:2">
      <c r="A1927" s="1" t="s">
        <v>2816</v>
      </c>
      <c r="B1927" t="s">
        <v>10369</v>
      </c>
    </row>
    <row r="1928" spans="1:2">
      <c r="A1928" s="1" t="s">
        <v>2817</v>
      </c>
      <c r="B1928" t="s">
        <v>10280</v>
      </c>
    </row>
    <row r="1929" spans="1:2">
      <c r="A1929" s="1" t="s">
        <v>2818</v>
      </c>
      <c r="B1929" t="s">
        <v>10305</v>
      </c>
    </row>
    <row r="1930" spans="1:2">
      <c r="A1930" s="1" t="s">
        <v>2819</v>
      </c>
      <c r="B1930" t="s">
        <v>10266</v>
      </c>
    </row>
    <row r="1931" spans="1:2">
      <c r="A1931" s="1" t="s">
        <v>2820</v>
      </c>
      <c r="B1931" t="s">
        <v>10229</v>
      </c>
    </row>
    <row r="1932" spans="1:2">
      <c r="A1932" s="1" t="s">
        <v>2821</v>
      </c>
      <c r="B1932" t="s">
        <v>10234</v>
      </c>
    </row>
    <row r="1933" spans="1:2">
      <c r="A1933" s="1" t="s">
        <v>646</v>
      </c>
      <c r="B1933" t="s">
        <v>10262</v>
      </c>
    </row>
    <row r="1934" spans="1:2">
      <c r="A1934" s="1" t="s">
        <v>2822</v>
      </c>
      <c r="B1934" t="s">
        <v>10229</v>
      </c>
    </row>
    <row r="1935" spans="1:2">
      <c r="A1935" s="1" t="s">
        <v>2823</v>
      </c>
      <c r="B1935" t="s">
        <v>10224</v>
      </c>
    </row>
    <row r="1936" spans="1:2">
      <c r="A1936" s="1" t="s">
        <v>2824</v>
      </c>
      <c r="B1936" t="s">
        <v>10234</v>
      </c>
    </row>
    <row r="1937" spans="1:2">
      <c r="A1937" s="1" t="s">
        <v>2825</v>
      </c>
      <c r="B1937" t="s">
        <v>10234</v>
      </c>
    </row>
    <row r="1938" spans="1:2">
      <c r="A1938" s="1" t="s">
        <v>2826</v>
      </c>
      <c r="B1938" t="s">
        <v>10277</v>
      </c>
    </row>
    <row r="1939" spans="1:2">
      <c r="A1939" s="1" t="s">
        <v>2827</v>
      </c>
      <c r="B1939" t="s">
        <v>10234</v>
      </c>
    </row>
    <row r="1940" spans="1:2">
      <c r="A1940" s="1" t="s">
        <v>2828</v>
      </c>
      <c r="B1940" t="s">
        <v>10234</v>
      </c>
    </row>
    <row r="1941" spans="1:2">
      <c r="A1941" s="1" t="s">
        <v>2829</v>
      </c>
      <c r="B1941" t="s">
        <v>10286</v>
      </c>
    </row>
    <row r="1942" spans="1:2">
      <c r="A1942" s="1" t="s">
        <v>2830</v>
      </c>
      <c r="B1942" t="s">
        <v>10283</v>
      </c>
    </row>
    <row r="1943" spans="1:2">
      <c r="A1943" s="1" t="s">
        <v>2831</v>
      </c>
      <c r="B1943" t="s">
        <v>10225</v>
      </c>
    </row>
    <row r="1944" spans="1:2">
      <c r="A1944" s="1" t="s">
        <v>2832</v>
      </c>
      <c r="B1944" t="s">
        <v>10325</v>
      </c>
    </row>
    <row r="1945" spans="1:2">
      <c r="A1945" s="1" t="s">
        <v>2833</v>
      </c>
      <c r="B1945" t="s">
        <v>10262</v>
      </c>
    </row>
    <row r="1946" spans="1:2">
      <c r="A1946" s="1" t="s">
        <v>2834</v>
      </c>
      <c r="B1946" t="s">
        <v>10398</v>
      </c>
    </row>
    <row r="1947" spans="1:2">
      <c r="A1947" s="1" t="s">
        <v>2835</v>
      </c>
      <c r="B1947" t="s">
        <v>10250</v>
      </c>
    </row>
    <row r="1948" spans="1:2">
      <c r="A1948" s="1" t="s">
        <v>2836</v>
      </c>
      <c r="B1948" t="s">
        <v>10234</v>
      </c>
    </row>
    <row r="1949" spans="1:2">
      <c r="A1949" s="1" t="s">
        <v>2837</v>
      </c>
      <c r="B1949" t="s">
        <v>10234</v>
      </c>
    </row>
    <row r="1950" spans="1:2">
      <c r="A1950" s="1" t="s">
        <v>2838</v>
      </c>
      <c r="B1950" t="s">
        <v>10305</v>
      </c>
    </row>
    <row r="1951" spans="1:2">
      <c r="A1951" s="1" t="s">
        <v>2839</v>
      </c>
      <c r="B1951" t="s">
        <v>10316</v>
      </c>
    </row>
    <row r="1952" spans="1:2">
      <c r="A1952" s="1" t="s">
        <v>2840</v>
      </c>
      <c r="B1952" t="s">
        <v>10346</v>
      </c>
    </row>
    <row r="1953" spans="1:2">
      <c r="A1953" s="1" t="s">
        <v>2841</v>
      </c>
      <c r="B1953" t="s">
        <v>10240</v>
      </c>
    </row>
    <row r="1954" spans="1:2">
      <c r="A1954" s="1" t="s">
        <v>2842</v>
      </c>
      <c r="B1954" t="s">
        <v>10426</v>
      </c>
    </row>
    <row r="1955" spans="1:2">
      <c r="A1955" s="1" t="s">
        <v>2843</v>
      </c>
      <c r="B1955" t="s">
        <v>10399</v>
      </c>
    </row>
    <row r="1956" spans="1:2">
      <c r="A1956" s="1" t="s">
        <v>2844</v>
      </c>
      <c r="B1956" t="s">
        <v>10245</v>
      </c>
    </row>
    <row r="1957" spans="1:2">
      <c r="A1957" s="1" t="s">
        <v>2845</v>
      </c>
      <c r="B1957" t="s">
        <v>10231</v>
      </c>
    </row>
    <row r="1958" spans="1:2">
      <c r="A1958" s="1" t="s">
        <v>2846</v>
      </c>
      <c r="B1958" t="s">
        <v>10262</v>
      </c>
    </row>
    <row r="1959" spans="1:2">
      <c r="A1959" s="1" t="s">
        <v>2847</v>
      </c>
      <c r="B1959" t="s">
        <v>10234</v>
      </c>
    </row>
    <row r="1960" spans="1:2">
      <c r="A1960" s="1" t="s">
        <v>2848</v>
      </c>
      <c r="B1960" t="s">
        <v>10277</v>
      </c>
    </row>
    <row r="1961" spans="1:2">
      <c r="A1961" s="1" t="s">
        <v>2849</v>
      </c>
      <c r="B1961" t="s">
        <v>10244</v>
      </c>
    </row>
    <row r="1962" spans="1:2">
      <c r="A1962" s="1" t="s">
        <v>2850</v>
      </c>
      <c r="B1962" t="s">
        <v>10266</v>
      </c>
    </row>
    <row r="1963" spans="1:2">
      <c r="A1963" s="1" t="s">
        <v>2851</v>
      </c>
      <c r="B1963" t="s">
        <v>10263</v>
      </c>
    </row>
    <row r="1964" spans="1:2">
      <c r="A1964" s="1" t="s">
        <v>2852</v>
      </c>
      <c r="B1964" t="s">
        <v>901</v>
      </c>
    </row>
    <row r="1965" spans="1:2">
      <c r="A1965" s="1" t="s">
        <v>2853</v>
      </c>
      <c r="B1965" t="s">
        <v>10234</v>
      </c>
    </row>
    <row r="1966" spans="1:2">
      <c r="A1966" s="1" t="s">
        <v>2854</v>
      </c>
      <c r="B1966" t="s">
        <v>10240</v>
      </c>
    </row>
    <row r="1967" spans="1:2">
      <c r="A1967" s="1" t="s">
        <v>2855</v>
      </c>
      <c r="B1967" t="s">
        <v>10234</v>
      </c>
    </row>
    <row r="1968" spans="1:2">
      <c r="A1968" s="1" t="s">
        <v>2856</v>
      </c>
      <c r="B1968" t="s">
        <v>901</v>
      </c>
    </row>
    <row r="1969" spans="1:2">
      <c r="A1969" s="1" t="s">
        <v>732</v>
      </c>
      <c r="B1969" t="s">
        <v>10239</v>
      </c>
    </row>
    <row r="1970" spans="1:2">
      <c r="A1970" s="1" t="s">
        <v>2857</v>
      </c>
      <c r="B1970" t="s">
        <v>10283</v>
      </c>
    </row>
    <row r="1971" spans="1:2">
      <c r="A1971" s="1" t="s">
        <v>2858</v>
      </c>
      <c r="B1971" t="s">
        <v>10234</v>
      </c>
    </row>
    <row r="1972" spans="1:2">
      <c r="A1972" s="1" t="s">
        <v>539</v>
      </c>
      <c r="B1972" t="s">
        <v>10262</v>
      </c>
    </row>
    <row r="1973" spans="1:2">
      <c r="A1973" s="1" t="s">
        <v>2859</v>
      </c>
      <c r="B1973" t="s">
        <v>10277</v>
      </c>
    </row>
    <row r="1974" spans="1:2">
      <c r="A1974" s="1" t="s">
        <v>2860</v>
      </c>
      <c r="B1974" t="s">
        <v>10231</v>
      </c>
    </row>
    <row r="1975" spans="1:2">
      <c r="A1975" s="1" t="s">
        <v>667</v>
      </c>
      <c r="B1975" t="s">
        <v>10240</v>
      </c>
    </row>
    <row r="1976" spans="1:2">
      <c r="A1976" s="1" t="s">
        <v>2861</v>
      </c>
      <c r="B1976" t="s">
        <v>10233</v>
      </c>
    </row>
    <row r="1977" spans="1:2">
      <c r="A1977" s="1" t="s">
        <v>2862</v>
      </c>
      <c r="B1977" t="s">
        <v>10234</v>
      </c>
    </row>
    <row r="1978" spans="1:2">
      <c r="A1978" s="1" t="s">
        <v>2863</v>
      </c>
      <c r="B1978" t="s">
        <v>10243</v>
      </c>
    </row>
    <row r="1979" spans="1:2">
      <c r="A1979" s="1" t="s">
        <v>2864</v>
      </c>
      <c r="B1979" t="s">
        <v>10283</v>
      </c>
    </row>
    <row r="1980" spans="1:2">
      <c r="A1980" s="1" t="s">
        <v>2865</v>
      </c>
      <c r="B1980" t="s">
        <v>10234</v>
      </c>
    </row>
    <row r="1981" spans="1:2">
      <c r="A1981" s="1" t="s">
        <v>2866</v>
      </c>
      <c r="B1981" t="s">
        <v>10224</v>
      </c>
    </row>
    <row r="1982" spans="1:2">
      <c r="A1982" s="1" t="s">
        <v>2867</v>
      </c>
      <c r="B1982" t="s">
        <v>10239</v>
      </c>
    </row>
    <row r="1983" spans="1:2">
      <c r="A1983" s="1" t="s">
        <v>2868</v>
      </c>
      <c r="B1983" t="s">
        <v>10262</v>
      </c>
    </row>
    <row r="1984" spans="1:2">
      <c r="A1984" s="1" t="s">
        <v>2869</v>
      </c>
      <c r="B1984" t="s">
        <v>901</v>
      </c>
    </row>
    <row r="1985" spans="1:2">
      <c r="A1985" s="1" t="s">
        <v>2870</v>
      </c>
      <c r="B1985" t="s">
        <v>901</v>
      </c>
    </row>
    <row r="1986" spans="1:2">
      <c r="A1986" s="1" t="s">
        <v>2871</v>
      </c>
      <c r="B1986" t="s">
        <v>10259</v>
      </c>
    </row>
    <row r="1987" spans="1:2">
      <c r="A1987" s="1" t="s">
        <v>2872</v>
      </c>
      <c r="B1987" t="s">
        <v>10428</v>
      </c>
    </row>
    <row r="1988" spans="1:2">
      <c r="A1988" s="1" t="s">
        <v>2873</v>
      </c>
      <c r="B1988" t="s">
        <v>10343</v>
      </c>
    </row>
    <row r="1989" spans="1:2">
      <c r="A1989" s="1" t="s">
        <v>2874</v>
      </c>
      <c r="B1989" t="s">
        <v>10256</v>
      </c>
    </row>
    <row r="1990" spans="1:2">
      <c r="A1990" s="1" t="s">
        <v>2875</v>
      </c>
      <c r="B1990" t="s">
        <v>10240</v>
      </c>
    </row>
    <row r="1991" spans="1:2">
      <c r="A1991" s="1" t="s">
        <v>2876</v>
      </c>
      <c r="B1991" t="s">
        <v>10298</v>
      </c>
    </row>
    <row r="1992" spans="1:2">
      <c r="A1992" s="1" t="s">
        <v>2877</v>
      </c>
      <c r="B1992" t="s">
        <v>10232</v>
      </c>
    </row>
    <row r="1993" spans="1:2">
      <c r="A1993" s="1" t="s">
        <v>2878</v>
      </c>
      <c r="B1993" t="s">
        <v>10234</v>
      </c>
    </row>
    <row r="1994" spans="1:2">
      <c r="A1994" s="1" t="s">
        <v>2879</v>
      </c>
      <c r="B1994" t="s">
        <v>10262</v>
      </c>
    </row>
    <row r="1995" spans="1:2">
      <c r="A1995" s="1" t="s">
        <v>2880</v>
      </c>
      <c r="B1995" t="s">
        <v>10370</v>
      </c>
    </row>
    <row r="1996" spans="1:2">
      <c r="A1996" s="1" t="s">
        <v>2881</v>
      </c>
      <c r="B1996" t="s">
        <v>10277</v>
      </c>
    </row>
    <row r="1997" spans="1:2">
      <c r="A1997" s="1" t="s">
        <v>2882</v>
      </c>
      <c r="B1997" t="s">
        <v>10305</v>
      </c>
    </row>
    <row r="1998" spans="1:2">
      <c r="A1998" s="1" t="s">
        <v>2883</v>
      </c>
      <c r="B1998" t="s">
        <v>10224</v>
      </c>
    </row>
    <row r="1999" spans="1:2">
      <c r="A1999" s="1" t="s">
        <v>2884</v>
      </c>
      <c r="B1999" t="s">
        <v>10347</v>
      </c>
    </row>
    <row r="2000" spans="1:2">
      <c r="A2000" s="1" t="s">
        <v>2885</v>
      </c>
      <c r="B2000" t="s">
        <v>10233</v>
      </c>
    </row>
    <row r="2001" spans="1:2">
      <c r="A2001" s="1" t="s">
        <v>2886</v>
      </c>
      <c r="B2001" t="s">
        <v>10243</v>
      </c>
    </row>
    <row r="2002" spans="1:2">
      <c r="A2002" s="1" t="s">
        <v>2887</v>
      </c>
      <c r="B2002" t="s">
        <v>10234</v>
      </c>
    </row>
    <row r="2003" spans="1:2">
      <c r="A2003" s="1" t="s">
        <v>2888</v>
      </c>
      <c r="B2003" t="s">
        <v>901</v>
      </c>
    </row>
    <row r="2004" spans="1:2">
      <c r="A2004" s="1" t="s">
        <v>2889</v>
      </c>
      <c r="B2004" t="s">
        <v>10286</v>
      </c>
    </row>
    <row r="2005" spans="1:2">
      <c r="A2005" s="1" t="s">
        <v>2890</v>
      </c>
      <c r="B2005" t="s">
        <v>10234</v>
      </c>
    </row>
    <row r="2006" spans="1:2">
      <c r="A2006" s="1" t="s">
        <v>2891</v>
      </c>
      <c r="B2006" t="s">
        <v>901</v>
      </c>
    </row>
    <row r="2007" spans="1:2">
      <c r="A2007" s="1" t="s">
        <v>2892</v>
      </c>
      <c r="B2007" t="s">
        <v>10234</v>
      </c>
    </row>
    <row r="2008" spans="1:2">
      <c r="A2008" s="1" t="s">
        <v>2893</v>
      </c>
      <c r="B2008" t="s">
        <v>10429</v>
      </c>
    </row>
    <row r="2009" spans="1:2">
      <c r="A2009" s="1" t="s">
        <v>2894</v>
      </c>
      <c r="B2009" t="s">
        <v>10266</v>
      </c>
    </row>
    <row r="2010" spans="1:2">
      <c r="A2010" s="1" t="s">
        <v>2895</v>
      </c>
      <c r="B2010" t="s">
        <v>10366</v>
      </c>
    </row>
    <row r="2011" spans="1:2">
      <c r="A2011" s="1" t="s">
        <v>2896</v>
      </c>
      <c r="B2011" t="s">
        <v>10238</v>
      </c>
    </row>
    <row r="2012" spans="1:2">
      <c r="A2012" s="1" t="s">
        <v>2897</v>
      </c>
      <c r="B2012" t="s">
        <v>10354</v>
      </c>
    </row>
    <row r="2013" spans="1:2">
      <c r="A2013" s="1" t="s">
        <v>2898</v>
      </c>
      <c r="B2013" t="s">
        <v>10405</v>
      </c>
    </row>
    <row r="2014" spans="1:2">
      <c r="A2014" s="1" t="s">
        <v>2899</v>
      </c>
      <c r="B2014" t="s">
        <v>10262</v>
      </c>
    </row>
    <row r="2015" spans="1:2">
      <c r="A2015" s="1" t="s">
        <v>2900</v>
      </c>
      <c r="B2015" t="s">
        <v>10234</v>
      </c>
    </row>
    <row r="2016" spans="1:2">
      <c r="A2016" s="1" t="s">
        <v>791</v>
      </c>
      <c r="B2016" t="s">
        <v>10240</v>
      </c>
    </row>
    <row r="2017" spans="1:2">
      <c r="A2017" s="1" t="s">
        <v>2901</v>
      </c>
      <c r="B2017" t="s">
        <v>10234</v>
      </c>
    </row>
    <row r="2018" spans="1:2">
      <c r="A2018" s="1" t="s">
        <v>2902</v>
      </c>
      <c r="B2018" t="s">
        <v>10305</v>
      </c>
    </row>
    <row r="2019" spans="1:2">
      <c r="A2019" s="1" t="s">
        <v>577</v>
      </c>
      <c r="B2019" t="s">
        <v>10244</v>
      </c>
    </row>
    <row r="2020" spans="1:2">
      <c r="A2020" s="1" t="s">
        <v>2903</v>
      </c>
      <c r="B2020" t="s">
        <v>10336</v>
      </c>
    </row>
    <row r="2021" spans="1:2">
      <c r="A2021" s="1" t="s">
        <v>495</v>
      </c>
      <c r="B2021" t="s">
        <v>10240</v>
      </c>
    </row>
    <row r="2022" spans="1:2">
      <c r="A2022" s="1" t="s">
        <v>881</v>
      </c>
      <c r="B2022" t="s">
        <v>10284</v>
      </c>
    </row>
    <row r="2023" spans="1:2">
      <c r="A2023" s="1" t="s">
        <v>2904</v>
      </c>
      <c r="B2023" t="s">
        <v>10234</v>
      </c>
    </row>
    <row r="2024" spans="1:2">
      <c r="A2024" s="1" t="s">
        <v>2905</v>
      </c>
      <c r="B2024" t="s">
        <v>10256</v>
      </c>
    </row>
    <row r="2025" spans="1:2">
      <c r="A2025" s="1" t="s">
        <v>2906</v>
      </c>
      <c r="B2025" t="s">
        <v>10388</v>
      </c>
    </row>
    <row r="2026" spans="1:2">
      <c r="A2026" s="1" t="s">
        <v>2907</v>
      </c>
      <c r="B2026" t="s">
        <v>10223</v>
      </c>
    </row>
    <row r="2027" spans="1:2">
      <c r="A2027" s="1" t="s">
        <v>2908</v>
      </c>
      <c r="B2027" t="s">
        <v>10256</v>
      </c>
    </row>
    <row r="2028" spans="1:2">
      <c r="A2028" s="1" t="s">
        <v>2909</v>
      </c>
      <c r="B2028" t="s">
        <v>10256</v>
      </c>
    </row>
    <row r="2029" spans="1:2">
      <c r="A2029" s="1" t="s">
        <v>799</v>
      </c>
      <c r="B2029" t="s">
        <v>10277</v>
      </c>
    </row>
    <row r="2030" spans="1:2">
      <c r="A2030" s="1" t="s">
        <v>2910</v>
      </c>
      <c r="B2030" t="s">
        <v>10415</v>
      </c>
    </row>
    <row r="2031" spans="1:2">
      <c r="A2031" s="1" t="s">
        <v>2911</v>
      </c>
      <c r="B2031" t="s">
        <v>10277</v>
      </c>
    </row>
    <row r="2032" spans="1:2">
      <c r="A2032" s="1" t="s">
        <v>2912</v>
      </c>
      <c r="B2032" t="s">
        <v>10234</v>
      </c>
    </row>
    <row r="2033" spans="1:2">
      <c r="A2033" s="1" t="s">
        <v>2913</v>
      </c>
      <c r="B2033" t="s">
        <v>10239</v>
      </c>
    </row>
    <row r="2034" spans="1:2">
      <c r="A2034" s="1" t="s">
        <v>2914</v>
      </c>
      <c r="B2034" t="s">
        <v>10255</v>
      </c>
    </row>
    <row r="2035" spans="1:2">
      <c r="A2035" s="1" t="s">
        <v>2915</v>
      </c>
      <c r="B2035" t="s">
        <v>10382</v>
      </c>
    </row>
    <row r="2036" spans="1:2">
      <c r="A2036" s="1" t="s">
        <v>2916</v>
      </c>
      <c r="B2036" t="s">
        <v>10277</v>
      </c>
    </row>
    <row r="2037" spans="1:2">
      <c r="A2037" s="1" t="s">
        <v>2917</v>
      </c>
      <c r="B2037" t="s">
        <v>10283</v>
      </c>
    </row>
    <row r="2038" spans="1:2">
      <c r="A2038" s="1" t="s">
        <v>2918</v>
      </c>
      <c r="B2038" t="s">
        <v>10262</v>
      </c>
    </row>
    <row r="2039" spans="1:2">
      <c r="A2039" s="1" t="s">
        <v>2919</v>
      </c>
      <c r="B2039" t="s">
        <v>10244</v>
      </c>
    </row>
    <row r="2040" spans="1:2">
      <c r="A2040" s="1" t="s">
        <v>2920</v>
      </c>
      <c r="B2040" t="s">
        <v>10234</v>
      </c>
    </row>
    <row r="2041" spans="1:2">
      <c r="A2041" s="1" t="s">
        <v>2921</v>
      </c>
      <c r="B2041" t="s">
        <v>10234</v>
      </c>
    </row>
    <row r="2042" spans="1:2">
      <c r="A2042" s="1" t="s">
        <v>2922</v>
      </c>
      <c r="B2042" t="s">
        <v>10225</v>
      </c>
    </row>
    <row r="2043" spans="1:2">
      <c r="A2043" s="1" t="s">
        <v>803</v>
      </c>
      <c r="B2043" t="s">
        <v>10283</v>
      </c>
    </row>
    <row r="2044" spans="1:2">
      <c r="A2044" s="1" t="s">
        <v>2923</v>
      </c>
      <c r="B2044" t="s">
        <v>10240</v>
      </c>
    </row>
    <row r="2045" spans="1:2">
      <c r="A2045" s="1" t="s">
        <v>2924</v>
      </c>
      <c r="B2045" t="s">
        <v>10261</v>
      </c>
    </row>
    <row r="2046" spans="1:2">
      <c r="A2046" s="1" t="s">
        <v>2925</v>
      </c>
      <c r="B2046" t="s">
        <v>10366</v>
      </c>
    </row>
    <row r="2047" spans="1:2">
      <c r="A2047" s="1" t="s">
        <v>778</v>
      </c>
      <c r="B2047" t="s">
        <v>10277</v>
      </c>
    </row>
    <row r="2048" spans="1:2">
      <c r="A2048" s="1" t="s">
        <v>2926</v>
      </c>
      <c r="B2048" t="s">
        <v>10326</v>
      </c>
    </row>
    <row r="2049" spans="1:2">
      <c r="A2049" s="1" t="s">
        <v>2927</v>
      </c>
      <c r="B2049" t="s">
        <v>10353</v>
      </c>
    </row>
    <row r="2050" spans="1:2">
      <c r="A2050" s="1" t="s">
        <v>2928</v>
      </c>
      <c r="B2050" t="s">
        <v>10357</v>
      </c>
    </row>
    <row r="2051" spans="1:2">
      <c r="A2051" s="1" t="s">
        <v>2929</v>
      </c>
      <c r="B2051" t="s">
        <v>10369</v>
      </c>
    </row>
    <row r="2052" spans="1:2">
      <c r="A2052" s="1" t="s">
        <v>2930</v>
      </c>
      <c r="B2052" t="s">
        <v>10224</v>
      </c>
    </row>
    <row r="2053" spans="1:2">
      <c r="A2053" s="1" t="s">
        <v>2931</v>
      </c>
      <c r="B2053" t="s">
        <v>10241</v>
      </c>
    </row>
    <row r="2054" spans="1:2">
      <c r="A2054" s="1" t="s">
        <v>2932</v>
      </c>
      <c r="B2054" t="s">
        <v>10305</v>
      </c>
    </row>
    <row r="2055" spans="1:2">
      <c r="A2055" s="1" t="s">
        <v>2933</v>
      </c>
      <c r="B2055" t="s">
        <v>10286</v>
      </c>
    </row>
    <row r="2056" spans="1:2">
      <c r="A2056" s="1" t="s">
        <v>2934</v>
      </c>
      <c r="B2056" t="s">
        <v>10263</v>
      </c>
    </row>
    <row r="2057" spans="1:2">
      <c r="A2057" s="1" t="s">
        <v>2935</v>
      </c>
      <c r="B2057" t="s">
        <v>10262</v>
      </c>
    </row>
    <row r="2058" spans="1:2">
      <c r="A2058" s="1" t="s">
        <v>2936</v>
      </c>
      <c r="B2058" t="s">
        <v>10265</v>
      </c>
    </row>
    <row r="2059" spans="1:2">
      <c r="A2059" s="1" t="s">
        <v>2937</v>
      </c>
      <c r="B2059" t="s">
        <v>10322</v>
      </c>
    </row>
    <row r="2060" spans="1:2">
      <c r="A2060" s="1" t="s">
        <v>2938</v>
      </c>
      <c r="B2060" t="s">
        <v>10248</v>
      </c>
    </row>
    <row r="2061" spans="1:2">
      <c r="A2061" s="1" t="s">
        <v>2939</v>
      </c>
      <c r="B2061" t="s">
        <v>10287</v>
      </c>
    </row>
    <row r="2062" spans="1:2">
      <c r="A2062" s="1" t="s">
        <v>2940</v>
      </c>
      <c r="B2062" t="s">
        <v>10234</v>
      </c>
    </row>
    <row r="2063" spans="1:2">
      <c r="A2063" s="1" t="s">
        <v>2941</v>
      </c>
      <c r="B2063" t="s">
        <v>10327</v>
      </c>
    </row>
    <row r="2064" spans="1:2">
      <c r="A2064" s="1" t="s">
        <v>794</v>
      </c>
      <c r="B2064" t="s">
        <v>10234</v>
      </c>
    </row>
    <row r="2065" spans="1:2">
      <c r="A2065" s="1" t="s">
        <v>2942</v>
      </c>
      <c r="B2065" t="s">
        <v>10283</v>
      </c>
    </row>
    <row r="2066" spans="1:2">
      <c r="A2066" s="1" t="s">
        <v>2943</v>
      </c>
      <c r="B2066" t="s">
        <v>10271</v>
      </c>
    </row>
    <row r="2067" spans="1:2">
      <c r="A2067" s="1" t="s">
        <v>2944</v>
      </c>
      <c r="B2067" t="s">
        <v>10360</v>
      </c>
    </row>
    <row r="2068" spans="1:2">
      <c r="A2068" s="1" t="s">
        <v>240</v>
      </c>
      <c r="B2068" t="s">
        <v>10262</v>
      </c>
    </row>
    <row r="2069" spans="1:2">
      <c r="A2069" s="1" t="s">
        <v>2945</v>
      </c>
      <c r="B2069" t="s">
        <v>10234</v>
      </c>
    </row>
    <row r="2070" spans="1:2">
      <c r="A2070" s="1" t="s">
        <v>2946</v>
      </c>
      <c r="B2070" t="s">
        <v>10366</v>
      </c>
    </row>
    <row r="2071" spans="1:2">
      <c r="A2071" s="1" t="s">
        <v>2947</v>
      </c>
      <c r="B2071" t="s">
        <v>10283</v>
      </c>
    </row>
    <row r="2072" spans="1:2">
      <c r="A2072" s="1" t="s">
        <v>2948</v>
      </c>
      <c r="B2072" t="s">
        <v>10265</v>
      </c>
    </row>
    <row r="2073" spans="1:2">
      <c r="A2073" s="1" t="s">
        <v>801</v>
      </c>
      <c r="B2073" t="s">
        <v>10239</v>
      </c>
    </row>
    <row r="2074" spans="1:2">
      <c r="A2074" s="1" t="s">
        <v>2949</v>
      </c>
      <c r="B2074" t="s">
        <v>10230</v>
      </c>
    </row>
    <row r="2075" spans="1:2">
      <c r="A2075" s="1" t="s">
        <v>579</v>
      </c>
      <c r="B2075" t="s">
        <v>10290</v>
      </c>
    </row>
    <row r="2076" spans="1:2">
      <c r="A2076" s="1" t="s">
        <v>855</v>
      </c>
      <c r="B2076" t="s">
        <v>10243</v>
      </c>
    </row>
    <row r="2077" spans="1:2">
      <c r="A2077" s="1" t="s">
        <v>2950</v>
      </c>
      <c r="B2077" t="s">
        <v>10258</v>
      </c>
    </row>
    <row r="2078" spans="1:2">
      <c r="A2078" s="1" t="s">
        <v>2951</v>
      </c>
      <c r="B2078" t="s">
        <v>10256</v>
      </c>
    </row>
    <row r="2079" spans="1:2">
      <c r="A2079" s="1" t="s">
        <v>2952</v>
      </c>
      <c r="B2079" t="s">
        <v>10287</v>
      </c>
    </row>
    <row r="2080" spans="1:2">
      <c r="A2080" s="1" t="s">
        <v>2953</v>
      </c>
      <c r="B2080" t="s">
        <v>10366</v>
      </c>
    </row>
    <row r="2081" spans="1:2">
      <c r="A2081" s="1" t="s">
        <v>2954</v>
      </c>
      <c r="B2081" t="s">
        <v>10241</v>
      </c>
    </row>
    <row r="2082" spans="1:2">
      <c r="A2082" s="1" t="s">
        <v>2955</v>
      </c>
      <c r="B2082" t="s">
        <v>10234</v>
      </c>
    </row>
    <row r="2083" spans="1:2">
      <c r="A2083" s="1" t="s">
        <v>2956</v>
      </c>
      <c r="B2083" t="s">
        <v>10241</v>
      </c>
    </row>
    <row r="2084" spans="1:2">
      <c r="A2084" s="1" t="s">
        <v>2957</v>
      </c>
      <c r="B2084" t="s">
        <v>10230</v>
      </c>
    </row>
    <row r="2085" spans="1:2">
      <c r="A2085" s="1" t="s">
        <v>595</v>
      </c>
      <c r="B2085" t="s">
        <v>10238</v>
      </c>
    </row>
    <row r="2086" spans="1:2">
      <c r="A2086" s="1" t="s">
        <v>2958</v>
      </c>
      <c r="B2086" t="s">
        <v>10353</v>
      </c>
    </row>
    <row r="2087" spans="1:2">
      <c r="A2087" s="1" t="s">
        <v>2959</v>
      </c>
      <c r="B2087" t="s">
        <v>10263</v>
      </c>
    </row>
    <row r="2088" spans="1:2">
      <c r="A2088" s="1" t="s">
        <v>2960</v>
      </c>
      <c r="B2088" t="s">
        <v>10325</v>
      </c>
    </row>
    <row r="2089" spans="1:2">
      <c r="A2089" s="1" t="s">
        <v>2961</v>
      </c>
      <c r="B2089" t="s">
        <v>10258</v>
      </c>
    </row>
    <row r="2090" spans="1:2">
      <c r="A2090" s="1" t="s">
        <v>2962</v>
      </c>
      <c r="B2090" t="s">
        <v>10283</v>
      </c>
    </row>
    <row r="2091" spans="1:2">
      <c r="A2091" s="1" t="s">
        <v>619</v>
      </c>
      <c r="B2091" t="s">
        <v>10328</v>
      </c>
    </row>
    <row r="2092" spans="1:2">
      <c r="A2092" s="1" t="s">
        <v>2963</v>
      </c>
      <c r="B2092" t="s">
        <v>10234</v>
      </c>
    </row>
    <row r="2093" spans="1:2">
      <c r="A2093" s="1" t="s">
        <v>2964</v>
      </c>
      <c r="B2093" t="s">
        <v>10262</v>
      </c>
    </row>
    <row r="2094" spans="1:2">
      <c r="A2094" s="1" t="s">
        <v>2965</v>
      </c>
      <c r="B2094" t="s">
        <v>10262</v>
      </c>
    </row>
    <row r="2095" spans="1:2">
      <c r="A2095" s="1" t="s">
        <v>2966</v>
      </c>
      <c r="B2095" t="s">
        <v>10243</v>
      </c>
    </row>
    <row r="2096" spans="1:2">
      <c r="A2096" s="1" t="s">
        <v>2967</v>
      </c>
      <c r="B2096" t="s">
        <v>10277</v>
      </c>
    </row>
    <row r="2097" spans="1:2">
      <c r="A2097" s="1" t="s">
        <v>2968</v>
      </c>
      <c r="B2097" t="s">
        <v>10244</v>
      </c>
    </row>
    <row r="2098" spans="1:2">
      <c r="A2098" s="1" t="s">
        <v>696</v>
      </c>
      <c r="B2098" t="s">
        <v>10222</v>
      </c>
    </row>
    <row r="2099" spans="1:2">
      <c r="A2099" s="1" t="s">
        <v>2969</v>
      </c>
      <c r="B2099" t="s">
        <v>10245</v>
      </c>
    </row>
    <row r="2100" spans="1:2">
      <c r="A2100" s="1" t="s">
        <v>2970</v>
      </c>
      <c r="B2100" t="s">
        <v>10323</v>
      </c>
    </row>
    <row r="2101" spans="1:2">
      <c r="A2101" s="1" t="s">
        <v>2971</v>
      </c>
      <c r="B2101" t="s">
        <v>10234</v>
      </c>
    </row>
    <row r="2102" spans="1:2">
      <c r="A2102" s="1" t="s">
        <v>2972</v>
      </c>
      <c r="B2102" t="s">
        <v>901</v>
      </c>
    </row>
    <row r="2103" spans="1:2">
      <c r="A2103" s="1" t="s">
        <v>2973</v>
      </c>
      <c r="B2103" t="s">
        <v>10430</v>
      </c>
    </row>
    <row r="2104" spans="1:2">
      <c r="A2104" s="1" t="s">
        <v>2974</v>
      </c>
      <c r="B2104" t="s">
        <v>10294</v>
      </c>
    </row>
    <row r="2105" spans="1:2">
      <c r="A2105" s="1" t="s">
        <v>2975</v>
      </c>
      <c r="B2105" t="s">
        <v>10266</v>
      </c>
    </row>
    <row r="2106" spans="1:2">
      <c r="A2106" s="1" t="s">
        <v>2976</v>
      </c>
      <c r="B2106" t="s">
        <v>10225</v>
      </c>
    </row>
    <row r="2107" spans="1:2">
      <c r="A2107" s="1" t="s">
        <v>2977</v>
      </c>
      <c r="B2107" t="s">
        <v>10412</v>
      </c>
    </row>
    <row r="2108" spans="1:2">
      <c r="A2108" s="1" t="s">
        <v>2978</v>
      </c>
      <c r="B2108" t="s">
        <v>10234</v>
      </c>
    </row>
    <row r="2109" spans="1:2">
      <c r="A2109" s="1" t="s">
        <v>2979</v>
      </c>
      <c r="B2109" t="s">
        <v>10240</v>
      </c>
    </row>
    <row r="2110" spans="1:2">
      <c r="A2110" s="1" t="s">
        <v>2980</v>
      </c>
      <c r="B2110" t="s">
        <v>10224</v>
      </c>
    </row>
    <row r="2111" spans="1:2">
      <c r="A2111" s="1" t="s">
        <v>2981</v>
      </c>
      <c r="B2111" t="s">
        <v>10244</v>
      </c>
    </row>
    <row r="2112" spans="1:2">
      <c r="A2112" s="1" t="s">
        <v>2982</v>
      </c>
      <c r="B2112" t="s">
        <v>10234</v>
      </c>
    </row>
    <row r="2113" spans="1:2">
      <c r="A2113" s="1" t="s">
        <v>2983</v>
      </c>
      <c r="B2113" t="s">
        <v>10234</v>
      </c>
    </row>
    <row r="2114" spans="1:2">
      <c r="A2114" s="1" t="s">
        <v>2984</v>
      </c>
      <c r="B2114" t="s">
        <v>10251</v>
      </c>
    </row>
    <row r="2115" spans="1:2">
      <c r="A2115" s="1" t="s">
        <v>2985</v>
      </c>
      <c r="B2115" t="s">
        <v>901</v>
      </c>
    </row>
    <row r="2116" spans="1:2">
      <c r="A2116" s="1" t="s">
        <v>2986</v>
      </c>
      <c r="B2116" t="s">
        <v>10280</v>
      </c>
    </row>
    <row r="2117" spans="1:2">
      <c r="A2117" s="1" t="s">
        <v>2987</v>
      </c>
      <c r="B2117" t="s">
        <v>10282</v>
      </c>
    </row>
    <row r="2118" spans="1:2">
      <c r="A2118" s="1" t="s">
        <v>689</v>
      </c>
      <c r="B2118" t="s">
        <v>10286</v>
      </c>
    </row>
    <row r="2119" spans="1:2">
      <c r="A2119" s="1" t="s">
        <v>2988</v>
      </c>
      <c r="B2119" t="s">
        <v>10403</v>
      </c>
    </row>
    <row r="2120" spans="1:2">
      <c r="A2120" s="1" t="s">
        <v>760</v>
      </c>
      <c r="B2120" t="s">
        <v>10250</v>
      </c>
    </row>
    <row r="2121" spans="1:2">
      <c r="A2121" s="1" t="s">
        <v>787</v>
      </c>
      <c r="B2121" t="s">
        <v>10277</v>
      </c>
    </row>
    <row r="2122" spans="1:2">
      <c r="A2122" s="1" t="s">
        <v>2989</v>
      </c>
      <c r="B2122" t="s">
        <v>10234</v>
      </c>
    </row>
    <row r="2123" spans="1:2">
      <c r="A2123" s="1" t="s">
        <v>2990</v>
      </c>
      <c r="B2123" t="s">
        <v>10289</v>
      </c>
    </row>
    <row r="2124" spans="1:2">
      <c r="A2124" s="1" t="s">
        <v>2991</v>
      </c>
      <c r="B2124" t="s">
        <v>10312</v>
      </c>
    </row>
    <row r="2125" spans="1:2">
      <c r="A2125" s="1" t="s">
        <v>2992</v>
      </c>
      <c r="B2125" t="s">
        <v>10353</v>
      </c>
    </row>
    <row r="2126" spans="1:2">
      <c r="A2126" s="1" t="s">
        <v>2993</v>
      </c>
      <c r="B2126" t="s">
        <v>10238</v>
      </c>
    </row>
    <row r="2127" spans="1:2">
      <c r="A2127" s="1" t="s">
        <v>2994</v>
      </c>
      <c r="B2127" t="s">
        <v>901</v>
      </c>
    </row>
    <row r="2128" spans="1:2">
      <c r="A2128" s="1" t="s">
        <v>2995</v>
      </c>
      <c r="B2128" t="s">
        <v>10305</v>
      </c>
    </row>
    <row r="2129" spans="1:2">
      <c r="A2129" s="1" t="s">
        <v>2996</v>
      </c>
      <c r="B2129" t="s">
        <v>10277</v>
      </c>
    </row>
    <row r="2130" spans="1:2">
      <c r="A2130" s="1" t="s">
        <v>2997</v>
      </c>
      <c r="B2130" t="s">
        <v>10258</v>
      </c>
    </row>
    <row r="2131" spans="1:2">
      <c r="A2131" s="1" t="s">
        <v>2998</v>
      </c>
      <c r="B2131" t="s">
        <v>10277</v>
      </c>
    </row>
    <row r="2132" spans="1:2">
      <c r="A2132" s="1" t="s">
        <v>2999</v>
      </c>
      <c r="B2132" t="s">
        <v>10224</v>
      </c>
    </row>
    <row r="2133" spans="1:2">
      <c r="A2133" s="1" t="s">
        <v>3000</v>
      </c>
      <c r="B2133" t="s">
        <v>10288</v>
      </c>
    </row>
    <row r="2134" spans="1:2">
      <c r="A2134" s="1" t="s">
        <v>3001</v>
      </c>
      <c r="B2134" t="s">
        <v>10431</v>
      </c>
    </row>
    <row r="2135" spans="1:2">
      <c r="A2135" s="1" t="s">
        <v>3002</v>
      </c>
      <c r="B2135" t="s">
        <v>10234</v>
      </c>
    </row>
    <row r="2136" spans="1:2">
      <c r="A2136" s="1" t="s">
        <v>3003</v>
      </c>
      <c r="B2136" t="s">
        <v>10432</v>
      </c>
    </row>
    <row r="2137" spans="1:2">
      <c r="A2137" s="1" t="s">
        <v>3004</v>
      </c>
      <c r="B2137" t="s">
        <v>10411</v>
      </c>
    </row>
    <row r="2138" spans="1:2">
      <c r="A2138" s="1" t="s">
        <v>3005</v>
      </c>
      <c r="B2138" t="s">
        <v>10263</v>
      </c>
    </row>
    <row r="2139" spans="1:2">
      <c r="A2139" s="1" t="s">
        <v>3006</v>
      </c>
      <c r="B2139" t="s">
        <v>10240</v>
      </c>
    </row>
    <row r="2140" spans="1:2">
      <c r="A2140" s="1" t="s">
        <v>3007</v>
      </c>
      <c r="B2140" t="s">
        <v>10270</v>
      </c>
    </row>
    <row r="2141" spans="1:2">
      <c r="A2141" s="1" t="s">
        <v>3008</v>
      </c>
      <c r="B2141" t="s">
        <v>10298</v>
      </c>
    </row>
    <row r="2142" spans="1:2">
      <c r="A2142" s="1" t="s">
        <v>3009</v>
      </c>
      <c r="B2142" t="s">
        <v>10354</v>
      </c>
    </row>
    <row r="2143" spans="1:2">
      <c r="A2143" s="1" t="s">
        <v>3010</v>
      </c>
      <c r="B2143" t="s">
        <v>10224</v>
      </c>
    </row>
    <row r="2144" spans="1:2">
      <c r="A2144" s="1" t="s">
        <v>3011</v>
      </c>
      <c r="B2144" t="s">
        <v>10263</v>
      </c>
    </row>
    <row r="2145" spans="1:2">
      <c r="A2145" s="1" t="s">
        <v>3012</v>
      </c>
      <c r="B2145" t="s">
        <v>10354</v>
      </c>
    </row>
    <row r="2146" spans="1:2">
      <c r="A2146" s="1" t="s">
        <v>3013</v>
      </c>
      <c r="B2146" t="s">
        <v>10231</v>
      </c>
    </row>
    <row r="2147" spans="1:2">
      <c r="A2147" s="1" t="s">
        <v>3014</v>
      </c>
      <c r="B2147" t="s">
        <v>10286</v>
      </c>
    </row>
    <row r="2148" spans="1:2">
      <c r="A2148" s="1" t="s">
        <v>3015</v>
      </c>
      <c r="B2148" t="s">
        <v>10433</v>
      </c>
    </row>
    <row r="2149" spans="1:2">
      <c r="A2149" s="1" t="s">
        <v>3016</v>
      </c>
      <c r="B2149" t="s">
        <v>10244</v>
      </c>
    </row>
    <row r="2150" spans="1:2">
      <c r="A2150" s="1" t="s">
        <v>3017</v>
      </c>
      <c r="B2150" t="s">
        <v>10305</v>
      </c>
    </row>
    <row r="2151" spans="1:2">
      <c r="A2151" s="1" t="s">
        <v>3018</v>
      </c>
      <c r="B2151" t="s">
        <v>901</v>
      </c>
    </row>
    <row r="2152" spans="1:2">
      <c r="A2152" s="1" t="s">
        <v>3019</v>
      </c>
      <c r="B2152" t="s">
        <v>10263</v>
      </c>
    </row>
    <row r="2153" spans="1:2">
      <c r="A2153" s="1" t="s">
        <v>3020</v>
      </c>
      <c r="B2153" t="s">
        <v>10261</v>
      </c>
    </row>
    <row r="2154" spans="1:2">
      <c r="A2154" s="1" t="s">
        <v>683</v>
      </c>
      <c r="B2154" t="s">
        <v>10252</v>
      </c>
    </row>
    <row r="2155" spans="1:2">
      <c r="A2155" s="1" t="s">
        <v>816</v>
      </c>
      <c r="B2155" t="s">
        <v>10269</v>
      </c>
    </row>
    <row r="2156" spans="1:2">
      <c r="A2156" s="1" t="s">
        <v>755</v>
      </c>
      <c r="B2156" t="s">
        <v>10229</v>
      </c>
    </row>
    <row r="2157" spans="1:2">
      <c r="A2157" s="1" t="s">
        <v>3021</v>
      </c>
      <c r="B2157" t="s">
        <v>10225</v>
      </c>
    </row>
    <row r="2158" spans="1:2">
      <c r="A2158" s="1" t="s">
        <v>3022</v>
      </c>
      <c r="B2158" t="s">
        <v>10434</v>
      </c>
    </row>
    <row r="2159" spans="1:2">
      <c r="A2159" s="1" t="s">
        <v>3023</v>
      </c>
      <c r="B2159" t="s">
        <v>10234</v>
      </c>
    </row>
    <row r="2160" spans="1:2">
      <c r="A2160" s="1" t="s">
        <v>3024</v>
      </c>
      <c r="B2160" t="s">
        <v>10278</v>
      </c>
    </row>
    <row r="2161" spans="1:2">
      <c r="A2161" s="1" t="s">
        <v>673</v>
      </c>
      <c r="B2161" t="s">
        <v>10224</v>
      </c>
    </row>
    <row r="2162" spans="1:2">
      <c r="A2162" s="1" t="s">
        <v>3025</v>
      </c>
      <c r="B2162" t="s">
        <v>10240</v>
      </c>
    </row>
    <row r="2163" spans="1:2">
      <c r="A2163" s="1" t="s">
        <v>812</v>
      </c>
      <c r="B2163" t="s">
        <v>10357</v>
      </c>
    </row>
    <row r="2164" spans="1:2">
      <c r="A2164" s="1" t="s">
        <v>3026</v>
      </c>
      <c r="B2164" t="s">
        <v>10234</v>
      </c>
    </row>
    <row r="2165" spans="1:2">
      <c r="A2165" s="1" t="s">
        <v>3027</v>
      </c>
      <c r="B2165" t="s">
        <v>10263</v>
      </c>
    </row>
    <row r="2166" spans="1:2">
      <c r="A2166" s="1" t="s">
        <v>3028</v>
      </c>
      <c r="B2166" t="s">
        <v>10240</v>
      </c>
    </row>
    <row r="2167" spans="1:2">
      <c r="A2167" s="1" t="s">
        <v>3029</v>
      </c>
      <c r="B2167" t="s">
        <v>10234</v>
      </c>
    </row>
    <row r="2168" spans="1:2">
      <c r="A2168" s="1" t="s">
        <v>3030</v>
      </c>
      <c r="B2168" t="s">
        <v>10230</v>
      </c>
    </row>
    <row r="2169" spans="1:2">
      <c r="A2169" s="1" t="s">
        <v>3031</v>
      </c>
      <c r="B2169" t="s">
        <v>10336</v>
      </c>
    </row>
    <row r="2170" spans="1:2">
      <c r="A2170" s="1" t="s">
        <v>3032</v>
      </c>
      <c r="B2170" t="s">
        <v>10224</v>
      </c>
    </row>
    <row r="2171" spans="1:2">
      <c r="A2171" s="1" t="s">
        <v>3033</v>
      </c>
      <c r="B2171" t="s">
        <v>10340</v>
      </c>
    </row>
    <row r="2172" spans="1:2">
      <c r="A2172" s="1" t="s">
        <v>3034</v>
      </c>
      <c r="B2172" t="s">
        <v>10234</v>
      </c>
    </row>
    <row r="2173" spans="1:2">
      <c r="A2173" s="1" t="s">
        <v>3035</v>
      </c>
      <c r="B2173" t="s">
        <v>10432</v>
      </c>
    </row>
    <row r="2174" spans="1:2">
      <c r="A2174" s="1" t="s">
        <v>3036</v>
      </c>
      <c r="B2174" t="s">
        <v>10229</v>
      </c>
    </row>
    <row r="2175" spans="1:2">
      <c r="A2175" s="1" t="s">
        <v>3037</v>
      </c>
      <c r="B2175" t="s">
        <v>10258</v>
      </c>
    </row>
    <row r="2176" spans="1:2">
      <c r="A2176" s="1" t="s">
        <v>419</v>
      </c>
      <c r="B2176" t="s">
        <v>10277</v>
      </c>
    </row>
    <row r="2177" spans="1:2">
      <c r="A2177" s="1" t="s">
        <v>3038</v>
      </c>
      <c r="B2177" t="s">
        <v>10262</v>
      </c>
    </row>
    <row r="2178" spans="1:2">
      <c r="A2178" s="1" t="s">
        <v>3039</v>
      </c>
      <c r="B2178" t="s">
        <v>10413</v>
      </c>
    </row>
    <row r="2179" spans="1:2">
      <c r="A2179" s="1" t="s">
        <v>3040</v>
      </c>
      <c r="B2179" t="s">
        <v>10263</v>
      </c>
    </row>
    <row r="2180" spans="1:2">
      <c r="A2180" s="1" t="s">
        <v>3041</v>
      </c>
      <c r="B2180" t="s">
        <v>10306</v>
      </c>
    </row>
    <row r="2181" spans="1:2">
      <c r="A2181" s="1" t="s">
        <v>3042</v>
      </c>
      <c r="B2181" t="s">
        <v>10258</v>
      </c>
    </row>
    <row r="2182" spans="1:2">
      <c r="A2182" s="1" t="s">
        <v>3043</v>
      </c>
      <c r="B2182" t="s">
        <v>10328</v>
      </c>
    </row>
    <row r="2183" spans="1:2">
      <c r="A2183" s="1" t="s">
        <v>3044</v>
      </c>
      <c r="B2183" t="s">
        <v>10231</v>
      </c>
    </row>
    <row r="2184" spans="1:2">
      <c r="A2184" s="1" t="s">
        <v>3045</v>
      </c>
      <c r="B2184" t="s">
        <v>10255</v>
      </c>
    </row>
    <row r="2185" spans="1:2">
      <c r="A2185" s="1" t="s">
        <v>3046</v>
      </c>
      <c r="B2185" t="s">
        <v>10435</v>
      </c>
    </row>
    <row r="2186" spans="1:2">
      <c r="A2186" s="1" t="s">
        <v>3047</v>
      </c>
      <c r="B2186" t="s">
        <v>10305</v>
      </c>
    </row>
    <row r="2187" spans="1:2">
      <c r="A2187" s="1" t="s">
        <v>3048</v>
      </c>
      <c r="B2187" t="s">
        <v>10234</v>
      </c>
    </row>
    <row r="2188" spans="1:2">
      <c r="A2188" s="1" t="s">
        <v>3049</v>
      </c>
      <c r="B2188" t="s">
        <v>10234</v>
      </c>
    </row>
    <row r="2189" spans="1:2">
      <c r="A2189" s="1" t="s">
        <v>3050</v>
      </c>
      <c r="B2189" t="s">
        <v>10254</v>
      </c>
    </row>
    <row r="2190" spans="1:2">
      <c r="A2190" s="1" t="s">
        <v>415</v>
      </c>
      <c r="B2190" t="s">
        <v>10240</v>
      </c>
    </row>
    <row r="2191" spans="1:2">
      <c r="A2191" s="1" t="s">
        <v>3051</v>
      </c>
      <c r="B2191" t="s">
        <v>10258</v>
      </c>
    </row>
    <row r="2192" spans="1:2">
      <c r="A2192" s="1" t="s">
        <v>3052</v>
      </c>
      <c r="B2192" t="s">
        <v>10234</v>
      </c>
    </row>
    <row r="2193" spans="1:2">
      <c r="A2193" s="1" t="s">
        <v>3053</v>
      </c>
      <c r="B2193" t="s">
        <v>10238</v>
      </c>
    </row>
    <row r="2194" spans="1:2">
      <c r="A2194" s="1" t="s">
        <v>3054</v>
      </c>
      <c r="B2194" t="s">
        <v>10260</v>
      </c>
    </row>
    <row r="2195" spans="1:2">
      <c r="A2195" s="1" t="s">
        <v>3055</v>
      </c>
      <c r="B2195" t="s">
        <v>10258</v>
      </c>
    </row>
    <row r="2196" spans="1:2">
      <c r="A2196" s="1" t="s">
        <v>3056</v>
      </c>
      <c r="B2196" t="s">
        <v>10265</v>
      </c>
    </row>
    <row r="2197" spans="1:2">
      <c r="A2197" s="1" t="s">
        <v>3057</v>
      </c>
      <c r="B2197" t="s">
        <v>10343</v>
      </c>
    </row>
    <row r="2198" spans="1:2">
      <c r="A2198" s="1" t="s">
        <v>3058</v>
      </c>
      <c r="B2198" t="s">
        <v>10387</v>
      </c>
    </row>
    <row r="2199" spans="1:2">
      <c r="A2199" s="1" t="s">
        <v>3059</v>
      </c>
      <c r="B2199" t="s">
        <v>10224</v>
      </c>
    </row>
    <row r="2200" spans="1:2">
      <c r="A2200" s="1" t="s">
        <v>3060</v>
      </c>
      <c r="B2200" t="s">
        <v>10251</v>
      </c>
    </row>
    <row r="2201" spans="1:2">
      <c r="A2201" s="1" t="s">
        <v>3061</v>
      </c>
      <c r="B2201" t="s">
        <v>10284</v>
      </c>
    </row>
    <row r="2202" spans="1:2">
      <c r="A2202" s="1" t="s">
        <v>3062</v>
      </c>
      <c r="B2202" t="s">
        <v>10240</v>
      </c>
    </row>
    <row r="2203" spans="1:2">
      <c r="A2203" s="1" t="s">
        <v>3063</v>
      </c>
      <c r="B2203" t="s">
        <v>10324</v>
      </c>
    </row>
    <row r="2204" spans="1:2">
      <c r="A2204" s="1" t="s">
        <v>3064</v>
      </c>
      <c r="B2204" t="s">
        <v>10354</v>
      </c>
    </row>
    <row r="2205" spans="1:2">
      <c r="A2205" s="1" t="s">
        <v>3065</v>
      </c>
      <c r="B2205" t="s">
        <v>10436</v>
      </c>
    </row>
    <row r="2206" spans="1:2">
      <c r="A2206" s="1" t="s">
        <v>600</v>
      </c>
      <c r="B2206" t="s">
        <v>10252</v>
      </c>
    </row>
    <row r="2207" spans="1:2">
      <c r="A2207" s="1" t="s">
        <v>3066</v>
      </c>
      <c r="B2207" t="s">
        <v>10263</v>
      </c>
    </row>
    <row r="2208" spans="1:2">
      <c r="A2208" s="1" t="s">
        <v>3067</v>
      </c>
      <c r="B2208" t="s">
        <v>10258</v>
      </c>
    </row>
    <row r="2209" spans="1:2">
      <c r="A2209" s="1" t="s">
        <v>3068</v>
      </c>
      <c r="B2209" t="s">
        <v>10224</v>
      </c>
    </row>
    <row r="2210" spans="1:2">
      <c r="A2210" s="1" t="s">
        <v>380</v>
      </c>
      <c r="B2210" t="s">
        <v>10278</v>
      </c>
    </row>
    <row r="2211" spans="1:2">
      <c r="A2211" s="1" t="s">
        <v>3069</v>
      </c>
      <c r="B2211" t="s">
        <v>901</v>
      </c>
    </row>
    <row r="2212" spans="1:2">
      <c r="A2212" s="1" t="s">
        <v>3070</v>
      </c>
      <c r="B2212" t="s">
        <v>10234</v>
      </c>
    </row>
    <row r="2213" spans="1:2">
      <c r="A2213" s="1" t="s">
        <v>3071</v>
      </c>
      <c r="B2213" t="s">
        <v>10305</v>
      </c>
    </row>
    <row r="2214" spans="1:2">
      <c r="A2214" s="1" t="s">
        <v>3072</v>
      </c>
      <c r="B2214" t="s">
        <v>10437</v>
      </c>
    </row>
    <row r="2215" spans="1:2">
      <c r="A2215" s="1" t="s">
        <v>3073</v>
      </c>
      <c r="B2215" t="s">
        <v>10277</v>
      </c>
    </row>
    <row r="2216" spans="1:2">
      <c r="A2216" s="1" t="s">
        <v>3074</v>
      </c>
      <c r="B2216" t="s">
        <v>10234</v>
      </c>
    </row>
    <row r="2217" spans="1:2">
      <c r="A2217" s="1" t="s">
        <v>3075</v>
      </c>
      <c r="B2217" t="s">
        <v>10366</v>
      </c>
    </row>
    <row r="2218" spans="1:2">
      <c r="A2218" s="1" t="s">
        <v>3076</v>
      </c>
      <c r="B2218" t="s">
        <v>10234</v>
      </c>
    </row>
    <row r="2219" spans="1:2">
      <c r="A2219" s="1" t="s">
        <v>3077</v>
      </c>
      <c r="B2219" t="s">
        <v>10234</v>
      </c>
    </row>
    <row r="2220" spans="1:2">
      <c r="A2220" s="1" t="s">
        <v>3078</v>
      </c>
      <c r="B2220" t="s">
        <v>10338</v>
      </c>
    </row>
    <row r="2221" spans="1:2">
      <c r="A2221" s="1" t="s">
        <v>3079</v>
      </c>
      <c r="B2221" t="s">
        <v>10322</v>
      </c>
    </row>
    <row r="2222" spans="1:2">
      <c r="A2222" s="1" t="s">
        <v>3080</v>
      </c>
      <c r="B2222" t="s">
        <v>10256</v>
      </c>
    </row>
    <row r="2223" spans="1:2">
      <c r="A2223" s="1" t="s">
        <v>3081</v>
      </c>
      <c r="B2223" t="s">
        <v>901</v>
      </c>
    </row>
    <row r="2224" spans="1:2">
      <c r="A2224" s="1" t="s">
        <v>3082</v>
      </c>
      <c r="B2224" t="s">
        <v>10248</v>
      </c>
    </row>
    <row r="2225" spans="1:2">
      <c r="A2225" s="1" t="s">
        <v>3083</v>
      </c>
      <c r="B2225" t="s">
        <v>10399</v>
      </c>
    </row>
    <row r="2226" spans="1:2">
      <c r="A2226" s="1" t="s">
        <v>3084</v>
      </c>
      <c r="B2226" t="s">
        <v>10234</v>
      </c>
    </row>
    <row r="2227" spans="1:2">
      <c r="A2227" s="1" t="s">
        <v>3085</v>
      </c>
      <c r="B2227" t="s">
        <v>10234</v>
      </c>
    </row>
    <row r="2228" spans="1:2">
      <c r="A2228" s="1" t="s">
        <v>3086</v>
      </c>
      <c r="B2228" t="s">
        <v>10263</v>
      </c>
    </row>
    <row r="2229" spans="1:2">
      <c r="A2229" s="1" t="s">
        <v>3087</v>
      </c>
      <c r="B2229" t="s">
        <v>10438</v>
      </c>
    </row>
    <row r="2230" spans="1:2">
      <c r="A2230" s="1" t="s">
        <v>846</v>
      </c>
      <c r="B2230" t="s">
        <v>10234</v>
      </c>
    </row>
    <row r="2231" spans="1:2">
      <c r="A2231" s="1" t="s">
        <v>315</v>
      </c>
      <c r="B2231" t="s">
        <v>10239</v>
      </c>
    </row>
    <row r="2232" spans="1:2">
      <c r="A2232" s="1" t="s">
        <v>3088</v>
      </c>
      <c r="B2232" t="s">
        <v>901</v>
      </c>
    </row>
    <row r="2233" spans="1:2">
      <c r="A2233" s="1" t="s">
        <v>3089</v>
      </c>
      <c r="B2233" t="s">
        <v>10229</v>
      </c>
    </row>
    <row r="2234" spans="1:2">
      <c r="A2234" s="1" t="s">
        <v>3090</v>
      </c>
      <c r="B2234" t="s">
        <v>10240</v>
      </c>
    </row>
    <row r="2235" spans="1:2">
      <c r="A2235" s="1" t="s">
        <v>480</v>
      </c>
      <c r="B2235" t="s">
        <v>10239</v>
      </c>
    </row>
    <row r="2236" spans="1:2">
      <c r="A2236" s="1" t="s">
        <v>3091</v>
      </c>
      <c r="B2236" t="s">
        <v>10234</v>
      </c>
    </row>
    <row r="2237" spans="1:2">
      <c r="A2237" s="1" t="s">
        <v>3092</v>
      </c>
      <c r="B2237" t="s">
        <v>10232</v>
      </c>
    </row>
    <row r="2238" spans="1:2">
      <c r="A2238" s="1" t="s">
        <v>3093</v>
      </c>
      <c r="B2238" t="s">
        <v>10439</v>
      </c>
    </row>
    <row r="2239" spans="1:2">
      <c r="A2239" s="1" t="s">
        <v>3094</v>
      </c>
      <c r="B2239" t="s">
        <v>10239</v>
      </c>
    </row>
    <row r="2240" spans="1:2">
      <c r="A2240" s="1" t="s">
        <v>3095</v>
      </c>
      <c r="B2240" t="s">
        <v>10440</v>
      </c>
    </row>
    <row r="2241" spans="1:2">
      <c r="A2241" s="1" t="s">
        <v>3096</v>
      </c>
      <c r="B2241" t="s">
        <v>10366</v>
      </c>
    </row>
    <row r="2242" spans="1:2">
      <c r="A2242" s="1" t="s">
        <v>3097</v>
      </c>
      <c r="B2242" t="s">
        <v>10229</v>
      </c>
    </row>
    <row r="2243" spans="1:2">
      <c r="A2243" s="1" t="s">
        <v>3098</v>
      </c>
      <c r="B2243" t="s">
        <v>10263</v>
      </c>
    </row>
    <row r="2244" spans="1:2">
      <c r="A2244" s="1" t="s">
        <v>3099</v>
      </c>
      <c r="B2244" t="s">
        <v>10441</v>
      </c>
    </row>
    <row r="2245" spans="1:2">
      <c r="A2245" s="1" t="s">
        <v>3100</v>
      </c>
      <c r="B2245" t="s">
        <v>10239</v>
      </c>
    </row>
    <row r="2246" spans="1:2">
      <c r="A2246" s="1" t="s">
        <v>3101</v>
      </c>
      <c r="B2246" t="s">
        <v>10357</v>
      </c>
    </row>
    <row r="2247" spans="1:2">
      <c r="A2247" s="1" t="s">
        <v>3102</v>
      </c>
      <c r="B2247" t="s">
        <v>10442</v>
      </c>
    </row>
    <row r="2248" spans="1:2">
      <c r="A2248" s="1" t="s">
        <v>3103</v>
      </c>
      <c r="B2248" t="s">
        <v>10277</v>
      </c>
    </row>
    <row r="2249" spans="1:2">
      <c r="A2249" s="1" t="s">
        <v>3104</v>
      </c>
      <c r="B2249" t="s">
        <v>10443</v>
      </c>
    </row>
    <row r="2250" spans="1:2">
      <c r="A2250" s="1" t="s">
        <v>3105</v>
      </c>
      <c r="B2250" t="s">
        <v>10234</v>
      </c>
    </row>
    <row r="2251" spans="1:2">
      <c r="A2251" s="1" t="s">
        <v>3106</v>
      </c>
      <c r="B2251" t="s">
        <v>10298</v>
      </c>
    </row>
    <row r="2252" spans="1:2">
      <c r="A2252" s="1" t="s">
        <v>3107</v>
      </c>
      <c r="B2252" t="s">
        <v>10240</v>
      </c>
    </row>
    <row r="2253" spans="1:2">
      <c r="A2253" s="1" t="s">
        <v>3108</v>
      </c>
      <c r="B2253" t="s">
        <v>10353</v>
      </c>
    </row>
    <row r="2254" spans="1:2">
      <c r="A2254" s="1" t="s">
        <v>3109</v>
      </c>
      <c r="B2254" t="s">
        <v>10240</v>
      </c>
    </row>
    <row r="2255" spans="1:2">
      <c r="A2255" s="1" t="s">
        <v>845</v>
      </c>
      <c r="B2255" t="s">
        <v>10250</v>
      </c>
    </row>
    <row r="2256" spans="1:2">
      <c r="A2256" s="1" t="s">
        <v>3110</v>
      </c>
      <c r="B2256" t="s">
        <v>10292</v>
      </c>
    </row>
    <row r="2257" spans="1:2">
      <c r="A2257" s="1" t="s">
        <v>3111</v>
      </c>
      <c r="B2257" t="s">
        <v>10357</v>
      </c>
    </row>
    <row r="2258" spans="1:2">
      <c r="A2258" s="1" t="s">
        <v>3112</v>
      </c>
      <c r="B2258" t="s">
        <v>10223</v>
      </c>
    </row>
    <row r="2259" spans="1:2">
      <c r="A2259" s="1" t="s">
        <v>3113</v>
      </c>
      <c r="B2259" t="s">
        <v>10224</v>
      </c>
    </row>
    <row r="2260" spans="1:2">
      <c r="A2260" s="1" t="s">
        <v>148</v>
      </c>
      <c r="B2260" t="s">
        <v>10278</v>
      </c>
    </row>
    <row r="2261" spans="1:2">
      <c r="A2261" s="1" t="s">
        <v>3114</v>
      </c>
      <c r="B2261" t="s">
        <v>10261</v>
      </c>
    </row>
    <row r="2262" spans="1:2">
      <c r="A2262" s="1" t="s">
        <v>3115</v>
      </c>
      <c r="B2262" t="s">
        <v>10444</v>
      </c>
    </row>
    <row r="2263" spans="1:2">
      <c r="A2263" s="1" t="s">
        <v>3116</v>
      </c>
      <c r="B2263" t="s">
        <v>10234</v>
      </c>
    </row>
    <row r="2264" spans="1:2">
      <c r="A2264" s="1" t="s">
        <v>3117</v>
      </c>
      <c r="B2264" t="s">
        <v>10364</v>
      </c>
    </row>
    <row r="2265" spans="1:2">
      <c r="A2265" s="1" t="s">
        <v>3118</v>
      </c>
      <c r="B2265" t="s">
        <v>10277</v>
      </c>
    </row>
    <row r="2266" spans="1:2">
      <c r="A2266" s="1" t="s">
        <v>3119</v>
      </c>
      <c r="B2266" t="s">
        <v>10445</v>
      </c>
    </row>
    <row r="2267" spans="1:2">
      <c r="A2267" s="1" t="s">
        <v>3120</v>
      </c>
      <c r="B2267" t="s">
        <v>10362</v>
      </c>
    </row>
    <row r="2268" spans="1:2">
      <c r="A2268" s="1" t="s">
        <v>3121</v>
      </c>
      <c r="B2268" t="s">
        <v>10239</v>
      </c>
    </row>
    <row r="2269" spans="1:2">
      <c r="A2269" s="1" t="s">
        <v>3122</v>
      </c>
      <c r="B2269" t="s">
        <v>10234</v>
      </c>
    </row>
    <row r="2270" spans="1:2">
      <c r="A2270" s="1" t="s">
        <v>3123</v>
      </c>
      <c r="B2270" t="s">
        <v>10258</v>
      </c>
    </row>
    <row r="2271" spans="1:2">
      <c r="A2271" s="1" t="s">
        <v>3124</v>
      </c>
      <c r="B2271" t="s">
        <v>901</v>
      </c>
    </row>
    <row r="2272" spans="1:2">
      <c r="A2272" s="1" t="s">
        <v>3125</v>
      </c>
      <c r="B2272" t="s">
        <v>10239</v>
      </c>
    </row>
    <row r="2273" spans="1:2">
      <c r="A2273" s="1" t="s">
        <v>3126</v>
      </c>
      <c r="B2273" t="s">
        <v>10446</v>
      </c>
    </row>
    <row r="2274" spans="1:2">
      <c r="A2274" s="1" t="s">
        <v>3127</v>
      </c>
      <c r="B2274" t="s">
        <v>10234</v>
      </c>
    </row>
    <row r="2275" spans="1:2">
      <c r="A2275" s="1" t="s">
        <v>3128</v>
      </c>
      <c r="B2275" t="s">
        <v>10265</v>
      </c>
    </row>
    <row r="2276" spans="1:2">
      <c r="A2276" s="1" t="s">
        <v>622</v>
      </c>
      <c r="B2276" t="s">
        <v>10239</v>
      </c>
    </row>
    <row r="2277" spans="1:2">
      <c r="A2277" s="1" t="s">
        <v>3129</v>
      </c>
      <c r="B2277" t="s">
        <v>10225</v>
      </c>
    </row>
    <row r="2278" spans="1:2">
      <c r="A2278" s="1" t="s">
        <v>3130</v>
      </c>
      <c r="B2278" t="s">
        <v>10234</v>
      </c>
    </row>
    <row r="2279" spans="1:2">
      <c r="A2279" s="1" t="s">
        <v>3131</v>
      </c>
      <c r="B2279" t="s">
        <v>10256</v>
      </c>
    </row>
    <row r="2280" spans="1:2">
      <c r="A2280" s="1" t="s">
        <v>3132</v>
      </c>
      <c r="B2280" t="s">
        <v>10408</v>
      </c>
    </row>
    <row r="2281" spans="1:2">
      <c r="A2281" s="1" t="s">
        <v>3133</v>
      </c>
      <c r="B2281" t="s">
        <v>10234</v>
      </c>
    </row>
    <row r="2282" spans="1:2">
      <c r="A2282" s="1" t="s">
        <v>3134</v>
      </c>
      <c r="B2282" t="s">
        <v>10277</v>
      </c>
    </row>
    <row r="2283" spans="1:2">
      <c r="A2283" s="1" t="s">
        <v>3135</v>
      </c>
      <c r="B2283" t="s">
        <v>10234</v>
      </c>
    </row>
    <row r="2284" spans="1:2">
      <c r="A2284" s="1" t="s">
        <v>3136</v>
      </c>
      <c r="B2284" t="s">
        <v>10343</v>
      </c>
    </row>
    <row r="2285" spans="1:2">
      <c r="A2285" s="1" t="s">
        <v>3137</v>
      </c>
      <c r="B2285" t="s">
        <v>10305</v>
      </c>
    </row>
    <row r="2286" spans="1:2">
      <c r="A2286" s="1" t="s">
        <v>3138</v>
      </c>
      <c r="B2286" t="s">
        <v>10222</v>
      </c>
    </row>
    <row r="2287" spans="1:2">
      <c r="A2287" s="1" t="s">
        <v>841</v>
      </c>
      <c r="B2287" t="s">
        <v>10238</v>
      </c>
    </row>
    <row r="2288" spans="1:2">
      <c r="A2288" s="1" t="s">
        <v>3139</v>
      </c>
      <c r="B2288" t="s">
        <v>10313</v>
      </c>
    </row>
    <row r="2289" spans="1:2">
      <c r="A2289" s="1" t="s">
        <v>3140</v>
      </c>
      <c r="B2289" t="s">
        <v>10312</v>
      </c>
    </row>
    <row r="2290" spans="1:2">
      <c r="A2290" s="1" t="s">
        <v>3141</v>
      </c>
      <c r="B2290" t="s">
        <v>10378</v>
      </c>
    </row>
    <row r="2291" spans="1:2">
      <c r="A2291" s="1" t="s">
        <v>3142</v>
      </c>
      <c r="B2291" t="s">
        <v>10266</v>
      </c>
    </row>
    <row r="2292" spans="1:2">
      <c r="A2292" s="1" t="s">
        <v>616</v>
      </c>
      <c r="B2292" t="s">
        <v>10336</v>
      </c>
    </row>
    <row r="2293" spans="1:2">
      <c r="A2293" s="1" t="s">
        <v>3143</v>
      </c>
      <c r="B2293" t="s">
        <v>10350</v>
      </c>
    </row>
    <row r="2294" spans="1:2">
      <c r="A2294" s="1" t="s">
        <v>3144</v>
      </c>
      <c r="B2294" t="s">
        <v>10240</v>
      </c>
    </row>
    <row r="2295" spans="1:2">
      <c r="A2295" s="1" t="s">
        <v>3145</v>
      </c>
      <c r="B2295" t="s">
        <v>10234</v>
      </c>
    </row>
    <row r="2296" spans="1:2">
      <c r="A2296" s="1" t="s">
        <v>3146</v>
      </c>
      <c r="B2296" t="s">
        <v>10240</v>
      </c>
    </row>
    <row r="2297" spans="1:2">
      <c r="A2297" s="1" t="s">
        <v>3147</v>
      </c>
      <c r="B2297" t="s">
        <v>10234</v>
      </c>
    </row>
    <row r="2298" spans="1:2">
      <c r="A2298" s="1" t="s">
        <v>3148</v>
      </c>
      <c r="B2298" t="s">
        <v>10234</v>
      </c>
    </row>
    <row r="2299" spans="1:2">
      <c r="A2299" s="1" t="s">
        <v>3149</v>
      </c>
      <c r="B2299" t="s">
        <v>10287</v>
      </c>
    </row>
    <row r="2300" spans="1:2">
      <c r="A2300" s="1" t="s">
        <v>3150</v>
      </c>
      <c r="B2300" t="s">
        <v>10354</v>
      </c>
    </row>
    <row r="2301" spans="1:2">
      <c r="A2301" s="1" t="s">
        <v>3151</v>
      </c>
      <c r="B2301" t="s">
        <v>10288</v>
      </c>
    </row>
    <row r="2302" spans="1:2">
      <c r="A2302" s="1" t="s">
        <v>3152</v>
      </c>
      <c r="B2302" t="s">
        <v>10261</v>
      </c>
    </row>
    <row r="2303" spans="1:2">
      <c r="A2303" s="1" t="s">
        <v>3153</v>
      </c>
      <c r="B2303" t="s">
        <v>10283</v>
      </c>
    </row>
    <row r="2304" spans="1:2">
      <c r="A2304" s="1" t="s">
        <v>3154</v>
      </c>
      <c r="B2304" t="s">
        <v>10240</v>
      </c>
    </row>
    <row r="2305" spans="1:2">
      <c r="A2305" s="1" t="s">
        <v>3155</v>
      </c>
      <c r="B2305" t="s">
        <v>10272</v>
      </c>
    </row>
    <row r="2306" spans="1:2">
      <c r="A2306" s="1" t="s">
        <v>3156</v>
      </c>
      <c r="B2306" t="s">
        <v>10240</v>
      </c>
    </row>
    <row r="2307" spans="1:2">
      <c r="A2307" s="1" t="s">
        <v>3157</v>
      </c>
      <c r="B2307" t="s">
        <v>901</v>
      </c>
    </row>
    <row r="2308" spans="1:2">
      <c r="A2308" s="1" t="s">
        <v>3158</v>
      </c>
      <c r="B2308" t="s">
        <v>10352</v>
      </c>
    </row>
    <row r="2309" spans="1:2">
      <c r="A2309" s="1" t="s">
        <v>3159</v>
      </c>
      <c r="B2309" t="s">
        <v>10280</v>
      </c>
    </row>
    <row r="2310" spans="1:2">
      <c r="A2310" s="1" t="s">
        <v>3160</v>
      </c>
      <c r="B2310" t="s">
        <v>10234</v>
      </c>
    </row>
    <row r="2311" spans="1:2">
      <c r="A2311" s="1" t="s">
        <v>3161</v>
      </c>
      <c r="B2311" t="s">
        <v>10243</v>
      </c>
    </row>
    <row r="2312" spans="1:2">
      <c r="A2312" s="1" t="s">
        <v>423</v>
      </c>
      <c r="B2312" t="s">
        <v>10277</v>
      </c>
    </row>
    <row r="2313" spans="1:2">
      <c r="A2313" s="1" t="s">
        <v>3162</v>
      </c>
      <c r="B2313" t="s">
        <v>10277</v>
      </c>
    </row>
    <row r="2314" spans="1:2">
      <c r="A2314" s="1" t="s">
        <v>230</v>
      </c>
      <c r="B2314" t="s">
        <v>10447</v>
      </c>
    </row>
    <row r="2315" spans="1:2">
      <c r="A2315" s="1" t="s">
        <v>3163</v>
      </c>
      <c r="B2315" t="s">
        <v>10234</v>
      </c>
    </row>
    <row r="2316" spans="1:2">
      <c r="A2316" s="1" t="s">
        <v>3164</v>
      </c>
      <c r="B2316" t="s">
        <v>10224</v>
      </c>
    </row>
    <row r="2317" spans="1:2">
      <c r="A2317" s="1" t="s">
        <v>746</v>
      </c>
      <c r="B2317" t="s">
        <v>10234</v>
      </c>
    </row>
    <row r="2318" spans="1:2">
      <c r="A2318" s="1" t="s">
        <v>3165</v>
      </c>
      <c r="B2318" t="s">
        <v>10373</v>
      </c>
    </row>
    <row r="2319" spans="1:2">
      <c r="A2319" s="1" t="s">
        <v>3166</v>
      </c>
      <c r="B2319" t="s">
        <v>10230</v>
      </c>
    </row>
    <row r="2320" spans="1:2">
      <c r="A2320" s="1" t="s">
        <v>3167</v>
      </c>
      <c r="B2320" t="s">
        <v>10262</v>
      </c>
    </row>
    <row r="2321" spans="1:2">
      <c r="A2321" s="1" t="s">
        <v>3168</v>
      </c>
      <c r="B2321" t="s">
        <v>10418</v>
      </c>
    </row>
    <row r="2322" spans="1:2">
      <c r="A2322" s="1" t="s">
        <v>3169</v>
      </c>
      <c r="B2322" t="s">
        <v>10266</v>
      </c>
    </row>
    <row r="2323" spans="1:2">
      <c r="A2323" s="1" t="s">
        <v>3170</v>
      </c>
      <c r="B2323" t="s">
        <v>10385</v>
      </c>
    </row>
    <row r="2324" spans="1:2">
      <c r="A2324" s="1" t="s">
        <v>3171</v>
      </c>
      <c r="B2324" t="s">
        <v>10319</v>
      </c>
    </row>
    <row r="2325" spans="1:2">
      <c r="A2325" s="1" t="s">
        <v>894</v>
      </c>
      <c r="B2325" t="s">
        <v>10290</v>
      </c>
    </row>
    <row r="2326" spans="1:2">
      <c r="A2326" s="1" t="s">
        <v>3172</v>
      </c>
      <c r="B2326" t="s">
        <v>10263</v>
      </c>
    </row>
    <row r="2327" spans="1:2">
      <c r="A2327" s="1" t="s">
        <v>3173</v>
      </c>
      <c r="B2327" t="s">
        <v>10245</v>
      </c>
    </row>
    <row r="2328" spans="1:2">
      <c r="A2328" s="1" t="s">
        <v>558</v>
      </c>
      <c r="B2328" t="s">
        <v>10290</v>
      </c>
    </row>
    <row r="2329" spans="1:2">
      <c r="A2329" s="1" t="s">
        <v>3174</v>
      </c>
      <c r="B2329" t="s">
        <v>10267</v>
      </c>
    </row>
    <row r="2330" spans="1:2">
      <c r="A2330" s="1" t="s">
        <v>3175</v>
      </c>
      <c r="B2330" t="s">
        <v>10240</v>
      </c>
    </row>
    <row r="2331" spans="1:2">
      <c r="A2331" s="1" t="s">
        <v>3176</v>
      </c>
      <c r="B2331" t="s">
        <v>10322</v>
      </c>
    </row>
    <row r="2332" spans="1:2">
      <c r="A2332" s="1" t="s">
        <v>645</v>
      </c>
      <c r="B2332" t="s">
        <v>10322</v>
      </c>
    </row>
    <row r="2333" spans="1:2">
      <c r="A2333" s="1" t="s">
        <v>237</v>
      </c>
      <c r="B2333" t="s">
        <v>10448</v>
      </c>
    </row>
    <row r="2334" spans="1:2">
      <c r="A2334" s="1" t="s">
        <v>3177</v>
      </c>
      <c r="B2334" t="s">
        <v>10325</v>
      </c>
    </row>
    <row r="2335" spans="1:2">
      <c r="A2335" s="1" t="s">
        <v>3178</v>
      </c>
      <c r="B2335" t="s">
        <v>10234</v>
      </c>
    </row>
    <row r="2336" spans="1:2">
      <c r="A2336" s="1" t="s">
        <v>3179</v>
      </c>
      <c r="B2336" t="s">
        <v>10449</v>
      </c>
    </row>
    <row r="2337" spans="1:2">
      <c r="A2337" s="1" t="s">
        <v>3180</v>
      </c>
      <c r="B2337" t="s">
        <v>10240</v>
      </c>
    </row>
    <row r="2338" spans="1:2">
      <c r="A2338" s="1" t="s">
        <v>3181</v>
      </c>
      <c r="B2338" t="s">
        <v>10269</v>
      </c>
    </row>
    <row r="2339" spans="1:2">
      <c r="A2339" s="1" t="s">
        <v>452</v>
      </c>
      <c r="B2339" t="s">
        <v>10244</v>
      </c>
    </row>
    <row r="2340" spans="1:2">
      <c r="A2340" s="1" t="s">
        <v>3182</v>
      </c>
      <c r="B2340" t="s">
        <v>10319</v>
      </c>
    </row>
    <row r="2341" spans="1:2">
      <c r="A2341" s="1" t="s">
        <v>3183</v>
      </c>
      <c r="B2341" t="s">
        <v>10234</v>
      </c>
    </row>
    <row r="2342" spans="1:2">
      <c r="A2342" s="1" t="s">
        <v>3184</v>
      </c>
      <c r="B2342" t="s">
        <v>10432</v>
      </c>
    </row>
    <row r="2343" spans="1:2">
      <c r="A2343" s="1" t="s">
        <v>3185</v>
      </c>
      <c r="B2343" t="s">
        <v>10361</v>
      </c>
    </row>
    <row r="2344" spans="1:2">
      <c r="A2344" s="1" t="s">
        <v>3186</v>
      </c>
      <c r="B2344" t="s">
        <v>10259</v>
      </c>
    </row>
    <row r="2345" spans="1:2">
      <c r="A2345" s="1" t="s">
        <v>218</v>
      </c>
      <c r="B2345" t="s">
        <v>10234</v>
      </c>
    </row>
    <row r="2346" spans="1:2">
      <c r="A2346" s="1" t="s">
        <v>3187</v>
      </c>
      <c r="B2346" t="s">
        <v>10319</v>
      </c>
    </row>
    <row r="2347" spans="1:2">
      <c r="A2347" s="1" t="s">
        <v>427</v>
      </c>
      <c r="B2347" t="s">
        <v>10229</v>
      </c>
    </row>
    <row r="2348" spans="1:2">
      <c r="A2348" s="1" t="s">
        <v>3188</v>
      </c>
      <c r="B2348" t="s">
        <v>10256</v>
      </c>
    </row>
    <row r="2349" spans="1:2">
      <c r="A2349" s="1" t="s">
        <v>191</v>
      </c>
      <c r="B2349" t="s">
        <v>10322</v>
      </c>
    </row>
    <row r="2350" spans="1:2">
      <c r="A2350" s="1" t="s">
        <v>3189</v>
      </c>
      <c r="B2350" t="s">
        <v>10243</v>
      </c>
    </row>
    <row r="2351" spans="1:2">
      <c r="A2351" s="1" t="s">
        <v>3190</v>
      </c>
      <c r="B2351" t="s">
        <v>10415</v>
      </c>
    </row>
    <row r="2352" spans="1:2">
      <c r="A2352" s="1" t="s">
        <v>839</v>
      </c>
      <c r="B2352" t="s">
        <v>10277</v>
      </c>
    </row>
    <row r="2353" spans="1:2">
      <c r="A2353" s="1" t="s">
        <v>3191</v>
      </c>
      <c r="B2353" t="s">
        <v>10366</v>
      </c>
    </row>
    <row r="2354" spans="1:2">
      <c r="A2354" s="1" t="s">
        <v>3192</v>
      </c>
      <c r="B2354" t="s">
        <v>10224</v>
      </c>
    </row>
    <row r="2355" spans="1:2">
      <c r="A2355" s="1" t="s">
        <v>3193</v>
      </c>
      <c r="B2355" t="s">
        <v>10234</v>
      </c>
    </row>
    <row r="2356" spans="1:2">
      <c r="A2356" s="1" t="s">
        <v>3194</v>
      </c>
      <c r="B2356" t="s">
        <v>10286</v>
      </c>
    </row>
    <row r="2357" spans="1:2">
      <c r="A2357" s="1" t="s">
        <v>3195</v>
      </c>
      <c r="B2357" t="s">
        <v>10224</v>
      </c>
    </row>
    <row r="2358" spans="1:2">
      <c r="A2358" s="1" t="s">
        <v>3196</v>
      </c>
      <c r="B2358" t="s">
        <v>10239</v>
      </c>
    </row>
    <row r="2359" spans="1:2">
      <c r="A2359" s="1" t="s">
        <v>3197</v>
      </c>
      <c r="B2359" t="s">
        <v>10299</v>
      </c>
    </row>
    <row r="2360" spans="1:2">
      <c r="A2360" s="1" t="s">
        <v>208</v>
      </c>
      <c r="B2360" t="s">
        <v>10258</v>
      </c>
    </row>
    <row r="2361" spans="1:2">
      <c r="A2361" s="1" t="s">
        <v>3198</v>
      </c>
      <c r="B2361" t="s">
        <v>10229</v>
      </c>
    </row>
    <row r="2362" spans="1:2">
      <c r="A2362" s="1" t="s">
        <v>3199</v>
      </c>
      <c r="B2362" t="s">
        <v>10258</v>
      </c>
    </row>
    <row r="2363" spans="1:2">
      <c r="A2363" s="1" t="s">
        <v>3200</v>
      </c>
      <c r="B2363" t="s">
        <v>10225</v>
      </c>
    </row>
    <row r="2364" spans="1:2">
      <c r="A2364" s="1" t="s">
        <v>3201</v>
      </c>
      <c r="B2364" t="s">
        <v>10323</v>
      </c>
    </row>
    <row r="2365" spans="1:2">
      <c r="A2365" s="1" t="s">
        <v>3202</v>
      </c>
      <c r="B2365" t="s">
        <v>10450</v>
      </c>
    </row>
    <row r="2366" spans="1:2">
      <c r="A2366" s="1" t="s">
        <v>3203</v>
      </c>
      <c r="B2366" t="s">
        <v>10329</v>
      </c>
    </row>
    <row r="2367" spans="1:2">
      <c r="A2367" s="1" t="s">
        <v>3204</v>
      </c>
      <c r="B2367" t="s">
        <v>10240</v>
      </c>
    </row>
    <row r="2368" spans="1:2">
      <c r="A2368" s="1" t="s">
        <v>3205</v>
      </c>
      <c r="B2368" t="s">
        <v>10224</v>
      </c>
    </row>
    <row r="2369" spans="1:2">
      <c r="A2369" s="1" t="s">
        <v>3206</v>
      </c>
      <c r="B2369" t="s">
        <v>10403</v>
      </c>
    </row>
    <row r="2370" spans="1:2">
      <c r="A2370" s="1" t="s">
        <v>3207</v>
      </c>
      <c r="B2370" t="s">
        <v>10286</v>
      </c>
    </row>
    <row r="2371" spans="1:2">
      <c r="A2371" s="1" t="s">
        <v>454</v>
      </c>
      <c r="B2371" t="s">
        <v>10451</v>
      </c>
    </row>
    <row r="2372" spans="1:2">
      <c r="A2372" s="1" t="s">
        <v>3208</v>
      </c>
      <c r="B2372" t="s">
        <v>10240</v>
      </c>
    </row>
    <row r="2373" spans="1:2">
      <c r="A2373" s="1" t="s">
        <v>720</v>
      </c>
      <c r="B2373" t="s">
        <v>10277</v>
      </c>
    </row>
    <row r="2374" spans="1:2">
      <c r="A2374" s="1" t="s">
        <v>3209</v>
      </c>
      <c r="B2374" t="s">
        <v>10244</v>
      </c>
    </row>
    <row r="2375" spans="1:2">
      <c r="A2375" s="1" t="s">
        <v>3210</v>
      </c>
      <c r="B2375" t="s">
        <v>10234</v>
      </c>
    </row>
    <row r="2376" spans="1:2">
      <c r="A2376" s="1" t="s">
        <v>3211</v>
      </c>
      <c r="B2376" t="s">
        <v>10252</v>
      </c>
    </row>
    <row r="2377" spans="1:2">
      <c r="A2377" s="1" t="s">
        <v>704</v>
      </c>
      <c r="B2377" t="s">
        <v>10234</v>
      </c>
    </row>
    <row r="2378" spans="1:2">
      <c r="A2378" s="1" t="s">
        <v>3212</v>
      </c>
      <c r="B2378" t="s">
        <v>10244</v>
      </c>
    </row>
    <row r="2379" spans="1:2">
      <c r="A2379" s="1" t="s">
        <v>3213</v>
      </c>
      <c r="B2379" t="s">
        <v>10287</v>
      </c>
    </row>
    <row r="2380" spans="1:2">
      <c r="A2380" s="1" t="s">
        <v>3214</v>
      </c>
      <c r="B2380" t="s">
        <v>10234</v>
      </c>
    </row>
    <row r="2381" spans="1:2">
      <c r="A2381" s="1" t="s">
        <v>402</v>
      </c>
      <c r="B2381" t="s">
        <v>10244</v>
      </c>
    </row>
    <row r="2382" spans="1:2">
      <c r="A2382" s="1" t="s">
        <v>3215</v>
      </c>
      <c r="B2382" t="s">
        <v>10261</v>
      </c>
    </row>
    <row r="2383" spans="1:2">
      <c r="A2383" s="1" t="s">
        <v>3216</v>
      </c>
      <c r="B2383" t="s">
        <v>10373</v>
      </c>
    </row>
    <row r="2384" spans="1:2">
      <c r="A2384" s="1" t="s">
        <v>3217</v>
      </c>
      <c r="B2384" t="s">
        <v>10255</v>
      </c>
    </row>
    <row r="2385" spans="1:2">
      <c r="A2385" s="1" t="s">
        <v>3218</v>
      </c>
      <c r="B2385" t="s">
        <v>10411</v>
      </c>
    </row>
    <row r="2386" spans="1:2">
      <c r="A2386" s="1" t="s">
        <v>3219</v>
      </c>
      <c r="B2386" t="s">
        <v>901</v>
      </c>
    </row>
    <row r="2387" spans="1:2">
      <c r="A2387" s="1" t="s">
        <v>3220</v>
      </c>
      <c r="B2387" t="s">
        <v>10283</v>
      </c>
    </row>
    <row r="2388" spans="1:2">
      <c r="A2388" s="1" t="s">
        <v>834</v>
      </c>
      <c r="B2388" t="s">
        <v>10277</v>
      </c>
    </row>
    <row r="2389" spans="1:2">
      <c r="A2389" s="1" t="s">
        <v>3221</v>
      </c>
      <c r="B2389" t="s">
        <v>10452</v>
      </c>
    </row>
    <row r="2390" spans="1:2">
      <c r="A2390" s="1" t="s">
        <v>3222</v>
      </c>
      <c r="B2390" t="s">
        <v>10228</v>
      </c>
    </row>
    <row r="2391" spans="1:2">
      <c r="A2391" s="1" t="s">
        <v>3223</v>
      </c>
      <c r="B2391" t="s">
        <v>901</v>
      </c>
    </row>
    <row r="2392" spans="1:2">
      <c r="A2392" s="1" t="s">
        <v>3224</v>
      </c>
      <c r="B2392" t="s">
        <v>10234</v>
      </c>
    </row>
    <row r="2393" spans="1:2">
      <c r="A2393" s="1" t="s">
        <v>3225</v>
      </c>
      <c r="B2393" t="s">
        <v>901</v>
      </c>
    </row>
    <row r="2394" spans="1:2">
      <c r="A2394" s="1" t="s">
        <v>3226</v>
      </c>
      <c r="B2394" t="s">
        <v>10283</v>
      </c>
    </row>
    <row r="2395" spans="1:2">
      <c r="A2395" s="1" t="s">
        <v>399</v>
      </c>
      <c r="B2395" t="s">
        <v>10232</v>
      </c>
    </row>
    <row r="2396" spans="1:2">
      <c r="A2396" s="1" t="s">
        <v>3227</v>
      </c>
      <c r="B2396" t="s">
        <v>10266</v>
      </c>
    </row>
    <row r="2397" spans="1:2">
      <c r="A2397" s="1" t="s">
        <v>3228</v>
      </c>
      <c r="B2397" t="s">
        <v>10248</v>
      </c>
    </row>
    <row r="2398" spans="1:2">
      <c r="A2398" s="1" t="s">
        <v>3229</v>
      </c>
      <c r="B2398" t="s">
        <v>10262</v>
      </c>
    </row>
    <row r="2399" spans="1:2">
      <c r="A2399" s="1" t="s">
        <v>3230</v>
      </c>
      <c r="B2399" t="s">
        <v>10276</v>
      </c>
    </row>
    <row r="2400" spans="1:2">
      <c r="A2400" s="1" t="s">
        <v>3231</v>
      </c>
      <c r="B2400" t="s">
        <v>10307</v>
      </c>
    </row>
    <row r="2401" spans="1:2">
      <c r="A2401" s="1" t="s">
        <v>3232</v>
      </c>
      <c r="B2401" t="s">
        <v>10445</v>
      </c>
    </row>
    <row r="2402" spans="1:2">
      <c r="A2402" s="1" t="s">
        <v>3233</v>
      </c>
      <c r="B2402" t="s">
        <v>10225</v>
      </c>
    </row>
    <row r="2403" spans="1:2">
      <c r="A2403" s="1" t="s">
        <v>3234</v>
      </c>
      <c r="B2403" t="s">
        <v>10399</v>
      </c>
    </row>
    <row r="2404" spans="1:2">
      <c r="A2404" s="1" t="s">
        <v>3235</v>
      </c>
      <c r="B2404" t="s">
        <v>10240</v>
      </c>
    </row>
    <row r="2405" spans="1:2">
      <c r="A2405" s="1" t="s">
        <v>3236</v>
      </c>
      <c r="B2405" t="s">
        <v>10234</v>
      </c>
    </row>
    <row r="2406" spans="1:2">
      <c r="A2406" s="1" t="s">
        <v>3237</v>
      </c>
      <c r="B2406" t="s">
        <v>10287</v>
      </c>
    </row>
    <row r="2407" spans="1:2">
      <c r="A2407" s="1" t="s">
        <v>3238</v>
      </c>
      <c r="B2407" t="s">
        <v>10234</v>
      </c>
    </row>
    <row r="2408" spans="1:2">
      <c r="A2408" s="1" t="s">
        <v>3239</v>
      </c>
      <c r="B2408" t="s">
        <v>10278</v>
      </c>
    </row>
    <row r="2409" spans="1:2">
      <c r="A2409" s="1" t="s">
        <v>565</v>
      </c>
      <c r="B2409" t="s">
        <v>10262</v>
      </c>
    </row>
    <row r="2410" spans="1:2">
      <c r="A2410" s="1" t="s">
        <v>549</v>
      </c>
      <c r="B2410" t="s">
        <v>10280</v>
      </c>
    </row>
    <row r="2411" spans="1:2">
      <c r="A2411" s="1" t="s">
        <v>3240</v>
      </c>
      <c r="B2411" t="s">
        <v>901</v>
      </c>
    </row>
    <row r="2412" spans="1:2">
      <c r="A2412" s="1" t="s">
        <v>3241</v>
      </c>
      <c r="B2412" t="s">
        <v>10224</v>
      </c>
    </row>
    <row r="2413" spans="1:2">
      <c r="A2413" s="1" t="s">
        <v>215</v>
      </c>
      <c r="B2413" t="s">
        <v>10250</v>
      </c>
    </row>
    <row r="2414" spans="1:2">
      <c r="A2414" s="1" t="s">
        <v>543</v>
      </c>
      <c r="B2414" t="s">
        <v>10323</v>
      </c>
    </row>
    <row r="2415" spans="1:2">
      <c r="A2415" s="1" t="s">
        <v>3242</v>
      </c>
      <c r="B2415" t="s">
        <v>10234</v>
      </c>
    </row>
    <row r="2416" spans="1:2">
      <c r="A2416" s="1" t="s">
        <v>3243</v>
      </c>
      <c r="B2416" t="s">
        <v>10234</v>
      </c>
    </row>
    <row r="2417" spans="1:2">
      <c r="A2417" s="1" t="s">
        <v>679</v>
      </c>
      <c r="B2417" t="s">
        <v>10387</v>
      </c>
    </row>
    <row r="2418" spans="1:2">
      <c r="A2418" s="1" t="s">
        <v>572</v>
      </c>
      <c r="B2418" t="s">
        <v>10328</v>
      </c>
    </row>
    <row r="2419" spans="1:2">
      <c r="A2419" s="1" t="s">
        <v>3244</v>
      </c>
      <c r="B2419" t="s">
        <v>10240</v>
      </c>
    </row>
    <row r="2420" spans="1:2">
      <c r="A2420" s="1" t="s">
        <v>3245</v>
      </c>
      <c r="B2420" t="s">
        <v>10224</v>
      </c>
    </row>
    <row r="2421" spans="1:2">
      <c r="A2421" s="1" t="s">
        <v>664</v>
      </c>
      <c r="B2421" t="s">
        <v>10300</v>
      </c>
    </row>
    <row r="2422" spans="1:2">
      <c r="A2422" s="1" t="s">
        <v>3246</v>
      </c>
      <c r="B2422" t="s">
        <v>10234</v>
      </c>
    </row>
    <row r="2423" spans="1:2">
      <c r="A2423" s="1" t="s">
        <v>3247</v>
      </c>
      <c r="B2423" t="s">
        <v>901</v>
      </c>
    </row>
    <row r="2424" spans="1:2">
      <c r="A2424" s="1" t="s">
        <v>3248</v>
      </c>
      <c r="B2424" t="s">
        <v>10251</v>
      </c>
    </row>
    <row r="2425" spans="1:2">
      <c r="A2425" s="1" t="s">
        <v>3249</v>
      </c>
      <c r="B2425" t="s">
        <v>10382</v>
      </c>
    </row>
    <row r="2426" spans="1:2">
      <c r="A2426" s="1" t="s">
        <v>3250</v>
      </c>
      <c r="B2426" t="s">
        <v>10234</v>
      </c>
    </row>
    <row r="2427" spans="1:2">
      <c r="A2427" s="1" t="s">
        <v>3251</v>
      </c>
      <c r="B2427" t="s">
        <v>10261</v>
      </c>
    </row>
    <row r="2428" spans="1:2">
      <c r="A2428" s="1" t="s">
        <v>429</v>
      </c>
      <c r="B2428" t="s">
        <v>10243</v>
      </c>
    </row>
    <row r="2429" spans="1:2">
      <c r="A2429" s="1" t="s">
        <v>3252</v>
      </c>
      <c r="B2429" t="s">
        <v>10453</v>
      </c>
    </row>
    <row r="2430" spans="1:2">
      <c r="A2430" s="1" t="s">
        <v>3253</v>
      </c>
      <c r="B2430" t="s">
        <v>10276</v>
      </c>
    </row>
    <row r="2431" spans="1:2">
      <c r="A2431" s="1" t="s">
        <v>3254</v>
      </c>
      <c r="B2431" t="s">
        <v>10234</v>
      </c>
    </row>
    <row r="2432" spans="1:2">
      <c r="A2432" s="1" t="s">
        <v>497</v>
      </c>
      <c r="B2432" t="s">
        <v>10266</v>
      </c>
    </row>
    <row r="2433" spans="1:2">
      <c r="A2433" s="1" t="s">
        <v>3255</v>
      </c>
      <c r="B2433" t="s">
        <v>10369</v>
      </c>
    </row>
    <row r="2434" spans="1:2">
      <c r="A2434" s="1" t="s">
        <v>3256</v>
      </c>
      <c r="B2434" t="s">
        <v>901</v>
      </c>
    </row>
    <row r="2435" spans="1:2">
      <c r="A2435" s="1" t="s">
        <v>3257</v>
      </c>
      <c r="B2435" t="s">
        <v>10302</v>
      </c>
    </row>
    <row r="2436" spans="1:2">
      <c r="A2436" s="1" t="s">
        <v>3258</v>
      </c>
      <c r="B2436" t="s">
        <v>10328</v>
      </c>
    </row>
    <row r="2437" spans="1:2">
      <c r="A2437" s="1" t="s">
        <v>293</v>
      </c>
      <c r="B2437" t="s">
        <v>10366</v>
      </c>
    </row>
    <row r="2438" spans="1:2">
      <c r="A2438" s="1" t="s">
        <v>3259</v>
      </c>
      <c r="B2438" t="s">
        <v>10383</v>
      </c>
    </row>
    <row r="2439" spans="1:2">
      <c r="A2439" s="1" t="s">
        <v>578</v>
      </c>
      <c r="B2439" t="s">
        <v>10277</v>
      </c>
    </row>
    <row r="2440" spans="1:2">
      <c r="A2440" s="1" t="s">
        <v>3260</v>
      </c>
      <c r="B2440" t="s">
        <v>10454</v>
      </c>
    </row>
    <row r="2441" spans="1:2">
      <c r="A2441" s="1" t="s">
        <v>3261</v>
      </c>
      <c r="B2441" t="s">
        <v>10234</v>
      </c>
    </row>
    <row r="2442" spans="1:2">
      <c r="A2442" s="1" t="s">
        <v>3262</v>
      </c>
      <c r="B2442" t="s">
        <v>10244</v>
      </c>
    </row>
    <row r="2443" spans="1:2">
      <c r="A2443" s="1" t="s">
        <v>3263</v>
      </c>
      <c r="B2443" t="s">
        <v>10272</v>
      </c>
    </row>
    <row r="2444" spans="1:2">
      <c r="A2444" s="1" t="s">
        <v>469</v>
      </c>
      <c r="B2444" t="s">
        <v>10229</v>
      </c>
    </row>
    <row r="2445" spans="1:2">
      <c r="A2445" s="1" t="s">
        <v>3264</v>
      </c>
      <c r="B2445" t="s">
        <v>10254</v>
      </c>
    </row>
    <row r="2446" spans="1:2">
      <c r="A2446" s="1" t="s">
        <v>3265</v>
      </c>
      <c r="B2446" t="s">
        <v>10353</v>
      </c>
    </row>
    <row r="2447" spans="1:2">
      <c r="A2447" s="1" t="s">
        <v>3266</v>
      </c>
      <c r="B2447" t="s">
        <v>10230</v>
      </c>
    </row>
    <row r="2448" spans="1:2">
      <c r="A2448" s="1" t="s">
        <v>3267</v>
      </c>
      <c r="B2448" t="s">
        <v>10238</v>
      </c>
    </row>
    <row r="2449" spans="1:2">
      <c r="A2449" s="1" t="s">
        <v>3268</v>
      </c>
      <c r="B2449" t="s">
        <v>10234</v>
      </c>
    </row>
    <row r="2450" spans="1:2">
      <c r="A2450" s="1" t="s">
        <v>3269</v>
      </c>
      <c r="B2450" t="s">
        <v>10391</v>
      </c>
    </row>
    <row r="2451" spans="1:2">
      <c r="A2451" s="1" t="s">
        <v>3270</v>
      </c>
      <c r="B2451" t="s">
        <v>10234</v>
      </c>
    </row>
    <row r="2452" spans="1:2">
      <c r="A2452" s="1" t="s">
        <v>3271</v>
      </c>
      <c r="B2452" t="s">
        <v>10224</v>
      </c>
    </row>
    <row r="2453" spans="1:2">
      <c r="A2453" s="1" t="s">
        <v>3272</v>
      </c>
      <c r="B2453" t="s">
        <v>10319</v>
      </c>
    </row>
    <row r="2454" spans="1:2">
      <c r="A2454" s="1" t="s">
        <v>3273</v>
      </c>
      <c r="B2454" t="s">
        <v>901</v>
      </c>
    </row>
    <row r="2455" spans="1:2">
      <c r="A2455" s="1" t="s">
        <v>3274</v>
      </c>
      <c r="B2455" t="s">
        <v>901</v>
      </c>
    </row>
    <row r="2456" spans="1:2">
      <c r="A2456" s="1" t="s">
        <v>3275</v>
      </c>
      <c r="B2456" t="s">
        <v>10322</v>
      </c>
    </row>
    <row r="2457" spans="1:2">
      <c r="A2457" s="1" t="s">
        <v>3276</v>
      </c>
      <c r="B2457" t="s">
        <v>10364</v>
      </c>
    </row>
    <row r="2458" spans="1:2">
      <c r="A2458" s="1" t="s">
        <v>3277</v>
      </c>
      <c r="B2458" t="s">
        <v>10310</v>
      </c>
    </row>
    <row r="2459" spans="1:2">
      <c r="A2459" s="1" t="s">
        <v>3278</v>
      </c>
      <c r="B2459" t="s">
        <v>10283</v>
      </c>
    </row>
    <row r="2460" spans="1:2">
      <c r="A2460" s="1" t="s">
        <v>3279</v>
      </c>
      <c r="B2460" t="s">
        <v>10234</v>
      </c>
    </row>
    <row r="2461" spans="1:2">
      <c r="A2461" s="1" t="s">
        <v>3280</v>
      </c>
      <c r="B2461" t="s">
        <v>10248</v>
      </c>
    </row>
    <row r="2462" spans="1:2">
      <c r="A2462" s="1" t="s">
        <v>3281</v>
      </c>
      <c r="B2462" t="s">
        <v>10234</v>
      </c>
    </row>
    <row r="2463" spans="1:2">
      <c r="A2463" s="1" t="s">
        <v>3282</v>
      </c>
      <c r="B2463" t="s">
        <v>10240</v>
      </c>
    </row>
    <row r="2464" spans="1:2">
      <c r="A2464" s="1" t="s">
        <v>3283</v>
      </c>
      <c r="B2464" t="s">
        <v>10225</v>
      </c>
    </row>
    <row r="2465" spans="1:2">
      <c r="A2465" s="1" t="s">
        <v>3284</v>
      </c>
      <c r="B2465" t="s">
        <v>10246</v>
      </c>
    </row>
    <row r="2466" spans="1:2">
      <c r="A2466" s="1" t="s">
        <v>3285</v>
      </c>
      <c r="B2466" t="s">
        <v>10277</v>
      </c>
    </row>
    <row r="2467" spans="1:2">
      <c r="A2467" s="1" t="s">
        <v>3286</v>
      </c>
      <c r="B2467" t="s">
        <v>10442</v>
      </c>
    </row>
    <row r="2468" spans="1:2">
      <c r="A2468" s="1" t="s">
        <v>340</v>
      </c>
      <c r="B2468" t="s">
        <v>10243</v>
      </c>
    </row>
    <row r="2469" spans="1:2">
      <c r="A2469" s="1" t="s">
        <v>3287</v>
      </c>
      <c r="B2469" t="s">
        <v>10277</v>
      </c>
    </row>
    <row r="2470" spans="1:2">
      <c r="A2470" s="1" t="s">
        <v>3288</v>
      </c>
      <c r="B2470" t="s">
        <v>10453</v>
      </c>
    </row>
    <row r="2471" spans="1:2">
      <c r="A2471" s="1" t="s">
        <v>3289</v>
      </c>
      <c r="B2471" t="s">
        <v>10288</v>
      </c>
    </row>
    <row r="2472" spans="1:2">
      <c r="A2472" s="1" t="s">
        <v>3290</v>
      </c>
      <c r="B2472" t="s">
        <v>10319</v>
      </c>
    </row>
    <row r="2473" spans="1:2">
      <c r="A2473" s="1" t="s">
        <v>3291</v>
      </c>
      <c r="B2473" t="s">
        <v>10354</v>
      </c>
    </row>
    <row r="2474" spans="1:2">
      <c r="A2474" s="1" t="s">
        <v>3292</v>
      </c>
      <c r="B2474" t="s">
        <v>10234</v>
      </c>
    </row>
    <row r="2475" spans="1:2">
      <c r="A2475" s="1" t="s">
        <v>3293</v>
      </c>
      <c r="B2475" t="s">
        <v>10234</v>
      </c>
    </row>
    <row r="2476" spans="1:2">
      <c r="A2476" s="1" t="s">
        <v>581</v>
      </c>
      <c r="B2476" t="s">
        <v>10283</v>
      </c>
    </row>
    <row r="2477" spans="1:2">
      <c r="A2477" s="1" t="s">
        <v>3294</v>
      </c>
      <c r="B2477" t="s">
        <v>10293</v>
      </c>
    </row>
    <row r="2478" spans="1:2">
      <c r="A2478" s="1" t="s">
        <v>3295</v>
      </c>
      <c r="B2478" t="s">
        <v>10361</v>
      </c>
    </row>
    <row r="2479" spans="1:2">
      <c r="A2479" s="1" t="s">
        <v>3296</v>
      </c>
      <c r="B2479" t="s">
        <v>901</v>
      </c>
    </row>
    <row r="2480" spans="1:2">
      <c r="A2480" s="1" t="s">
        <v>3297</v>
      </c>
      <c r="B2480" t="s">
        <v>901</v>
      </c>
    </row>
    <row r="2481" spans="1:2">
      <c r="A2481" s="1" t="s">
        <v>3298</v>
      </c>
      <c r="B2481" t="s">
        <v>10230</v>
      </c>
    </row>
    <row r="2482" spans="1:2">
      <c r="A2482" s="1" t="s">
        <v>853</v>
      </c>
      <c r="B2482" t="s">
        <v>10284</v>
      </c>
    </row>
    <row r="2483" spans="1:2">
      <c r="A2483" s="1" t="s">
        <v>3299</v>
      </c>
      <c r="B2483" t="s">
        <v>10275</v>
      </c>
    </row>
    <row r="2484" spans="1:2">
      <c r="A2484" s="1" t="s">
        <v>411</v>
      </c>
      <c r="B2484" t="s">
        <v>10274</v>
      </c>
    </row>
    <row r="2485" spans="1:2">
      <c r="A2485" s="1" t="s">
        <v>3300</v>
      </c>
      <c r="B2485" t="s">
        <v>10251</v>
      </c>
    </row>
    <row r="2486" spans="1:2">
      <c r="A2486" s="1" t="s">
        <v>3301</v>
      </c>
      <c r="B2486" t="s">
        <v>10286</v>
      </c>
    </row>
    <row r="2487" spans="1:2">
      <c r="A2487" s="1" t="s">
        <v>868</v>
      </c>
      <c r="B2487" t="s">
        <v>10319</v>
      </c>
    </row>
    <row r="2488" spans="1:2">
      <c r="A2488" s="1" t="s">
        <v>3302</v>
      </c>
      <c r="B2488" t="s">
        <v>10225</v>
      </c>
    </row>
    <row r="2489" spans="1:2">
      <c r="A2489" s="1" t="s">
        <v>3303</v>
      </c>
      <c r="B2489" t="s">
        <v>10234</v>
      </c>
    </row>
    <row r="2490" spans="1:2">
      <c r="A2490" s="1" t="s">
        <v>3304</v>
      </c>
      <c r="B2490" t="s">
        <v>10250</v>
      </c>
    </row>
    <row r="2491" spans="1:2">
      <c r="A2491" s="1" t="s">
        <v>3305</v>
      </c>
      <c r="B2491" t="s">
        <v>10283</v>
      </c>
    </row>
    <row r="2492" spans="1:2">
      <c r="A2492" s="1" t="s">
        <v>3306</v>
      </c>
      <c r="B2492" t="s">
        <v>10245</v>
      </c>
    </row>
    <row r="2493" spans="1:2">
      <c r="A2493" s="1" t="s">
        <v>3307</v>
      </c>
      <c r="B2493" t="s">
        <v>10434</v>
      </c>
    </row>
    <row r="2494" spans="1:2">
      <c r="A2494" s="1" t="s">
        <v>3308</v>
      </c>
      <c r="B2494" t="s">
        <v>10225</v>
      </c>
    </row>
    <row r="2495" spans="1:2">
      <c r="A2495" s="1" t="s">
        <v>806</v>
      </c>
      <c r="B2495" t="s">
        <v>10453</v>
      </c>
    </row>
    <row r="2496" spans="1:2">
      <c r="A2496" s="1" t="s">
        <v>3309</v>
      </c>
      <c r="B2496" t="s">
        <v>10403</v>
      </c>
    </row>
    <row r="2497" spans="1:2">
      <c r="A2497" s="1" t="s">
        <v>3310</v>
      </c>
      <c r="B2497" t="s">
        <v>10277</v>
      </c>
    </row>
    <row r="2498" spans="1:2">
      <c r="A2498" s="1" t="s">
        <v>856</v>
      </c>
      <c r="B2498" t="s">
        <v>10250</v>
      </c>
    </row>
    <row r="2499" spans="1:2">
      <c r="A2499" s="1" t="s">
        <v>3311</v>
      </c>
      <c r="B2499" t="s">
        <v>10286</v>
      </c>
    </row>
    <row r="2500" spans="1:2">
      <c r="A2500" s="1" t="s">
        <v>731</v>
      </c>
      <c r="B2500" t="s">
        <v>10224</v>
      </c>
    </row>
    <row r="2501" spans="1:2">
      <c r="A2501" s="1" t="s">
        <v>3312</v>
      </c>
      <c r="B2501" t="s">
        <v>10258</v>
      </c>
    </row>
    <row r="2502" spans="1:2">
      <c r="A2502" s="1" t="s">
        <v>220</v>
      </c>
      <c r="B2502" t="s">
        <v>10361</v>
      </c>
    </row>
    <row r="2503" spans="1:2">
      <c r="A2503" s="1" t="s">
        <v>3313</v>
      </c>
      <c r="B2503" t="s">
        <v>10283</v>
      </c>
    </row>
    <row r="2504" spans="1:2">
      <c r="A2504" s="1" t="s">
        <v>3314</v>
      </c>
      <c r="B2504" t="s">
        <v>10312</v>
      </c>
    </row>
    <row r="2505" spans="1:2">
      <c r="A2505" s="1" t="s">
        <v>3315</v>
      </c>
      <c r="B2505" t="s">
        <v>10246</v>
      </c>
    </row>
    <row r="2506" spans="1:2">
      <c r="A2506" s="1" t="s">
        <v>3316</v>
      </c>
      <c r="B2506" t="s">
        <v>10234</v>
      </c>
    </row>
    <row r="2507" spans="1:2">
      <c r="A2507" s="1" t="s">
        <v>740</v>
      </c>
      <c r="B2507" t="s">
        <v>10325</v>
      </c>
    </row>
    <row r="2508" spans="1:2">
      <c r="A2508" s="1" t="s">
        <v>3317</v>
      </c>
      <c r="B2508" t="s">
        <v>10234</v>
      </c>
    </row>
    <row r="2509" spans="1:2">
      <c r="A2509" s="1" t="s">
        <v>3318</v>
      </c>
      <c r="B2509" t="s">
        <v>901</v>
      </c>
    </row>
    <row r="2510" spans="1:2">
      <c r="A2510" s="1" t="s">
        <v>3319</v>
      </c>
      <c r="B2510" t="s">
        <v>10234</v>
      </c>
    </row>
    <row r="2511" spans="1:2">
      <c r="A2511" s="1" t="s">
        <v>195</v>
      </c>
      <c r="B2511" t="s">
        <v>10277</v>
      </c>
    </row>
    <row r="2512" spans="1:2">
      <c r="A2512" s="1" t="s">
        <v>3320</v>
      </c>
      <c r="B2512" t="s">
        <v>10287</v>
      </c>
    </row>
    <row r="2513" spans="1:2">
      <c r="A2513" s="1" t="s">
        <v>3321</v>
      </c>
      <c r="B2513" t="s">
        <v>10325</v>
      </c>
    </row>
    <row r="2514" spans="1:2">
      <c r="A2514" s="1" t="s">
        <v>3322</v>
      </c>
      <c r="B2514" t="s">
        <v>10240</v>
      </c>
    </row>
    <row r="2515" spans="1:2">
      <c r="A2515" s="1" t="s">
        <v>3323</v>
      </c>
      <c r="B2515" t="s">
        <v>10240</v>
      </c>
    </row>
    <row r="2516" spans="1:2">
      <c r="A2516" s="1" t="s">
        <v>713</v>
      </c>
      <c r="B2516" t="s">
        <v>10361</v>
      </c>
    </row>
    <row r="2517" spans="1:2">
      <c r="A2517" s="1" t="s">
        <v>3324</v>
      </c>
      <c r="B2517" t="s">
        <v>10288</v>
      </c>
    </row>
    <row r="2518" spans="1:2">
      <c r="A2518" s="1" t="s">
        <v>3325</v>
      </c>
      <c r="B2518" t="s">
        <v>10234</v>
      </c>
    </row>
    <row r="2519" spans="1:2">
      <c r="A2519" s="1" t="s">
        <v>3326</v>
      </c>
      <c r="B2519" t="s">
        <v>10251</v>
      </c>
    </row>
    <row r="2520" spans="1:2">
      <c r="A2520" s="1" t="s">
        <v>3327</v>
      </c>
      <c r="B2520" t="s">
        <v>10234</v>
      </c>
    </row>
    <row r="2521" spans="1:2">
      <c r="A2521" s="1" t="s">
        <v>3328</v>
      </c>
      <c r="B2521" t="s">
        <v>10262</v>
      </c>
    </row>
    <row r="2522" spans="1:2">
      <c r="A2522" s="1" t="s">
        <v>434</v>
      </c>
      <c r="B2522" t="s">
        <v>10353</v>
      </c>
    </row>
    <row r="2523" spans="1:2">
      <c r="A2523" s="1" t="s">
        <v>3329</v>
      </c>
      <c r="B2523" t="s">
        <v>10231</v>
      </c>
    </row>
    <row r="2524" spans="1:2">
      <c r="A2524" s="1" t="s">
        <v>3330</v>
      </c>
      <c r="B2524" t="s">
        <v>10242</v>
      </c>
    </row>
    <row r="2525" spans="1:2">
      <c r="A2525" s="1" t="s">
        <v>3331</v>
      </c>
      <c r="B2525" t="s">
        <v>10283</v>
      </c>
    </row>
    <row r="2526" spans="1:2">
      <c r="A2526" s="1" t="s">
        <v>3332</v>
      </c>
      <c r="B2526" t="s">
        <v>901</v>
      </c>
    </row>
    <row r="2527" spans="1:2">
      <c r="A2527" s="1" t="s">
        <v>3333</v>
      </c>
      <c r="B2527" t="s">
        <v>10350</v>
      </c>
    </row>
    <row r="2528" spans="1:2">
      <c r="A2528" s="1" t="s">
        <v>3334</v>
      </c>
      <c r="B2528" t="s">
        <v>10231</v>
      </c>
    </row>
    <row r="2529" spans="1:2">
      <c r="A2529" s="1" t="s">
        <v>3335</v>
      </c>
      <c r="B2529" t="s">
        <v>10455</v>
      </c>
    </row>
    <row r="2530" spans="1:2">
      <c r="A2530" s="1" t="s">
        <v>3336</v>
      </c>
      <c r="B2530" t="s">
        <v>10283</v>
      </c>
    </row>
    <row r="2531" spans="1:2">
      <c r="A2531" s="1" t="s">
        <v>3337</v>
      </c>
      <c r="B2531" t="s">
        <v>10369</v>
      </c>
    </row>
    <row r="2532" spans="1:2">
      <c r="A2532" s="1" t="s">
        <v>3338</v>
      </c>
      <c r="B2532" t="s">
        <v>10261</v>
      </c>
    </row>
    <row r="2533" spans="1:2">
      <c r="A2533" s="1" t="s">
        <v>3339</v>
      </c>
      <c r="B2533" t="s">
        <v>10262</v>
      </c>
    </row>
    <row r="2534" spans="1:2">
      <c r="A2534" s="1" t="s">
        <v>61</v>
      </c>
      <c r="B2534" t="s">
        <v>10277</v>
      </c>
    </row>
    <row r="2535" spans="1:2">
      <c r="A2535" s="1" t="s">
        <v>3340</v>
      </c>
      <c r="B2535" t="s">
        <v>10256</v>
      </c>
    </row>
    <row r="2536" spans="1:2">
      <c r="A2536" s="1" t="s">
        <v>80</v>
      </c>
      <c r="B2536" t="s">
        <v>10229</v>
      </c>
    </row>
    <row r="2537" spans="1:2">
      <c r="A2537" s="1" t="s">
        <v>3341</v>
      </c>
      <c r="B2537" t="s">
        <v>10224</v>
      </c>
    </row>
    <row r="2538" spans="1:2">
      <c r="A2538" s="1" t="s">
        <v>3342</v>
      </c>
      <c r="B2538" t="s">
        <v>10266</v>
      </c>
    </row>
    <row r="2539" spans="1:2">
      <c r="A2539" s="1" t="s">
        <v>3343</v>
      </c>
      <c r="B2539" t="s">
        <v>10234</v>
      </c>
    </row>
    <row r="2540" spans="1:2">
      <c r="A2540" s="1" t="s">
        <v>3344</v>
      </c>
      <c r="B2540" t="s">
        <v>10234</v>
      </c>
    </row>
    <row r="2541" spans="1:2">
      <c r="A2541" s="1" t="s">
        <v>3345</v>
      </c>
      <c r="B2541" t="s">
        <v>10250</v>
      </c>
    </row>
    <row r="2542" spans="1:2">
      <c r="A2542" s="1" t="s">
        <v>3346</v>
      </c>
      <c r="B2542" t="s">
        <v>10223</v>
      </c>
    </row>
    <row r="2543" spans="1:2">
      <c r="A2543" s="1" t="s">
        <v>3347</v>
      </c>
      <c r="B2543" t="s">
        <v>10403</v>
      </c>
    </row>
    <row r="2544" spans="1:2">
      <c r="A2544" s="1" t="s">
        <v>795</v>
      </c>
      <c r="B2544" t="s">
        <v>10277</v>
      </c>
    </row>
    <row r="2545" spans="1:2">
      <c r="A2545" s="1" t="s">
        <v>3348</v>
      </c>
      <c r="B2545" t="s">
        <v>10266</v>
      </c>
    </row>
    <row r="2546" spans="1:2">
      <c r="A2546" s="1" t="s">
        <v>3349</v>
      </c>
      <c r="B2546" t="s">
        <v>10302</v>
      </c>
    </row>
    <row r="2547" spans="1:2">
      <c r="A2547" s="1" t="s">
        <v>3350</v>
      </c>
      <c r="B2547" t="s">
        <v>10224</v>
      </c>
    </row>
    <row r="2548" spans="1:2">
      <c r="A2548" s="1" t="s">
        <v>3351</v>
      </c>
      <c r="B2548" t="s">
        <v>10286</v>
      </c>
    </row>
    <row r="2549" spans="1:2">
      <c r="A2549" s="1" t="s">
        <v>3352</v>
      </c>
      <c r="B2549" t="s">
        <v>10256</v>
      </c>
    </row>
    <row r="2550" spans="1:2">
      <c r="A2550" s="1" t="s">
        <v>3353</v>
      </c>
      <c r="B2550" t="s">
        <v>901</v>
      </c>
    </row>
    <row r="2551" spans="1:2">
      <c r="A2551" s="1" t="s">
        <v>3354</v>
      </c>
      <c r="B2551" t="s">
        <v>10258</v>
      </c>
    </row>
    <row r="2552" spans="1:2">
      <c r="A2552" s="1" t="s">
        <v>3355</v>
      </c>
      <c r="B2552" t="s">
        <v>10234</v>
      </c>
    </row>
    <row r="2553" spans="1:2">
      <c r="A2553" s="1" t="s">
        <v>570</v>
      </c>
      <c r="B2553" t="s">
        <v>10366</v>
      </c>
    </row>
    <row r="2554" spans="1:2">
      <c r="A2554" s="1" t="s">
        <v>3356</v>
      </c>
      <c r="B2554" t="s">
        <v>10239</v>
      </c>
    </row>
    <row r="2555" spans="1:2">
      <c r="A2555" s="1" t="s">
        <v>3357</v>
      </c>
      <c r="B2555" t="s">
        <v>10234</v>
      </c>
    </row>
    <row r="2556" spans="1:2">
      <c r="A2556" s="1" t="s">
        <v>580</v>
      </c>
      <c r="B2556" t="s">
        <v>10311</v>
      </c>
    </row>
    <row r="2557" spans="1:2">
      <c r="A2557" s="1" t="s">
        <v>416</v>
      </c>
      <c r="B2557" t="s">
        <v>10277</v>
      </c>
    </row>
    <row r="2558" spans="1:2">
      <c r="A2558" s="1" t="s">
        <v>3358</v>
      </c>
      <c r="B2558" t="s">
        <v>10240</v>
      </c>
    </row>
    <row r="2559" spans="1:2">
      <c r="A2559" s="1" t="s">
        <v>3359</v>
      </c>
      <c r="B2559" t="s">
        <v>10230</v>
      </c>
    </row>
    <row r="2560" spans="1:2">
      <c r="A2560" s="1" t="s">
        <v>3360</v>
      </c>
      <c r="B2560" t="s">
        <v>10262</v>
      </c>
    </row>
    <row r="2561" spans="1:2">
      <c r="A2561" s="1" t="s">
        <v>3361</v>
      </c>
      <c r="B2561" t="s">
        <v>10234</v>
      </c>
    </row>
    <row r="2562" spans="1:2">
      <c r="A2562" s="1" t="s">
        <v>3362</v>
      </c>
      <c r="B2562" t="s">
        <v>10277</v>
      </c>
    </row>
    <row r="2563" spans="1:2">
      <c r="A2563" s="1" t="s">
        <v>3363</v>
      </c>
      <c r="B2563" t="s">
        <v>10424</v>
      </c>
    </row>
    <row r="2564" spans="1:2">
      <c r="A2564" s="1" t="s">
        <v>3364</v>
      </c>
      <c r="B2564" t="s">
        <v>10269</v>
      </c>
    </row>
    <row r="2565" spans="1:2">
      <c r="A2565" s="1" t="s">
        <v>3365</v>
      </c>
      <c r="B2565" t="s">
        <v>10245</v>
      </c>
    </row>
    <row r="2566" spans="1:2">
      <c r="A2566" s="1" t="s">
        <v>511</v>
      </c>
      <c r="B2566" t="s">
        <v>10258</v>
      </c>
    </row>
    <row r="2567" spans="1:2">
      <c r="A2567" s="1" t="s">
        <v>3366</v>
      </c>
      <c r="B2567" t="s">
        <v>10224</v>
      </c>
    </row>
    <row r="2568" spans="1:2">
      <c r="A2568" s="1" t="s">
        <v>3367</v>
      </c>
      <c r="B2568" t="s">
        <v>10286</v>
      </c>
    </row>
    <row r="2569" spans="1:2">
      <c r="A2569" s="1" t="s">
        <v>3368</v>
      </c>
      <c r="B2569" t="s">
        <v>10265</v>
      </c>
    </row>
    <row r="2570" spans="1:2">
      <c r="A2570" s="1" t="s">
        <v>3369</v>
      </c>
      <c r="B2570" t="s">
        <v>10319</v>
      </c>
    </row>
    <row r="2571" spans="1:2">
      <c r="A2571" s="1" t="s">
        <v>3370</v>
      </c>
      <c r="B2571" t="s">
        <v>10234</v>
      </c>
    </row>
    <row r="2572" spans="1:2">
      <c r="A2572" s="1" t="s">
        <v>705</v>
      </c>
      <c r="B2572" t="s">
        <v>10366</v>
      </c>
    </row>
    <row r="2573" spans="1:2">
      <c r="A2573" s="1" t="s">
        <v>3371</v>
      </c>
      <c r="B2573" t="s">
        <v>10259</v>
      </c>
    </row>
    <row r="2574" spans="1:2">
      <c r="A2574" s="1" t="s">
        <v>737</v>
      </c>
      <c r="B2574" t="s">
        <v>10224</v>
      </c>
    </row>
    <row r="2575" spans="1:2">
      <c r="A2575" s="1" t="s">
        <v>3372</v>
      </c>
      <c r="B2575" t="s">
        <v>10244</v>
      </c>
    </row>
    <row r="2576" spans="1:2">
      <c r="A2576" s="1" t="s">
        <v>3373</v>
      </c>
      <c r="B2576" t="s">
        <v>10233</v>
      </c>
    </row>
    <row r="2577" spans="1:2">
      <c r="A2577" s="1" t="s">
        <v>3374</v>
      </c>
      <c r="B2577" t="s">
        <v>901</v>
      </c>
    </row>
    <row r="2578" spans="1:2">
      <c r="A2578" s="1" t="s">
        <v>644</v>
      </c>
      <c r="B2578" t="s">
        <v>10262</v>
      </c>
    </row>
    <row r="2579" spans="1:2">
      <c r="A2579" s="1" t="s">
        <v>3375</v>
      </c>
      <c r="B2579" t="s">
        <v>10261</v>
      </c>
    </row>
    <row r="2580" spans="1:2">
      <c r="A2580" s="1" t="s">
        <v>3376</v>
      </c>
      <c r="B2580" t="s">
        <v>901</v>
      </c>
    </row>
    <row r="2581" spans="1:2">
      <c r="A2581" s="1" t="s">
        <v>3377</v>
      </c>
      <c r="B2581" t="s">
        <v>10240</v>
      </c>
    </row>
    <row r="2582" spans="1:2">
      <c r="A2582" s="1" t="s">
        <v>3378</v>
      </c>
      <c r="B2582" t="s">
        <v>10343</v>
      </c>
    </row>
    <row r="2583" spans="1:2">
      <c r="A2583" s="1" t="s">
        <v>3379</v>
      </c>
      <c r="B2583" t="s">
        <v>901</v>
      </c>
    </row>
    <row r="2584" spans="1:2">
      <c r="A2584" s="1" t="s">
        <v>890</v>
      </c>
      <c r="B2584" t="s">
        <v>10243</v>
      </c>
    </row>
    <row r="2585" spans="1:2">
      <c r="A2585" s="1" t="s">
        <v>3380</v>
      </c>
      <c r="B2585" t="s">
        <v>901</v>
      </c>
    </row>
    <row r="2586" spans="1:2">
      <c r="A2586" s="1" t="s">
        <v>3381</v>
      </c>
      <c r="B2586" t="s">
        <v>10414</v>
      </c>
    </row>
    <row r="2587" spans="1:2">
      <c r="A2587" s="1" t="s">
        <v>253</v>
      </c>
      <c r="B2587" t="s">
        <v>10234</v>
      </c>
    </row>
    <row r="2588" spans="1:2">
      <c r="A2588" s="1" t="s">
        <v>3382</v>
      </c>
      <c r="B2588" t="s">
        <v>10224</v>
      </c>
    </row>
    <row r="2589" spans="1:2">
      <c r="A2589" s="1" t="s">
        <v>3383</v>
      </c>
      <c r="B2589" t="s">
        <v>10387</v>
      </c>
    </row>
    <row r="2590" spans="1:2">
      <c r="A2590" s="1" t="s">
        <v>3384</v>
      </c>
      <c r="B2590" t="s">
        <v>10370</v>
      </c>
    </row>
    <row r="2591" spans="1:2">
      <c r="A2591" s="1" t="s">
        <v>3385</v>
      </c>
      <c r="B2591" t="s">
        <v>10286</v>
      </c>
    </row>
    <row r="2592" spans="1:2">
      <c r="A2592" s="1" t="s">
        <v>640</v>
      </c>
      <c r="B2592" t="s">
        <v>10239</v>
      </c>
    </row>
    <row r="2593" spans="1:2">
      <c r="A2593" s="1" t="s">
        <v>3386</v>
      </c>
      <c r="B2593" t="s">
        <v>10377</v>
      </c>
    </row>
    <row r="2594" spans="1:2">
      <c r="A2594" s="1" t="s">
        <v>3387</v>
      </c>
      <c r="B2594" t="s">
        <v>10343</v>
      </c>
    </row>
    <row r="2595" spans="1:2">
      <c r="A2595" s="1" t="s">
        <v>728</v>
      </c>
      <c r="B2595" t="s">
        <v>10290</v>
      </c>
    </row>
    <row r="2596" spans="1:2">
      <c r="A2596" s="1" t="s">
        <v>3388</v>
      </c>
      <c r="B2596" t="s">
        <v>901</v>
      </c>
    </row>
    <row r="2597" spans="1:2">
      <c r="A2597" s="1" t="s">
        <v>3389</v>
      </c>
      <c r="B2597" t="s">
        <v>10292</v>
      </c>
    </row>
    <row r="2598" spans="1:2">
      <c r="A2598" s="1" t="s">
        <v>547</v>
      </c>
      <c r="B2598" t="s">
        <v>10286</v>
      </c>
    </row>
    <row r="2599" spans="1:2">
      <c r="A2599" s="1" t="s">
        <v>3390</v>
      </c>
      <c r="B2599" t="s">
        <v>901</v>
      </c>
    </row>
    <row r="2600" spans="1:2">
      <c r="A2600" s="1" t="s">
        <v>3391</v>
      </c>
      <c r="B2600" t="s">
        <v>10331</v>
      </c>
    </row>
    <row r="2601" spans="1:2">
      <c r="A2601" s="1" t="s">
        <v>3392</v>
      </c>
      <c r="B2601" t="s">
        <v>10244</v>
      </c>
    </row>
    <row r="2602" spans="1:2">
      <c r="A2602" s="1" t="s">
        <v>3393</v>
      </c>
      <c r="B2602" t="s">
        <v>10286</v>
      </c>
    </row>
    <row r="2603" spans="1:2">
      <c r="A2603" s="1" t="s">
        <v>3394</v>
      </c>
      <c r="B2603" t="s">
        <v>10245</v>
      </c>
    </row>
    <row r="2604" spans="1:2">
      <c r="A2604" s="1" t="s">
        <v>3395</v>
      </c>
      <c r="B2604" t="s">
        <v>10230</v>
      </c>
    </row>
    <row r="2605" spans="1:2">
      <c r="A2605" s="1" t="s">
        <v>3396</v>
      </c>
      <c r="B2605" t="s">
        <v>901</v>
      </c>
    </row>
    <row r="2606" spans="1:2">
      <c r="A2606" s="1" t="s">
        <v>3397</v>
      </c>
      <c r="B2606" t="s">
        <v>10361</v>
      </c>
    </row>
    <row r="2607" spans="1:2">
      <c r="A2607" s="1" t="s">
        <v>3398</v>
      </c>
      <c r="B2607" t="s">
        <v>10251</v>
      </c>
    </row>
    <row r="2608" spans="1:2">
      <c r="A2608" s="1" t="s">
        <v>3399</v>
      </c>
      <c r="B2608" t="s">
        <v>10446</v>
      </c>
    </row>
    <row r="2609" spans="1:2">
      <c r="A2609" s="1" t="s">
        <v>3400</v>
      </c>
      <c r="B2609" t="s">
        <v>10223</v>
      </c>
    </row>
    <row r="2610" spans="1:2">
      <c r="A2610" s="1" t="s">
        <v>3401</v>
      </c>
      <c r="B2610" t="s">
        <v>10229</v>
      </c>
    </row>
    <row r="2611" spans="1:2">
      <c r="A2611" s="1" t="s">
        <v>3402</v>
      </c>
      <c r="B2611" t="s">
        <v>10241</v>
      </c>
    </row>
    <row r="2612" spans="1:2">
      <c r="A2612" s="1" t="s">
        <v>3403</v>
      </c>
      <c r="B2612" t="s">
        <v>10456</v>
      </c>
    </row>
    <row r="2613" spans="1:2">
      <c r="A2613" s="1" t="s">
        <v>3404</v>
      </c>
      <c r="B2613" t="s">
        <v>10251</v>
      </c>
    </row>
    <row r="2614" spans="1:2">
      <c r="A2614" s="1" t="s">
        <v>3405</v>
      </c>
      <c r="B2614" t="s">
        <v>10403</v>
      </c>
    </row>
    <row r="2615" spans="1:2">
      <c r="A2615" s="1" t="s">
        <v>3406</v>
      </c>
      <c r="B2615" t="s">
        <v>10263</v>
      </c>
    </row>
    <row r="2616" spans="1:2">
      <c r="A2616" s="1" t="s">
        <v>3407</v>
      </c>
      <c r="B2616" t="s">
        <v>10240</v>
      </c>
    </row>
    <row r="2617" spans="1:2">
      <c r="A2617" s="1" t="s">
        <v>3408</v>
      </c>
      <c r="B2617" t="s">
        <v>901</v>
      </c>
    </row>
    <row r="2618" spans="1:2">
      <c r="A2618" s="1" t="s">
        <v>3409</v>
      </c>
      <c r="B2618" t="s">
        <v>10223</v>
      </c>
    </row>
    <row r="2619" spans="1:2">
      <c r="A2619" s="1" t="s">
        <v>3410</v>
      </c>
      <c r="B2619" t="s">
        <v>901</v>
      </c>
    </row>
    <row r="2620" spans="1:2">
      <c r="A2620" s="1" t="s">
        <v>3411</v>
      </c>
      <c r="B2620" t="s">
        <v>10229</v>
      </c>
    </row>
    <row r="2621" spans="1:2">
      <c r="A2621" s="1" t="s">
        <v>3412</v>
      </c>
      <c r="B2621" t="s">
        <v>10267</v>
      </c>
    </row>
    <row r="2622" spans="1:2">
      <c r="A2622" s="1" t="s">
        <v>3413</v>
      </c>
      <c r="B2622" t="s">
        <v>10303</v>
      </c>
    </row>
    <row r="2623" spans="1:2">
      <c r="A2623" s="1" t="s">
        <v>3414</v>
      </c>
      <c r="B2623" t="s">
        <v>10280</v>
      </c>
    </row>
    <row r="2624" spans="1:2">
      <c r="A2624" s="1" t="s">
        <v>136</v>
      </c>
      <c r="B2624" t="s">
        <v>10262</v>
      </c>
    </row>
    <row r="2625" spans="1:2">
      <c r="A2625" s="1" t="s">
        <v>3415</v>
      </c>
      <c r="B2625" t="s">
        <v>10241</v>
      </c>
    </row>
    <row r="2626" spans="1:2">
      <c r="A2626" s="1" t="s">
        <v>3416</v>
      </c>
      <c r="B2626" t="s">
        <v>10225</v>
      </c>
    </row>
    <row r="2627" spans="1:2">
      <c r="A2627" s="1" t="s">
        <v>3417</v>
      </c>
      <c r="B2627" t="s">
        <v>10241</v>
      </c>
    </row>
    <row r="2628" spans="1:2">
      <c r="A2628" s="1" t="s">
        <v>3418</v>
      </c>
      <c r="B2628" t="s">
        <v>10373</v>
      </c>
    </row>
    <row r="2629" spans="1:2">
      <c r="A2629" s="1" t="s">
        <v>3419</v>
      </c>
      <c r="B2629" t="s">
        <v>10457</v>
      </c>
    </row>
    <row r="2630" spans="1:2">
      <c r="A2630" s="1" t="s">
        <v>3420</v>
      </c>
      <c r="B2630" t="s">
        <v>10243</v>
      </c>
    </row>
    <row r="2631" spans="1:2">
      <c r="A2631" s="1" t="s">
        <v>597</v>
      </c>
      <c r="B2631" t="s">
        <v>10275</v>
      </c>
    </row>
    <row r="2632" spans="1:2">
      <c r="A2632" s="1" t="s">
        <v>3421</v>
      </c>
      <c r="B2632" t="s">
        <v>901</v>
      </c>
    </row>
    <row r="2633" spans="1:2">
      <c r="A2633" s="1" t="s">
        <v>3422</v>
      </c>
      <c r="B2633" t="s">
        <v>10230</v>
      </c>
    </row>
    <row r="2634" spans="1:2">
      <c r="A2634" s="1" t="s">
        <v>3423</v>
      </c>
      <c r="B2634" t="s">
        <v>10224</v>
      </c>
    </row>
    <row r="2635" spans="1:2">
      <c r="A2635" s="1" t="s">
        <v>3424</v>
      </c>
      <c r="B2635" t="s">
        <v>10239</v>
      </c>
    </row>
    <row r="2636" spans="1:2">
      <c r="A2636" s="1" t="s">
        <v>3425</v>
      </c>
      <c r="B2636" t="s">
        <v>10240</v>
      </c>
    </row>
    <row r="2637" spans="1:2">
      <c r="A2637" s="1" t="s">
        <v>3426</v>
      </c>
      <c r="B2637" t="s">
        <v>10412</v>
      </c>
    </row>
    <row r="2638" spans="1:2">
      <c r="A2638" s="1" t="s">
        <v>670</v>
      </c>
      <c r="B2638" t="s">
        <v>10458</v>
      </c>
    </row>
    <row r="2639" spans="1:2">
      <c r="A2639" s="1" t="s">
        <v>3427</v>
      </c>
      <c r="B2639" t="s">
        <v>901</v>
      </c>
    </row>
    <row r="2640" spans="1:2">
      <c r="A2640" s="1" t="s">
        <v>3428</v>
      </c>
      <c r="B2640" t="s">
        <v>10285</v>
      </c>
    </row>
    <row r="2641" spans="1:2">
      <c r="A2641" s="1" t="s">
        <v>3429</v>
      </c>
      <c r="B2641" t="s">
        <v>10243</v>
      </c>
    </row>
    <row r="2642" spans="1:2">
      <c r="A2642" s="1" t="s">
        <v>850</v>
      </c>
      <c r="B2642" t="s">
        <v>10241</v>
      </c>
    </row>
    <row r="2643" spans="1:2">
      <c r="A2643" s="1" t="s">
        <v>3430</v>
      </c>
      <c r="B2643" t="s">
        <v>10228</v>
      </c>
    </row>
    <row r="2644" spans="1:2">
      <c r="A2644" s="1" t="s">
        <v>3431</v>
      </c>
      <c r="B2644" t="s">
        <v>10414</v>
      </c>
    </row>
    <row r="2645" spans="1:2">
      <c r="A2645" s="1" t="s">
        <v>3432</v>
      </c>
      <c r="B2645" t="s">
        <v>10333</v>
      </c>
    </row>
    <row r="2646" spans="1:2">
      <c r="A2646" s="1" t="s">
        <v>3433</v>
      </c>
      <c r="B2646" t="s">
        <v>10459</v>
      </c>
    </row>
    <row r="2647" spans="1:2">
      <c r="A2647" s="1" t="s">
        <v>3434</v>
      </c>
      <c r="B2647" t="s">
        <v>10248</v>
      </c>
    </row>
    <row r="2648" spans="1:2">
      <c r="A2648" s="1" t="s">
        <v>3435</v>
      </c>
      <c r="B2648" t="s">
        <v>10224</v>
      </c>
    </row>
    <row r="2649" spans="1:2">
      <c r="A2649" s="1" t="s">
        <v>3436</v>
      </c>
      <c r="B2649" t="s">
        <v>10223</v>
      </c>
    </row>
    <row r="2650" spans="1:2">
      <c r="A2650" s="1" t="s">
        <v>3437</v>
      </c>
      <c r="B2650" t="s">
        <v>10430</v>
      </c>
    </row>
    <row r="2651" spans="1:2">
      <c r="A2651" s="1" t="s">
        <v>3438</v>
      </c>
      <c r="B2651" t="s">
        <v>10234</v>
      </c>
    </row>
    <row r="2652" spans="1:2">
      <c r="A2652" s="1" t="s">
        <v>650</v>
      </c>
      <c r="B2652" t="s">
        <v>10287</v>
      </c>
    </row>
    <row r="2653" spans="1:2">
      <c r="A2653" s="1" t="s">
        <v>3439</v>
      </c>
      <c r="B2653" t="s">
        <v>10234</v>
      </c>
    </row>
    <row r="2654" spans="1:2">
      <c r="A2654" s="1" t="s">
        <v>3440</v>
      </c>
      <c r="B2654" t="s">
        <v>10251</v>
      </c>
    </row>
    <row r="2655" spans="1:2">
      <c r="A2655" s="1" t="s">
        <v>3441</v>
      </c>
      <c r="B2655" t="s">
        <v>10399</v>
      </c>
    </row>
    <row r="2656" spans="1:2">
      <c r="A2656" s="1" t="s">
        <v>3442</v>
      </c>
      <c r="B2656" t="s">
        <v>10234</v>
      </c>
    </row>
    <row r="2657" spans="1:2">
      <c r="A2657" s="1" t="s">
        <v>3443</v>
      </c>
      <c r="B2657" t="s">
        <v>10240</v>
      </c>
    </row>
    <row r="2658" spans="1:2">
      <c r="A2658" s="1" t="s">
        <v>3444</v>
      </c>
      <c r="B2658" t="s">
        <v>10440</v>
      </c>
    </row>
    <row r="2659" spans="1:2">
      <c r="A2659" s="1" t="s">
        <v>568</v>
      </c>
      <c r="B2659" t="s">
        <v>10254</v>
      </c>
    </row>
    <row r="2660" spans="1:2">
      <c r="A2660" s="1" t="s">
        <v>3445</v>
      </c>
      <c r="B2660" t="s">
        <v>10239</v>
      </c>
    </row>
    <row r="2661" spans="1:2">
      <c r="A2661" s="1" t="s">
        <v>489</v>
      </c>
      <c r="B2661" t="s">
        <v>10316</v>
      </c>
    </row>
    <row r="2662" spans="1:2">
      <c r="A2662" s="1" t="s">
        <v>3446</v>
      </c>
      <c r="B2662" t="s">
        <v>10266</v>
      </c>
    </row>
    <row r="2663" spans="1:2">
      <c r="A2663" s="1" t="s">
        <v>3447</v>
      </c>
      <c r="B2663" t="s">
        <v>10238</v>
      </c>
    </row>
    <row r="2664" spans="1:2">
      <c r="A2664" s="1" t="s">
        <v>3448</v>
      </c>
      <c r="B2664" t="s">
        <v>10240</v>
      </c>
    </row>
    <row r="2665" spans="1:2">
      <c r="A2665" s="1" t="s">
        <v>3449</v>
      </c>
      <c r="B2665" t="s">
        <v>10460</v>
      </c>
    </row>
    <row r="2666" spans="1:2">
      <c r="A2666" s="1" t="s">
        <v>3450</v>
      </c>
      <c r="B2666" t="s">
        <v>10326</v>
      </c>
    </row>
    <row r="2667" spans="1:2">
      <c r="A2667" s="1" t="s">
        <v>571</v>
      </c>
      <c r="B2667" t="s">
        <v>10262</v>
      </c>
    </row>
    <row r="2668" spans="1:2">
      <c r="A2668" s="1" t="s">
        <v>3451</v>
      </c>
      <c r="B2668" t="s">
        <v>10461</v>
      </c>
    </row>
    <row r="2669" spans="1:2">
      <c r="A2669" s="1" t="s">
        <v>631</v>
      </c>
      <c r="B2669" t="s">
        <v>10287</v>
      </c>
    </row>
    <row r="2670" spans="1:2">
      <c r="A2670" s="1" t="s">
        <v>3452</v>
      </c>
      <c r="B2670" t="s">
        <v>10442</v>
      </c>
    </row>
    <row r="2671" spans="1:2">
      <c r="A2671" s="1" t="s">
        <v>3453</v>
      </c>
      <c r="B2671" t="s">
        <v>10242</v>
      </c>
    </row>
    <row r="2672" spans="1:2">
      <c r="A2672" s="1" t="s">
        <v>3454</v>
      </c>
      <c r="B2672" t="s">
        <v>10232</v>
      </c>
    </row>
    <row r="2673" spans="1:2">
      <c r="A2673" s="1" t="s">
        <v>3455</v>
      </c>
      <c r="B2673" t="s">
        <v>10256</v>
      </c>
    </row>
    <row r="2674" spans="1:2">
      <c r="A2674" s="1" t="s">
        <v>3456</v>
      </c>
      <c r="B2674" t="s">
        <v>10239</v>
      </c>
    </row>
    <row r="2675" spans="1:2">
      <c r="A2675" s="1" t="s">
        <v>456</v>
      </c>
      <c r="B2675" t="s">
        <v>10257</v>
      </c>
    </row>
    <row r="2676" spans="1:2">
      <c r="A2676" s="1" t="s">
        <v>3457</v>
      </c>
      <c r="B2676" t="s">
        <v>10234</v>
      </c>
    </row>
    <row r="2677" spans="1:2">
      <c r="A2677" s="1" t="s">
        <v>800</v>
      </c>
      <c r="B2677" t="s">
        <v>10248</v>
      </c>
    </row>
    <row r="2678" spans="1:2">
      <c r="A2678" s="1" t="s">
        <v>3458</v>
      </c>
      <c r="B2678" t="s">
        <v>901</v>
      </c>
    </row>
    <row r="2679" spans="1:2">
      <c r="A2679" s="1" t="s">
        <v>3459</v>
      </c>
      <c r="B2679" t="s">
        <v>10308</v>
      </c>
    </row>
    <row r="2680" spans="1:2">
      <c r="A2680" s="1" t="s">
        <v>3460</v>
      </c>
      <c r="B2680" t="s">
        <v>10405</v>
      </c>
    </row>
    <row r="2681" spans="1:2">
      <c r="A2681" s="1" t="s">
        <v>3461</v>
      </c>
      <c r="B2681" t="s">
        <v>10234</v>
      </c>
    </row>
    <row r="2682" spans="1:2">
      <c r="A2682" s="1" t="s">
        <v>3462</v>
      </c>
      <c r="B2682" t="s">
        <v>10236</v>
      </c>
    </row>
    <row r="2683" spans="1:2">
      <c r="A2683" s="1" t="s">
        <v>3463</v>
      </c>
      <c r="B2683" t="s">
        <v>10238</v>
      </c>
    </row>
    <row r="2684" spans="1:2">
      <c r="A2684" s="1" t="s">
        <v>3464</v>
      </c>
      <c r="B2684" t="s">
        <v>10319</v>
      </c>
    </row>
    <row r="2685" spans="1:2">
      <c r="A2685" s="1" t="s">
        <v>3465</v>
      </c>
      <c r="B2685" t="s">
        <v>10234</v>
      </c>
    </row>
    <row r="2686" spans="1:2">
      <c r="A2686" s="1" t="s">
        <v>3466</v>
      </c>
      <c r="B2686" t="s">
        <v>10240</v>
      </c>
    </row>
    <row r="2687" spans="1:2">
      <c r="A2687" s="1" t="s">
        <v>3467</v>
      </c>
      <c r="B2687" t="s">
        <v>10240</v>
      </c>
    </row>
    <row r="2688" spans="1:2">
      <c r="A2688" s="1" t="s">
        <v>470</v>
      </c>
      <c r="B2688" t="s">
        <v>10286</v>
      </c>
    </row>
    <row r="2689" spans="1:2">
      <c r="A2689" s="1" t="s">
        <v>3468</v>
      </c>
      <c r="B2689" t="s">
        <v>10270</v>
      </c>
    </row>
    <row r="2690" spans="1:2">
      <c r="A2690" s="1" t="s">
        <v>486</v>
      </c>
      <c r="B2690" t="s">
        <v>10239</v>
      </c>
    </row>
    <row r="2691" spans="1:2">
      <c r="A2691" s="1" t="s">
        <v>3469</v>
      </c>
      <c r="B2691" t="s">
        <v>10224</v>
      </c>
    </row>
    <row r="2692" spans="1:2">
      <c r="A2692" s="1" t="s">
        <v>3470</v>
      </c>
      <c r="B2692" t="s">
        <v>10287</v>
      </c>
    </row>
    <row r="2693" spans="1:2">
      <c r="A2693" s="1" t="s">
        <v>3471</v>
      </c>
      <c r="B2693" t="s">
        <v>10241</v>
      </c>
    </row>
    <row r="2694" spans="1:2">
      <c r="A2694" s="1" t="s">
        <v>3472</v>
      </c>
      <c r="B2694" t="s">
        <v>901</v>
      </c>
    </row>
    <row r="2695" spans="1:2">
      <c r="A2695" s="1" t="s">
        <v>3473</v>
      </c>
      <c r="B2695" t="s">
        <v>10296</v>
      </c>
    </row>
    <row r="2696" spans="1:2">
      <c r="A2696" s="1" t="s">
        <v>3474</v>
      </c>
      <c r="B2696" t="s">
        <v>10234</v>
      </c>
    </row>
    <row r="2697" spans="1:2">
      <c r="A2697" s="1" t="s">
        <v>265</v>
      </c>
      <c r="B2697" t="s">
        <v>10351</v>
      </c>
    </row>
    <row r="2698" spans="1:2">
      <c r="A2698" s="1" t="s">
        <v>3475</v>
      </c>
      <c r="B2698" t="s">
        <v>10393</v>
      </c>
    </row>
    <row r="2699" spans="1:2">
      <c r="A2699" s="1" t="s">
        <v>3476</v>
      </c>
      <c r="B2699" t="s">
        <v>10240</v>
      </c>
    </row>
    <row r="2700" spans="1:2">
      <c r="A2700" s="1" t="s">
        <v>3477</v>
      </c>
      <c r="B2700" t="s">
        <v>10336</v>
      </c>
    </row>
    <row r="2701" spans="1:2">
      <c r="A2701" s="1" t="s">
        <v>3478</v>
      </c>
      <c r="B2701" t="s">
        <v>10266</v>
      </c>
    </row>
    <row r="2702" spans="1:2">
      <c r="A2702" s="1" t="s">
        <v>3479</v>
      </c>
      <c r="B2702" t="s">
        <v>10240</v>
      </c>
    </row>
    <row r="2703" spans="1:2">
      <c r="A2703" s="1" t="s">
        <v>3480</v>
      </c>
      <c r="B2703" t="s">
        <v>10250</v>
      </c>
    </row>
    <row r="2704" spans="1:2">
      <c r="A2704" s="1" t="s">
        <v>3481</v>
      </c>
      <c r="B2704" t="s">
        <v>10369</v>
      </c>
    </row>
    <row r="2705" spans="1:2">
      <c r="A2705" s="1" t="s">
        <v>394</v>
      </c>
      <c r="B2705" t="s">
        <v>10234</v>
      </c>
    </row>
    <row r="2706" spans="1:2">
      <c r="A2706" s="1" t="s">
        <v>3482</v>
      </c>
      <c r="B2706" t="s">
        <v>10291</v>
      </c>
    </row>
    <row r="2707" spans="1:2">
      <c r="A2707" s="1" t="s">
        <v>3483</v>
      </c>
      <c r="B2707" t="s">
        <v>10280</v>
      </c>
    </row>
    <row r="2708" spans="1:2">
      <c r="A2708" s="1" t="s">
        <v>3484</v>
      </c>
      <c r="B2708" t="s">
        <v>10319</v>
      </c>
    </row>
    <row r="2709" spans="1:2">
      <c r="A2709" s="1" t="s">
        <v>3485</v>
      </c>
      <c r="B2709" t="s">
        <v>10225</v>
      </c>
    </row>
    <row r="2710" spans="1:2">
      <c r="A2710" s="1" t="s">
        <v>3486</v>
      </c>
      <c r="B2710" t="s">
        <v>10277</v>
      </c>
    </row>
    <row r="2711" spans="1:2">
      <c r="A2711" s="1" t="s">
        <v>3487</v>
      </c>
      <c r="B2711" t="s">
        <v>10460</v>
      </c>
    </row>
    <row r="2712" spans="1:2">
      <c r="A2712" s="1" t="s">
        <v>3488</v>
      </c>
      <c r="B2712" t="s">
        <v>10230</v>
      </c>
    </row>
    <row r="2713" spans="1:2">
      <c r="A2713" s="1" t="s">
        <v>3489</v>
      </c>
      <c r="B2713" t="s">
        <v>10286</v>
      </c>
    </row>
    <row r="2714" spans="1:2">
      <c r="A2714" s="1" t="s">
        <v>3490</v>
      </c>
      <c r="B2714" t="s">
        <v>10262</v>
      </c>
    </row>
    <row r="2715" spans="1:2">
      <c r="A2715" s="1" t="s">
        <v>3491</v>
      </c>
      <c r="B2715" t="s">
        <v>10240</v>
      </c>
    </row>
    <row r="2716" spans="1:2">
      <c r="A2716" s="1" t="s">
        <v>3492</v>
      </c>
      <c r="B2716" t="s">
        <v>10267</v>
      </c>
    </row>
    <row r="2717" spans="1:2">
      <c r="A2717" s="1" t="s">
        <v>3493</v>
      </c>
      <c r="B2717" t="s">
        <v>10292</v>
      </c>
    </row>
    <row r="2718" spans="1:2">
      <c r="A2718" s="1" t="s">
        <v>3494</v>
      </c>
      <c r="B2718" t="s">
        <v>10325</v>
      </c>
    </row>
    <row r="2719" spans="1:2">
      <c r="A2719" s="1" t="s">
        <v>3495</v>
      </c>
      <c r="B2719" t="s">
        <v>10249</v>
      </c>
    </row>
    <row r="2720" spans="1:2">
      <c r="A2720" s="1" t="s">
        <v>802</v>
      </c>
      <c r="B2720" t="s">
        <v>10234</v>
      </c>
    </row>
    <row r="2721" spans="1:2">
      <c r="A2721" s="1" t="s">
        <v>3496</v>
      </c>
      <c r="B2721" t="s">
        <v>10234</v>
      </c>
    </row>
    <row r="2722" spans="1:2">
      <c r="A2722" s="1" t="s">
        <v>3497</v>
      </c>
      <c r="B2722" t="s">
        <v>10395</v>
      </c>
    </row>
    <row r="2723" spans="1:2">
      <c r="A2723" s="1" t="s">
        <v>488</v>
      </c>
      <c r="B2723" t="s">
        <v>10262</v>
      </c>
    </row>
    <row r="2724" spans="1:2">
      <c r="A2724" s="1" t="s">
        <v>3498</v>
      </c>
      <c r="B2724" t="s">
        <v>10244</v>
      </c>
    </row>
    <row r="2725" spans="1:2">
      <c r="A2725" s="1" t="s">
        <v>3499</v>
      </c>
      <c r="B2725" t="s">
        <v>901</v>
      </c>
    </row>
    <row r="2726" spans="1:2">
      <c r="A2726" s="1" t="s">
        <v>3500</v>
      </c>
      <c r="B2726" t="s">
        <v>10319</v>
      </c>
    </row>
    <row r="2727" spans="1:2">
      <c r="A2727" s="1" t="s">
        <v>3501</v>
      </c>
      <c r="B2727" t="s">
        <v>10241</v>
      </c>
    </row>
    <row r="2728" spans="1:2">
      <c r="A2728" s="1" t="s">
        <v>541</v>
      </c>
      <c r="B2728" t="s">
        <v>10322</v>
      </c>
    </row>
    <row r="2729" spans="1:2">
      <c r="A2729" s="1" t="s">
        <v>3502</v>
      </c>
      <c r="B2729" t="s">
        <v>10224</v>
      </c>
    </row>
    <row r="2730" spans="1:2">
      <c r="A2730" s="1" t="s">
        <v>3503</v>
      </c>
      <c r="B2730" t="s">
        <v>10283</v>
      </c>
    </row>
    <row r="2731" spans="1:2">
      <c r="A2731" s="1" t="s">
        <v>3504</v>
      </c>
      <c r="B2731" t="s">
        <v>10261</v>
      </c>
    </row>
    <row r="2732" spans="1:2">
      <c r="A2732" s="1" t="s">
        <v>3505</v>
      </c>
      <c r="B2732" t="s">
        <v>10364</v>
      </c>
    </row>
    <row r="2733" spans="1:2">
      <c r="A2733" s="1" t="s">
        <v>3506</v>
      </c>
      <c r="B2733" t="s">
        <v>10306</v>
      </c>
    </row>
    <row r="2734" spans="1:2">
      <c r="A2734" s="1" t="s">
        <v>3507</v>
      </c>
      <c r="B2734" t="s">
        <v>10234</v>
      </c>
    </row>
    <row r="2735" spans="1:2">
      <c r="A2735" s="1" t="s">
        <v>346</v>
      </c>
      <c r="B2735" t="s">
        <v>10287</v>
      </c>
    </row>
    <row r="2736" spans="1:2">
      <c r="A2736" s="1" t="s">
        <v>588</v>
      </c>
      <c r="B2736" t="s">
        <v>10314</v>
      </c>
    </row>
    <row r="2737" spans="1:2">
      <c r="A2737" s="1" t="s">
        <v>3508</v>
      </c>
      <c r="B2737" t="s">
        <v>901</v>
      </c>
    </row>
    <row r="2738" spans="1:2">
      <c r="A2738" s="1" t="s">
        <v>3509</v>
      </c>
      <c r="B2738" t="s">
        <v>10244</v>
      </c>
    </row>
    <row r="2739" spans="1:2">
      <c r="A2739" s="1" t="s">
        <v>3510</v>
      </c>
      <c r="B2739" t="s">
        <v>10434</v>
      </c>
    </row>
    <row r="2740" spans="1:2">
      <c r="A2740" s="1" t="s">
        <v>3511</v>
      </c>
      <c r="B2740" t="s">
        <v>10347</v>
      </c>
    </row>
    <row r="2741" spans="1:2">
      <c r="A2741" s="1" t="s">
        <v>891</v>
      </c>
      <c r="B2741" t="s">
        <v>10234</v>
      </c>
    </row>
    <row r="2742" spans="1:2">
      <c r="A2742" s="1" t="s">
        <v>3512</v>
      </c>
      <c r="B2742" t="s">
        <v>10241</v>
      </c>
    </row>
    <row r="2743" spans="1:2">
      <c r="A2743" s="1" t="s">
        <v>3513</v>
      </c>
      <c r="B2743" t="s">
        <v>10230</v>
      </c>
    </row>
    <row r="2744" spans="1:2">
      <c r="A2744" s="1" t="s">
        <v>251</v>
      </c>
      <c r="B2744" t="s">
        <v>10286</v>
      </c>
    </row>
    <row r="2745" spans="1:2">
      <c r="A2745" s="1" t="s">
        <v>3514</v>
      </c>
      <c r="B2745" t="s">
        <v>10355</v>
      </c>
    </row>
    <row r="2746" spans="1:2">
      <c r="A2746" s="1" t="s">
        <v>3515</v>
      </c>
      <c r="B2746" t="s">
        <v>10240</v>
      </c>
    </row>
    <row r="2747" spans="1:2">
      <c r="A2747" s="1" t="s">
        <v>313</v>
      </c>
      <c r="B2747" t="s">
        <v>10250</v>
      </c>
    </row>
    <row r="2748" spans="1:2">
      <c r="A2748" s="1" t="s">
        <v>3516</v>
      </c>
      <c r="B2748" t="s">
        <v>10343</v>
      </c>
    </row>
    <row r="2749" spans="1:2">
      <c r="A2749" s="1" t="s">
        <v>3517</v>
      </c>
      <c r="B2749" t="s">
        <v>10234</v>
      </c>
    </row>
    <row r="2750" spans="1:2">
      <c r="A2750" s="1" t="s">
        <v>3518</v>
      </c>
      <c r="B2750" t="s">
        <v>10443</v>
      </c>
    </row>
    <row r="2751" spans="1:2">
      <c r="A2751" s="1" t="s">
        <v>3519</v>
      </c>
      <c r="B2751" t="s">
        <v>10462</v>
      </c>
    </row>
    <row r="2752" spans="1:2">
      <c r="A2752" s="1" t="s">
        <v>310</v>
      </c>
      <c r="B2752" t="s">
        <v>10239</v>
      </c>
    </row>
    <row r="2753" spans="1:2">
      <c r="A2753" s="1" t="s">
        <v>3520</v>
      </c>
      <c r="B2753" t="s">
        <v>10262</v>
      </c>
    </row>
    <row r="2754" spans="1:2">
      <c r="A2754" s="1" t="s">
        <v>3521</v>
      </c>
      <c r="B2754" t="s">
        <v>10234</v>
      </c>
    </row>
    <row r="2755" spans="1:2">
      <c r="A2755" s="1" t="s">
        <v>227</v>
      </c>
      <c r="B2755" t="s">
        <v>10286</v>
      </c>
    </row>
    <row r="2756" spans="1:2">
      <c r="A2756" s="1" t="s">
        <v>3522</v>
      </c>
      <c r="B2756" t="s">
        <v>10248</v>
      </c>
    </row>
    <row r="2757" spans="1:2">
      <c r="A2757" s="1" t="s">
        <v>3523</v>
      </c>
      <c r="B2757" t="s">
        <v>10250</v>
      </c>
    </row>
    <row r="2758" spans="1:2">
      <c r="A2758" s="1" t="s">
        <v>3524</v>
      </c>
      <c r="B2758" t="s">
        <v>10413</v>
      </c>
    </row>
    <row r="2759" spans="1:2">
      <c r="A2759" s="1" t="s">
        <v>3525</v>
      </c>
      <c r="B2759" t="s">
        <v>10266</v>
      </c>
    </row>
    <row r="2760" spans="1:2">
      <c r="A2760" s="1" t="s">
        <v>3526</v>
      </c>
      <c r="B2760" t="s">
        <v>10234</v>
      </c>
    </row>
    <row r="2761" spans="1:2">
      <c r="A2761" s="1" t="s">
        <v>3527</v>
      </c>
      <c r="B2761" t="s">
        <v>10370</v>
      </c>
    </row>
    <row r="2762" spans="1:2">
      <c r="A2762" s="1" t="s">
        <v>3528</v>
      </c>
      <c r="B2762" t="s">
        <v>10240</v>
      </c>
    </row>
    <row r="2763" spans="1:2">
      <c r="A2763" s="1" t="s">
        <v>3529</v>
      </c>
      <c r="B2763" t="s">
        <v>10224</v>
      </c>
    </row>
    <row r="2764" spans="1:2">
      <c r="A2764" s="1" t="s">
        <v>3530</v>
      </c>
      <c r="B2764" t="s">
        <v>10387</v>
      </c>
    </row>
    <row r="2765" spans="1:2">
      <c r="A2765" s="1" t="s">
        <v>3531</v>
      </c>
      <c r="B2765" t="s">
        <v>10457</v>
      </c>
    </row>
    <row r="2766" spans="1:2">
      <c r="A2766" s="1" t="s">
        <v>3532</v>
      </c>
      <c r="B2766" t="s">
        <v>10359</v>
      </c>
    </row>
    <row r="2767" spans="1:2">
      <c r="A2767" s="1" t="s">
        <v>3533</v>
      </c>
      <c r="B2767" t="s">
        <v>10278</v>
      </c>
    </row>
    <row r="2768" spans="1:2">
      <c r="A2768" s="1" t="s">
        <v>3534</v>
      </c>
      <c r="B2768" t="s">
        <v>10457</v>
      </c>
    </row>
    <row r="2769" spans="1:2">
      <c r="A2769" s="1" t="s">
        <v>406</v>
      </c>
      <c r="B2769" t="s">
        <v>10250</v>
      </c>
    </row>
    <row r="2770" spans="1:2">
      <c r="A2770" s="1" t="s">
        <v>3535</v>
      </c>
      <c r="B2770" t="s">
        <v>10234</v>
      </c>
    </row>
    <row r="2771" spans="1:2">
      <c r="A2771" s="1" t="s">
        <v>3536</v>
      </c>
      <c r="B2771" t="s">
        <v>10239</v>
      </c>
    </row>
    <row r="2772" spans="1:2">
      <c r="A2772" s="1" t="s">
        <v>3537</v>
      </c>
      <c r="B2772" t="s">
        <v>10266</v>
      </c>
    </row>
    <row r="2773" spans="1:2">
      <c r="A2773" s="1" t="s">
        <v>3538</v>
      </c>
      <c r="B2773" t="s">
        <v>10283</v>
      </c>
    </row>
    <row r="2774" spans="1:2">
      <c r="A2774" s="1" t="s">
        <v>3539</v>
      </c>
      <c r="B2774" t="s">
        <v>10292</v>
      </c>
    </row>
    <row r="2775" spans="1:2">
      <c r="A2775" s="1" t="s">
        <v>3540</v>
      </c>
      <c r="B2775" t="s">
        <v>10240</v>
      </c>
    </row>
    <row r="2776" spans="1:2">
      <c r="A2776" s="1" t="s">
        <v>3541</v>
      </c>
      <c r="B2776" t="s">
        <v>10245</v>
      </c>
    </row>
    <row r="2777" spans="1:2">
      <c r="A2777" s="1" t="s">
        <v>3542</v>
      </c>
      <c r="B2777" t="s">
        <v>10305</v>
      </c>
    </row>
    <row r="2778" spans="1:2">
      <c r="A2778" s="1" t="s">
        <v>32</v>
      </c>
      <c r="B2778" t="s">
        <v>10252</v>
      </c>
    </row>
    <row r="2779" spans="1:2">
      <c r="A2779" s="1" t="s">
        <v>3543</v>
      </c>
      <c r="B2779" t="s">
        <v>10240</v>
      </c>
    </row>
    <row r="2780" spans="1:2">
      <c r="A2780" s="1" t="s">
        <v>807</v>
      </c>
      <c r="B2780" t="s">
        <v>10280</v>
      </c>
    </row>
    <row r="2781" spans="1:2">
      <c r="A2781" s="1" t="s">
        <v>3544</v>
      </c>
      <c r="B2781" t="s">
        <v>10256</v>
      </c>
    </row>
    <row r="2782" spans="1:2">
      <c r="A2782" s="1" t="s">
        <v>3545</v>
      </c>
      <c r="B2782" t="s">
        <v>10283</v>
      </c>
    </row>
    <row r="2783" spans="1:2">
      <c r="A2783" s="1" t="s">
        <v>617</v>
      </c>
      <c r="B2783" t="s">
        <v>10277</v>
      </c>
    </row>
    <row r="2784" spans="1:2">
      <c r="A2784" s="1" t="s">
        <v>3546</v>
      </c>
      <c r="B2784" t="s">
        <v>10224</v>
      </c>
    </row>
    <row r="2785" spans="1:2">
      <c r="A2785" s="1" t="s">
        <v>3547</v>
      </c>
      <c r="B2785" t="s">
        <v>10287</v>
      </c>
    </row>
    <row r="2786" spans="1:2">
      <c r="A2786" s="1" t="s">
        <v>3548</v>
      </c>
      <c r="B2786" t="s">
        <v>10278</v>
      </c>
    </row>
    <row r="2787" spans="1:2">
      <c r="A2787" s="1" t="s">
        <v>3549</v>
      </c>
      <c r="B2787" t="s">
        <v>10360</v>
      </c>
    </row>
    <row r="2788" spans="1:2">
      <c r="A2788" s="1" t="s">
        <v>3550</v>
      </c>
      <c r="B2788" t="s">
        <v>10276</v>
      </c>
    </row>
    <row r="2789" spans="1:2">
      <c r="A2789" s="1" t="s">
        <v>3551</v>
      </c>
      <c r="B2789" t="s">
        <v>10319</v>
      </c>
    </row>
    <row r="2790" spans="1:2">
      <c r="A2790" s="1" t="s">
        <v>3552</v>
      </c>
      <c r="B2790" t="s">
        <v>10403</v>
      </c>
    </row>
    <row r="2791" spans="1:2">
      <c r="A2791" s="1" t="s">
        <v>3553</v>
      </c>
      <c r="B2791" t="s">
        <v>10287</v>
      </c>
    </row>
    <row r="2792" spans="1:2">
      <c r="A2792" s="1" t="s">
        <v>3554</v>
      </c>
      <c r="B2792" t="s">
        <v>10234</v>
      </c>
    </row>
    <row r="2793" spans="1:2">
      <c r="A2793" s="1" t="s">
        <v>3555</v>
      </c>
      <c r="B2793" t="s">
        <v>10275</v>
      </c>
    </row>
    <row r="2794" spans="1:2">
      <c r="A2794" s="1" t="s">
        <v>3556</v>
      </c>
      <c r="B2794" t="s">
        <v>10283</v>
      </c>
    </row>
    <row r="2795" spans="1:2">
      <c r="A2795" s="1" t="s">
        <v>3557</v>
      </c>
      <c r="B2795" t="s">
        <v>10240</v>
      </c>
    </row>
    <row r="2796" spans="1:2">
      <c r="A2796" s="1" t="s">
        <v>3558</v>
      </c>
      <c r="B2796" t="s">
        <v>10248</v>
      </c>
    </row>
    <row r="2797" spans="1:2">
      <c r="A2797" s="1" t="s">
        <v>3559</v>
      </c>
      <c r="B2797" t="s">
        <v>10240</v>
      </c>
    </row>
    <row r="2798" spans="1:2">
      <c r="A2798" s="1" t="s">
        <v>837</v>
      </c>
      <c r="B2798" t="s">
        <v>10451</v>
      </c>
    </row>
    <row r="2799" spans="1:2">
      <c r="A2799" s="1" t="s">
        <v>3560</v>
      </c>
      <c r="B2799" t="s">
        <v>10286</v>
      </c>
    </row>
    <row r="2800" spans="1:2">
      <c r="A2800" s="1" t="s">
        <v>3561</v>
      </c>
      <c r="B2800" t="s">
        <v>10434</v>
      </c>
    </row>
    <row r="2801" spans="1:2">
      <c r="A2801" s="1" t="s">
        <v>3562</v>
      </c>
      <c r="B2801" t="s">
        <v>10256</v>
      </c>
    </row>
    <row r="2802" spans="1:2">
      <c r="A2802" s="1" t="s">
        <v>3563</v>
      </c>
      <c r="B2802" t="s">
        <v>10262</v>
      </c>
    </row>
    <row r="2803" spans="1:2">
      <c r="A2803" s="1" t="s">
        <v>3564</v>
      </c>
      <c r="B2803" t="s">
        <v>10322</v>
      </c>
    </row>
    <row r="2804" spans="1:2">
      <c r="A2804" s="1" t="s">
        <v>3565</v>
      </c>
      <c r="B2804" t="s">
        <v>10442</v>
      </c>
    </row>
    <row r="2805" spans="1:2">
      <c r="A2805" s="1" t="s">
        <v>3566</v>
      </c>
      <c r="B2805" t="s">
        <v>10229</v>
      </c>
    </row>
    <row r="2806" spans="1:2">
      <c r="A2806" s="1" t="s">
        <v>3567</v>
      </c>
      <c r="B2806" t="s">
        <v>10258</v>
      </c>
    </row>
    <row r="2807" spans="1:2">
      <c r="A2807" s="1" t="s">
        <v>3568</v>
      </c>
      <c r="B2807" t="s">
        <v>10266</v>
      </c>
    </row>
    <row r="2808" spans="1:2">
      <c r="A2808" s="1" t="s">
        <v>3569</v>
      </c>
      <c r="B2808" t="s">
        <v>10231</v>
      </c>
    </row>
    <row r="2809" spans="1:2">
      <c r="A2809" s="1" t="s">
        <v>660</v>
      </c>
      <c r="B2809" t="s">
        <v>10352</v>
      </c>
    </row>
    <row r="2810" spans="1:2">
      <c r="A2810" s="1" t="s">
        <v>3570</v>
      </c>
      <c r="B2810" t="s">
        <v>10403</v>
      </c>
    </row>
    <row r="2811" spans="1:2">
      <c r="A2811" s="1" t="s">
        <v>3571</v>
      </c>
      <c r="B2811" t="s">
        <v>10416</v>
      </c>
    </row>
    <row r="2812" spans="1:2">
      <c r="A2812" s="1" t="s">
        <v>3572</v>
      </c>
      <c r="B2812" t="s">
        <v>10238</v>
      </c>
    </row>
    <row r="2813" spans="1:2">
      <c r="A2813" s="1" t="s">
        <v>3573</v>
      </c>
      <c r="B2813" t="s">
        <v>10264</v>
      </c>
    </row>
    <row r="2814" spans="1:2">
      <c r="A2814" s="1" t="s">
        <v>3574</v>
      </c>
      <c r="B2814" t="s">
        <v>901</v>
      </c>
    </row>
    <row r="2815" spans="1:2">
      <c r="A2815" s="1" t="s">
        <v>3575</v>
      </c>
      <c r="B2815" t="s">
        <v>10254</v>
      </c>
    </row>
    <row r="2816" spans="1:2">
      <c r="A2816" s="1" t="s">
        <v>3576</v>
      </c>
      <c r="B2816" t="s">
        <v>10286</v>
      </c>
    </row>
    <row r="2817" spans="1:2">
      <c r="A2817" s="1" t="s">
        <v>3577</v>
      </c>
      <c r="B2817" t="s">
        <v>10232</v>
      </c>
    </row>
    <row r="2818" spans="1:2">
      <c r="A2818" s="1" t="s">
        <v>3578</v>
      </c>
      <c r="B2818" t="s">
        <v>10277</v>
      </c>
    </row>
    <row r="2819" spans="1:2">
      <c r="A2819" s="1" t="s">
        <v>3579</v>
      </c>
      <c r="B2819" t="s">
        <v>10463</v>
      </c>
    </row>
    <row r="2820" spans="1:2">
      <c r="A2820" s="1" t="s">
        <v>3580</v>
      </c>
      <c r="B2820" t="s">
        <v>10464</v>
      </c>
    </row>
    <row r="2821" spans="1:2">
      <c r="A2821" s="1" t="s">
        <v>3581</v>
      </c>
      <c r="B2821" t="s">
        <v>10260</v>
      </c>
    </row>
    <row r="2822" spans="1:2">
      <c r="A2822" s="1" t="s">
        <v>3582</v>
      </c>
      <c r="B2822" t="s">
        <v>10225</v>
      </c>
    </row>
    <row r="2823" spans="1:2">
      <c r="A2823" s="1" t="s">
        <v>347</v>
      </c>
      <c r="B2823" t="s">
        <v>10239</v>
      </c>
    </row>
    <row r="2824" spans="1:2">
      <c r="A2824" s="1" t="s">
        <v>3583</v>
      </c>
      <c r="B2824" t="s">
        <v>10270</v>
      </c>
    </row>
    <row r="2825" spans="1:2">
      <c r="A2825" s="1" t="s">
        <v>3584</v>
      </c>
      <c r="B2825" t="s">
        <v>10225</v>
      </c>
    </row>
    <row r="2826" spans="1:2">
      <c r="A2826" s="1" t="s">
        <v>3585</v>
      </c>
      <c r="B2826" t="s">
        <v>10362</v>
      </c>
    </row>
    <row r="2827" spans="1:2">
      <c r="A2827" s="1" t="s">
        <v>3586</v>
      </c>
      <c r="B2827" t="s">
        <v>10278</v>
      </c>
    </row>
    <row r="2828" spans="1:2">
      <c r="A2828" s="1" t="s">
        <v>550</v>
      </c>
      <c r="B2828" t="s">
        <v>10244</v>
      </c>
    </row>
    <row r="2829" spans="1:2">
      <c r="A2829" s="1" t="s">
        <v>3587</v>
      </c>
      <c r="B2829" t="s">
        <v>10233</v>
      </c>
    </row>
    <row r="2830" spans="1:2">
      <c r="A2830" s="1" t="s">
        <v>65</v>
      </c>
      <c r="B2830" t="s">
        <v>10229</v>
      </c>
    </row>
    <row r="2831" spans="1:2">
      <c r="A2831" s="1" t="s">
        <v>3588</v>
      </c>
      <c r="B2831" t="s">
        <v>10240</v>
      </c>
    </row>
    <row r="2832" spans="1:2">
      <c r="A2832" s="1" t="s">
        <v>3589</v>
      </c>
      <c r="B2832" t="s">
        <v>10234</v>
      </c>
    </row>
    <row r="2833" spans="1:2">
      <c r="A2833" s="1" t="s">
        <v>3590</v>
      </c>
      <c r="B2833" t="s">
        <v>10229</v>
      </c>
    </row>
    <row r="2834" spans="1:2">
      <c r="A2834" s="1" t="s">
        <v>217</v>
      </c>
      <c r="B2834" t="s">
        <v>10252</v>
      </c>
    </row>
    <row r="2835" spans="1:2">
      <c r="A2835" s="1" t="s">
        <v>3591</v>
      </c>
      <c r="B2835" t="s">
        <v>10292</v>
      </c>
    </row>
    <row r="2836" spans="1:2">
      <c r="A2836" s="1" t="s">
        <v>3592</v>
      </c>
      <c r="B2836" t="s">
        <v>10229</v>
      </c>
    </row>
    <row r="2837" spans="1:2">
      <c r="A2837" s="1" t="s">
        <v>3593</v>
      </c>
      <c r="B2837" t="s">
        <v>10239</v>
      </c>
    </row>
    <row r="2838" spans="1:2">
      <c r="A2838" s="1" t="s">
        <v>225</v>
      </c>
      <c r="B2838" t="s">
        <v>10280</v>
      </c>
    </row>
    <row r="2839" spans="1:2">
      <c r="A2839" s="1" t="s">
        <v>3594</v>
      </c>
      <c r="B2839" t="s">
        <v>10336</v>
      </c>
    </row>
    <row r="2840" spans="1:2">
      <c r="A2840" s="1" t="s">
        <v>3595</v>
      </c>
      <c r="B2840" t="s">
        <v>10353</v>
      </c>
    </row>
    <row r="2841" spans="1:2">
      <c r="A2841" s="1" t="s">
        <v>3596</v>
      </c>
      <c r="B2841" t="s">
        <v>10244</v>
      </c>
    </row>
    <row r="2842" spans="1:2">
      <c r="A2842" s="1" t="s">
        <v>3597</v>
      </c>
      <c r="B2842" t="s">
        <v>10305</v>
      </c>
    </row>
    <row r="2843" spans="1:2">
      <c r="A2843" s="1" t="s">
        <v>3598</v>
      </c>
      <c r="B2843" t="s">
        <v>10240</v>
      </c>
    </row>
    <row r="2844" spans="1:2">
      <c r="A2844" s="1" t="s">
        <v>3599</v>
      </c>
      <c r="B2844" t="s">
        <v>10239</v>
      </c>
    </row>
    <row r="2845" spans="1:2">
      <c r="A2845" s="1" t="s">
        <v>3600</v>
      </c>
      <c r="B2845" t="s">
        <v>10225</v>
      </c>
    </row>
    <row r="2846" spans="1:2">
      <c r="A2846" s="1" t="s">
        <v>3601</v>
      </c>
      <c r="B2846" t="s">
        <v>10276</v>
      </c>
    </row>
    <row r="2847" spans="1:2">
      <c r="A2847" s="1" t="s">
        <v>3602</v>
      </c>
      <c r="B2847" t="s">
        <v>10245</v>
      </c>
    </row>
    <row r="2848" spans="1:2">
      <c r="A2848" s="1" t="s">
        <v>3603</v>
      </c>
      <c r="B2848" t="s">
        <v>10243</v>
      </c>
    </row>
    <row r="2849" spans="1:2">
      <c r="A2849" s="1" t="s">
        <v>3604</v>
      </c>
      <c r="B2849" t="s">
        <v>10231</v>
      </c>
    </row>
    <row r="2850" spans="1:2">
      <c r="A2850" s="1" t="s">
        <v>3605</v>
      </c>
      <c r="B2850" t="s">
        <v>10315</v>
      </c>
    </row>
    <row r="2851" spans="1:2">
      <c r="A2851" s="1" t="s">
        <v>3606</v>
      </c>
      <c r="B2851" t="s">
        <v>10465</v>
      </c>
    </row>
    <row r="2852" spans="1:2">
      <c r="A2852" s="1" t="s">
        <v>3607</v>
      </c>
      <c r="B2852" t="s">
        <v>10238</v>
      </c>
    </row>
    <row r="2853" spans="1:2">
      <c r="A2853" s="1" t="s">
        <v>3608</v>
      </c>
      <c r="B2853" t="s">
        <v>10377</v>
      </c>
    </row>
    <row r="2854" spans="1:2">
      <c r="A2854" s="1" t="s">
        <v>475</v>
      </c>
      <c r="B2854" t="s">
        <v>10234</v>
      </c>
    </row>
    <row r="2855" spans="1:2">
      <c r="A2855" s="1" t="s">
        <v>3609</v>
      </c>
      <c r="B2855" t="s">
        <v>10343</v>
      </c>
    </row>
    <row r="2856" spans="1:2">
      <c r="A2856" s="1" t="s">
        <v>3610</v>
      </c>
      <c r="B2856" t="s">
        <v>10305</v>
      </c>
    </row>
    <row r="2857" spans="1:2">
      <c r="A2857" s="1" t="s">
        <v>3611</v>
      </c>
      <c r="B2857" t="s">
        <v>10234</v>
      </c>
    </row>
    <row r="2858" spans="1:2">
      <c r="A2858" s="1" t="s">
        <v>3612</v>
      </c>
      <c r="B2858" t="s">
        <v>901</v>
      </c>
    </row>
    <row r="2859" spans="1:2">
      <c r="A2859" s="1" t="s">
        <v>3613</v>
      </c>
      <c r="B2859" t="s">
        <v>10369</v>
      </c>
    </row>
    <row r="2860" spans="1:2">
      <c r="A2860" s="1" t="s">
        <v>3614</v>
      </c>
      <c r="B2860" t="s">
        <v>10224</v>
      </c>
    </row>
    <row r="2861" spans="1:2">
      <c r="A2861" s="1" t="s">
        <v>3615</v>
      </c>
      <c r="B2861" t="s">
        <v>10223</v>
      </c>
    </row>
    <row r="2862" spans="1:2">
      <c r="A2862" s="1" t="s">
        <v>3616</v>
      </c>
      <c r="B2862" t="s">
        <v>10234</v>
      </c>
    </row>
    <row r="2863" spans="1:2">
      <c r="A2863" s="1" t="s">
        <v>3617</v>
      </c>
      <c r="B2863" t="s">
        <v>10305</v>
      </c>
    </row>
    <row r="2864" spans="1:2">
      <c r="A2864" s="1" t="s">
        <v>3618</v>
      </c>
      <c r="B2864" t="s">
        <v>10230</v>
      </c>
    </row>
    <row r="2865" spans="1:2">
      <c r="A2865" s="1" t="s">
        <v>3619</v>
      </c>
      <c r="B2865" t="s">
        <v>10244</v>
      </c>
    </row>
    <row r="2866" spans="1:2">
      <c r="A2866" s="1" t="s">
        <v>3620</v>
      </c>
      <c r="B2866" t="s">
        <v>10240</v>
      </c>
    </row>
    <row r="2867" spans="1:2">
      <c r="A2867" s="1" t="s">
        <v>610</v>
      </c>
      <c r="B2867" t="s">
        <v>10262</v>
      </c>
    </row>
    <row r="2868" spans="1:2">
      <c r="A2868" s="1" t="s">
        <v>3621</v>
      </c>
      <c r="B2868" t="s">
        <v>10231</v>
      </c>
    </row>
    <row r="2869" spans="1:2">
      <c r="A2869" s="1" t="s">
        <v>3622</v>
      </c>
      <c r="B2869" t="s">
        <v>10244</v>
      </c>
    </row>
    <row r="2870" spans="1:2">
      <c r="A2870" s="1" t="s">
        <v>3623</v>
      </c>
      <c r="B2870" t="s">
        <v>901</v>
      </c>
    </row>
    <row r="2871" spans="1:2">
      <c r="A2871" s="1" t="s">
        <v>3624</v>
      </c>
      <c r="B2871" t="s">
        <v>10234</v>
      </c>
    </row>
    <row r="2872" spans="1:2">
      <c r="A2872" s="1" t="s">
        <v>3625</v>
      </c>
      <c r="B2872" t="s">
        <v>10234</v>
      </c>
    </row>
    <row r="2873" spans="1:2">
      <c r="A2873" s="1" t="s">
        <v>3626</v>
      </c>
      <c r="B2873" t="s">
        <v>10240</v>
      </c>
    </row>
    <row r="2874" spans="1:2">
      <c r="A2874" s="1" t="s">
        <v>3627</v>
      </c>
      <c r="B2874" t="s">
        <v>901</v>
      </c>
    </row>
    <row r="2875" spans="1:2">
      <c r="A2875" s="1" t="s">
        <v>93</v>
      </c>
      <c r="B2875" t="s">
        <v>10277</v>
      </c>
    </row>
    <row r="2876" spans="1:2">
      <c r="A2876" s="1" t="s">
        <v>3628</v>
      </c>
      <c r="B2876" t="s">
        <v>901</v>
      </c>
    </row>
    <row r="2877" spans="1:2">
      <c r="A2877" s="1" t="s">
        <v>3629</v>
      </c>
      <c r="B2877" t="s">
        <v>10240</v>
      </c>
    </row>
    <row r="2878" spans="1:2">
      <c r="A2878" s="1" t="s">
        <v>3630</v>
      </c>
      <c r="B2878" t="s">
        <v>10234</v>
      </c>
    </row>
    <row r="2879" spans="1:2">
      <c r="A2879" s="1" t="s">
        <v>3631</v>
      </c>
      <c r="B2879" t="s">
        <v>901</v>
      </c>
    </row>
    <row r="2880" spans="1:2">
      <c r="A2880" s="1" t="s">
        <v>3632</v>
      </c>
      <c r="B2880" t="s">
        <v>10234</v>
      </c>
    </row>
    <row r="2881" spans="1:2">
      <c r="A2881" s="1" t="s">
        <v>3633</v>
      </c>
      <c r="B2881" t="s">
        <v>901</v>
      </c>
    </row>
    <row r="2882" spans="1:2">
      <c r="A2882" s="1" t="s">
        <v>3634</v>
      </c>
      <c r="B2882" t="s">
        <v>10262</v>
      </c>
    </row>
    <row r="2883" spans="1:2">
      <c r="A2883" s="1" t="s">
        <v>320</v>
      </c>
      <c r="B2883" t="s">
        <v>10242</v>
      </c>
    </row>
    <row r="2884" spans="1:2">
      <c r="A2884" s="1" t="s">
        <v>3635</v>
      </c>
      <c r="B2884" t="s">
        <v>10225</v>
      </c>
    </row>
    <row r="2885" spans="1:2">
      <c r="A2885" s="1" t="s">
        <v>525</v>
      </c>
      <c r="B2885" t="s">
        <v>10375</v>
      </c>
    </row>
    <row r="2886" spans="1:2">
      <c r="A2886" s="1" t="s">
        <v>78</v>
      </c>
      <c r="B2886" t="s">
        <v>10252</v>
      </c>
    </row>
    <row r="2887" spans="1:2">
      <c r="A2887" s="1" t="s">
        <v>3636</v>
      </c>
      <c r="B2887" t="s">
        <v>10263</v>
      </c>
    </row>
    <row r="2888" spans="1:2">
      <c r="A2888" s="1" t="s">
        <v>3637</v>
      </c>
      <c r="B2888" t="s">
        <v>10230</v>
      </c>
    </row>
    <row r="2889" spans="1:2">
      <c r="A2889" s="1" t="s">
        <v>3638</v>
      </c>
      <c r="B2889" t="s">
        <v>10283</v>
      </c>
    </row>
    <row r="2890" spans="1:2">
      <c r="A2890" s="1" t="s">
        <v>3639</v>
      </c>
      <c r="B2890" t="s">
        <v>10398</v>
      </c>
    </row>
    <row r="2891" spans="1:2">
      <c r="A2891" s="1" t="s">
        <v>3640</v>
      </c>
      <c r="B2891" t="s">
        <v>10229</v>
      </c>
    </row>
    <row r="2892" spans="1:2">
      <c r="A2892" s="1" t="s">
        <v>3641</v>
      </c>
      <c r="B2892" t="s">
        <v>10270</v>
      </c>
    </row>
    <row r="2893" spans="1:2">
      <c r="A2893" s="1" t="s">
        <v>3642</v>
      </c>
      <c r="B2893" t="s">
        <v>10240</v>
      </c>
    </row>
    <row r="2894" spans="1:2">
      <c r="A2894" s="1" t="s">
        <v>3643</v>
      </c>
      <c r="B2894" t="s">
        <v>10377</v>
      </c>
    </row>
    <row r="2895" spans="1:2">
      <c r="A2895" s="1" t="s">
        <v>44</v>
      </c>
      <c r="B2895" t="s">
        <v>10366</v>
      </c>
    </row>
    <row r="2896" spans="1:2">
      <c r="A2896" s="1" t="s">
        <v>3644</v>
      </c>
      <c r="B2896" t="s">
        <v>10234</v>
      </c>
    </row>
    <row r="2897" spans="1:2">
      <c r="A2897" s="1" t="s">
        <v>3645</v>
      </c>
      <c r="B2897" t="s">
        <v>10260</v>
      </c>
    </row>
    <row r="2898" spans="1:2">
      <c r="A2898" s="1" t="s">
        <v>3646</v>
      </c>
      <c r="B2898" t="s">
        <v>10229</v>
      </c>
    </row>
    <row r="2899" spans="1:2">
      <c r="A2899" s="1" t="s">
        <v>3647</v>
      </c>
      <c r="B2899" t="s">
        <v>10403</v>
      </c>
    </row>
    <row r="2900" spans="1:2">
      <c r="A2900" s="1" t="s">
        <v>3648</v>
      </c>
      <c r="B2900" t="s">
        <v>10357</v>
      </c>
    </row>
    <row r="2901" spans="1:2">
      <c r="A2901" s="1" t="s">
        <v>3649</v>
      </c>
      <c r="B2901" t="s">
        <v>10266</v>
      </c>
    </row>
    <row r="2902" spans="1:2">
      <c r="A2902" s="1" t="s">
        <v>3650</v>
      </c>
      <c r="B2902" t="s">
        <v>10240</v>
      </c>
    </row>
    <row r="2903" spans="1:2">
      <c r="A2903" s="1" t="s">
        <v>3651</v>
      </c>
      <c r="B2903" t="s">
        <v>10398</v>
      </c>
    </row>
    <row r="2904" spans="1:2">
      <c r="A2904" s="1" t="s">
        <v>3652</v>
      </c>
      <c r="B2904" t="s">
        <v>10234</v>
      </c>
    </row>
    <row r="2905" spans="1:2">
      <c r="A2905" s="1" t="s">
        <v>3653</v>
      </c>
      <c r="B2905" t="s">
        <v>10224</v>
      </c>
    </row>
    <row r="2906" spans="1:2">
      <c r="A2906" s="1" t="s">
        <v>3654</v>
      </c>
      <c r="B2906" t="s">
        <v>901</v>
      </c>
    </row>
    <row r="2907" spans="1:2">
      <c r="A2907" s="1" t="s">
        <v>3655</v>
      </c>
      <c r="B2907" t="s">
        <v>10239</v>
      </c>
    </row>
    <row r="2908" spans="1:2">
      <c r="A2908" s="1" t="s">
        <v>381</v>
      </c>
      <c r="B2908" t="s">
        <v>10239</v>
      </c>
    </row>
    <row r="2909" spans="1:2">
      <c r="A2909" s="1" t="s">
        <v>3656</v>
      </c>
      <c r="B2909" t="s">
        <v>10287</v>
      </c>
    </row>
    <row r="2910" spans="1:2">
      <c r="A2910" s="1" t="s">
        <v>3657</v>
      </c>
      <c r="B2910" t="s">
        <v>901</v>
      </c>
    </row>
    <row r="2911" spans="1:2">
      <c r="A2911" s="1" t="s">
        <v>96</v>
      </c>
      <c r="B2911" t="s">
        <v>10282</v>
      </c>
    </row>
    <row r="2912" spans="1:2">
      <c r="A2912" s="1" t="s">
        <v>3658</v>
      </c>
      <c r="B2912" t="s">
        <v>10343</v>
      </c>
    </row>
    <row r="2913" spans="1:2">
      <c r="A2913" s="1" t="s">
        <v>3659</v>
      </c>
      <c r="B2913" t="s">
        <v>901</v>
      </c>
    </row>
    <row r="2914" spans="1:2">
      <c r="A2914" s="1" t="s">
        <v>3660</v>
      </c>
      <c r="B2914" t="s">
        <v>901</v>
      </c>
    </row>
    <row r="2915" spans="1:2">
      <c r="A2915" s="1" t="s">
        <v>3661</v>
      </c>
      <c r="B2915" t="s">
        <v>10240</v>
      </c>
    </row>
    <row r="2916" spans="1:2">
      <c r="A2916" s="1" t="s">
        <v>3662</v>
      </c>
      <c r="B2916" t="s">
        <v>10223</v>
      </c>
    </row>
    <row r="2917" spans="1:2">
      <c r="A2917" s="1" t="s">
        <v>3663</v>
      </c>
      <c r="B2917" t="s">
        <v>10309</v>
      </c>
    </row>
    <row r="2918" spans="1:2">
      <c r="A2918" s="1" t="s">
        <v>3664</v>
      </c>
      <c r="B2918" t="s">
        <v>10240</v>
      </c>
    </row>
    <row r="2919" spans="1:2">
      <c r="A2919" s="1" t="s">
        <v>3665</v>
      </c>
      <c r="B2919" t="s">
        <v>10319</v>
      </c>
    </row>
    <row r="2920" spans="1:2">
      <c r="A2920" s="1" t="s">
        <v>3666</v>
      </c>
      <c r="B2920" t="s">
        <v>10230</v>
      </c>
    </row>
    <row r="2921" spans="1:2">
      <c r="A2921" s="1" t="s">
        <v>3667</v>
      </c>
      <c r="B2921" t="s">
        <v>10234</v>
      </c>
    </row>
    <row r="2922" spans="1:2">
      <c r="A2922" s="1" t="s">
        <v>813</v>
      </c>
      <c r="B2922" t="s">
        <v>10351</v>
      </c>
    </row>
    <row r="2923" spans="1:2">
      <c r="A2923" s="1" t="s">
        <v>3668</v>
      </c>
      <c r="B2923" t="s">
        <v>10234</v>
      </c>
    </row>
    <row r="2924" spans="1:2">
      <c r="A2924" s="1" t="s">
        <v>3669</v>
      </c>
      <c r="B2924" t="s">
        <v>10378</v>
      </c>
    </row>
    <row r="2925" spans="1:2">
      <c r="A2925" s="1" t="s">
        <v>3670</v>
      </c>
      <c r="B2925" t="s">
        <v>10252</v>
      </c>
    </row>
    <row r="2926" spans="1:2">
      <c r="A2926" s="1" t="s">
        <v>3671</v>
      </c>
      <c r="B2926" t="s">
        <v>10230</v>
      </c>
    </row>
    <row r="2927" spans="1:2">
      <c r="A2927" s="1" t="s">
        <v>3672</v>
      </c>
      <c r="B2927" t="s">
        <v>10234</v>
      </c>
    </row>
    <row r="2928" spans="1:2">
      <c r="A2928" s="1" t="s">
        <v>3673</v>
      </c>
      <c r="B2928" t="s">
        <v>10266</v>
      </c>
    </row>
    <row r="2929" spans="1:2">
      <c r="A2929" s="1" t="s">
        <v>311</v>
      </c>
      <c r="B2929" t="s">
        <v>10255</v>
      </c>
    </row>
    <row r="2930" spans="1:2">
      <c r="A2930" s="1" t="s">
        <v>3674</v>
      </c>
      <c r="B2930" t="s">
        <v>10224</v>
      </c>
    </row>
    <row r="2931" spans="1:2">
      <c r="A2931" s="1" t="s">
        <v>34</v>
      </c>
      <c r="B2931" t="s">
        <v>10252</v>
      </c>
    </row>
    <row r="2932" spans="1:2">
      <c r="A2932" s="1" t="s">
        <v>3675</v>
      </c>
      <c r="B2932" t="s">
        <v>10223</v>
      </c>
    </row>
    <row r="2933" spans="1:2">
      <c r="A2933" s="1" t="s">
        <v>3676</v>
      </c>
      <c r="B2933" t="s">
        <v>10234</v>
      </c>
    </row>
    <row r="2934" spans="1:2">
      <c r="A2934" s="1" t="s">
        <v>451</v>
      </c>
      <c r="B2934" t="s">
        <v>10234</v>
      </c>
    </row>
    <row r="2935" spans="1:2">
      <c r="A2935" s="1" t="s">
        <v>3677</v>
      </c>
      <c r="B2935" t="s">
        <v>10287</v>
      </c>
    </row>
    <row r="2936" spans="1:2">
      <c r="A2936" s="1" t="s">
        <v>3678</v>
      </c>
      <c r="B2936" t="s">
        <v>10240</v>
      </c>
    </row>
    <row r="2937" spans="1:2">
      <c r="A2937" s="1" t="s">
        <v>3679</v>
      </c>
      <c r="B2937" t="s">
        <v>901</v>
      </c>
    </row>
    <row r="2938" spans="1:2">
      <c r="A2938" s="1" t="s">
        <v>3680</v>
      </c>
      <c r="B2938" t="s">
        <v>10278</v>
      </c>
    </row>
    <row r="2939" spans="1:2">
      <c r="A2939" s="1" t="s">
        <v>3681</v>
      </c>
      <c r="B2939" t="s">
        <v>10261</v>
      </c>
    </row>
    <row r="2940" spans="1:2">
      <c r="A2940" s="1" t="s">
        <v>3682</v>
      </c>
      <c r="B2940" t="s">
        <v>10266</v>
      </c>
    </row>
    <row r="2941" spans="1:2">
      <c r="A2941" s="1" t="s">
        <v>3683</v>
      </c>
      <c r="B2941" t="s">
        <v>10251</v>
      </c>
    </row>
    <row r="2942" spans="1:2">
      <c r="A2942" s="1" t="s">
        <v>3684</v>
      </c>
      <c r="B2942" t="s">
        <v>901</v>
      </c>
    </row>
    <row r="2943" spans="1:2">
      <c r="A2943" s="1" t="s">
        <v>3685</v>
      </c>
      <c r="B2943" t="s">
        <v>10287</v>
      </c>
    </row>
    <row r="2944" spans="1:2">
      <c r="A2944" s="1" t="s">
        <v>3686</v>
      </c>
      <c r="B2944" t="s">
        <v>10228</v>
      </c>
    </row>
    <row r="2945" spans="1:2">
      <c r="A2945" s="1" t="s">
        <v>3687</v>
      </c>
      <c r="B2945" t="s">
        <v>10412</v>
      </c>
    </row>
    <row r="2946" spans="1:2">
      <c r="A2946" s="1" t="s">
        <v>308</v>
      </c>
      <c r="B2946" t="s">
        <v>10370</v>
      </c>
    </row>
    <row r="2947" spans="1:2">
      <c r="A2947" s="1" t="s">
        <v>3688</v>
      </c>
      <c r="B2947" t="s">
        <v>10244</v>
      </c>
    </row>
    <row r="2948" spans="1:2">
      <c r="A2948" s="1" t="s">
        <v>3689</v>
      </c>
      <c r="B2948" t="s">
        <v>10234</v>
      </c>
    </row>
    <row r="2949" spans="1:2">
      <c r="A2949" s="1" t="s">
        <v>3690</v>
      </c>
      <c r="B2949" t="s">
        <v>10223</v>
      </c>
    </row>
    <row r="2950" spans="1:2">
      <c r="A2950" s="1" t="s">
        <v>299</v>
      </c>
      <c r="B2950" t="s">
        <v>10287</v>
      </c>
    </row>
    <row r="2951" spans="1:2">
      <c r="A2951" s="1" t="s">
        <v>3691</v>
      </c>
      <c r="B2951" t="s">
        <v>10225</v>
      </c>
    </row>
    <row r="2952" spans="1:2">
      <c r="A2952" s="1" t="s">
        <v>3692</v>
      </c>
      <c r="B2952" t="s">
        <v>901</v>
      </c>
    </row>
    <row r="2953" spans="1:2">
      <c r="A2953" s="1" t="s">
        <v>3693</v>
      </c>
      <c r="B2953" t="s">
        <v>10234</v>
      </c>
    </row>
    <row r="2954" spans="1:2">
      <c r="A2954" s="1" t="s">
        <v>3694</v>
      </c>
      <c r="B2954" t="s">
        <v>10229</v>
      </c>
    </row>
    <row r="2955" spans="1:2">
      <c r="A2955" s="1" t="s">
        <v>3695</v>
      </c>
      <c r="B2955" t="s">
        <v>10323</v>
      </c>
    </row>
    <row r="2956" spans="1:2">
      <c r="A2956" s="1" t="s">
        <v>3696</v>
      </c>
      <c r="B2956" t="s">
        <v>10222</v>
      </c>
    </row>
    <row r="2957" spans="1:2">
      <c r="A2957" s="1" t="s">
        <v>3697</v>
      </c>
      <c r="B2957" t="s">
        <v>10223</v>
      </c>
    </row>
    <row r="2958" spans="1:2">
      <c r="A2958" s="1" t="s">
        <v>3698</v>
      </c>
      <c r="B2958" t="s">
        <v>10230</v>
      </c>
    </row>
    <row r="2959" spans="1:2">
      <c r="A2959" s="1" t="s">
        <v>465</v>
      </c>
      <c r="B2959" t="s">
        <v>10370</v>
      </c>
    </row>
    <row r="2960" spans="1:2">
      <c r="A2960" s="1" t="s">
        <v>519</v>
      </c>
      <c r="B2960" t="s">
        <v>10234</v>
      </c>
    </row>
    <row r="2961" spans="1:2">
      <c r="A2961" s="1" t="s">
        <v>3699</v>
      </c>
      <c r="B2961" t="s">
        <v>10234</v>
      </c>
    </row>
    <row r="2962" spans="1:2">
      <c r="A2962" s="1" t="s">
        <v>3700</v>
      </c>
      <c r="B2962" t="s">
        <v>10234</v>
      </c>
    </row>
    <row r="2963" spans="1:2">
      <c r="A2963" s="1" t="s">
        <v>3701</v>
      </c>
      <c r="B2963" t="s">
        <v>10377</v>
      </c>
    </row>
    <row r="2964" spans="1:2">
      <c r="A2964" s="1" t="s">
        <v>3702</v>
      </c>
      <c r="B2964" t="s">
        <v>10230</v>
      </c>
    </row>
    <row r="2965" spans="1:2">
      <c r="A2965" s="1" t="s">
        <v>3703</v>
      </c>
      <c r="B2965" t="s">
        <v>10286</v>
      </c>
    </row>
    <row r="2966" spans="1:2">
      <c r="A2966" s="1" t="s">
        <v>36</v>
      </c>
      <c r="B2966" t="s">
        <v>10411</v>
      </c>
    </row>
    <row r="2967" spans="1:2">
      <c r="A2967" s="1" t="s">
        <v>3704</v>
      </c>
      <c r="B2967" t="s">
        <v>10240</v>
      </c>
    </row>
    <row r="2968" spans="1:2">
      <c r="A2968" s="1" t="s">
        <v>3705</v>
      </c>
      <c r="B2968" t="s">
        <v>10267</v>
      </c>
    </row>
    <row r="2969" spans="1:2">
      <c r="A2969" s="1" t="s">
        <v>3706</v>
      </c>
      <c r="B2969" t="s">
        <v>10262</v>
      </c>
    </row>
    <row r="2970" spans="1:2">
      <c r="A2970" s="1" t="s">
        <v>3707</v>
      </c>
      <c r="B2970" t="s">
        <v>10230</v>
      </c>
    </row>
    <row r="2971" spans="1:2">
      <c r="A2971" s="1" t="s">
        <v>3708</v>
      </c>
      <c r="B2971" t="s">
        <v>10223</v>
      </c>
    </row>
    <row r="2972" spans="1:2">
      <c r="A2972" s="1" t="s">
        <v>3709</v>
      </c>
      <c r="B2972" t="s">
        <v>10370</v>
      </c>
    </row>
    <row r="2973" spans="1:2">
      <c r="A2973" s="1" t="s">
        <v>401</v>
      </c>
      <c r="B2973" t="s">
        <v>10240</v>
      </c>
    </row>
    <row r="2974" spans="1:2">
      <c r="A2974" s="1" t="s">
        <v>3710</v>
      </c>
      <c r="B2974" t="s">
        <v>901</v>
      </c>
    </row>
    <row r="2975" spans="1:2">
      <c r="A2975" s="1" t="s">
        <v>3711</v>
      </c>
      <c r="B2975" t="s">
        <v>10382</v>
      </c>
    </row>
    <row r="2976" spans="1:2">
      <c r="A2976" s="1" t="s">
        <v>3712</v>
      </c>
      <c r="B2976" t="s">
        <v>10284</v>
      </c>
    </row>
    <row r="2977" spans="1:2">
      <c r="A2977" s="1" t="s">
        <v>3713</v>
      </c>
      <c r="B2977" t="s">
        <v>10283</v>
      </c>
    </row>
    <row r="2978" spans="1:2">
      <c r="A2978" s="1" t="s">
        <v>3714</v>
      </c>
      <c r="B2978" t="s">
        <v>10245</v>
      </c>
    </row>
    <row r="2979" spans="1:2">
      <c r="A2979" s="1" t="s">
        <v>3715</v>
      </c>
      <c r="B2979" t="s">
        <v>10229</v>
      </c>
    </row>
    <row r="2980" spans="1:2">
      <c r="A2980" s="1" t="s">
        <v>3716</v>
      </c>
      <c r="B2980" t="s">
        <v>10263</v>
      </c>
    </row>
    <row r="2981" spans="1:2">
      <c r="A2981" s="1" t="s">
        <v>3717</v>
      </c>
      <c r="B2981" t="s">
        <v>901</v>
      </c>
    </row>
    <row r="2982" spans="1:2">
      <c r="A2982" s="1" t="s">
        <v>3718</v>
      </c>
      <c r="B2982" t="s">
        <v>10233</v>
      </c>
    </row>
    <row r="2983" spans="1:2">
      <c r="A2983" s="1" t="s">
        <v>3719</v>
      </c>
      <c r="B2983" t="s">
        <v>10244</v>
      </c>
    </row>
    <row r="2984" spans="1:2">
      <c r="A2984" s="1" t="s">
        <v>3720</v>
      </c>
      <c r="B2984" t="s">
        <v>10370</v>
      </c>
    </row>
    <row r="2985" spans="1:2">
      <c r="A2985" s="1" t="s">
        <v>3721</v>
      </c>
      <c r="B2985" t="s">
        <v>10225</v>
      </c>
    </row>
    <row r="2986" spans="1:2">
      <c r="A2986" s="1" t="s">
        <v>3722</v>
      </c>
      <c r="B2986" t="s">
        <v>901</v>
      </c>
    </row>
    <row r="2987" spans="1:2">
      <c r="A2987" s="1" t="s">
        <v>3723</v>
      </c>
      <c r="B2987" t="s">
        <v>10234</v>
      </c>
    </row>
    <row r="2988" spans="1:2">
      <c r="A2988" s="1" t="s">
        <v>3724</v>
      </c>
      <c r="B2988" t="s">
        <v>901</v>
      </c>
    </row>
    <row r="2989" spans="1:2">
      <c r="A2989" s="1" t="s">
        <v>3725</v>
      </c>
      <c r="B2989" t="s">
        <v>10319</v>
      </c>
    </row>
    <row r="2990" spans="1:2">
      <c r="A2990" s="1" t="s">
        <v>3726</v>
      </c>
      <c r="B2990" t="s">
        <v>10266</v>
      </c>
    </row>
    <row r="2991" spans="1:2">
      <c r="A2991" s="1" t="s">
        <v>504</v>
      </c>
      <c r="B2991" t="s">
        <v>10286</v>
      </c>
    </row>
    <row r="2992" spans="1:2">
      <c r="A2992" s="1" t="s">
        <v>3727</v>
      </c>
      <c r="B2992" t="s">
        <v>10378</v>
      </c>
    </row>
    <row r="2993" spans="1:2">
      <c r="A2993" s="1" t="s">
        <v>3728</v>
      </c>
      <c r="B2993" t="s">
        <v>10257</v>
      </c>
    </row>
    <row r="2994" spans="1:2">
      <c r="A2994" s="1" t="s">
        <v>3729</v>
      </c>
      <c r="B2994" t="s">
        <v>10383</v>
      </c>
    </row>
    <row r="2995" spans="1:2">
      <c r="A2995" s="1" t="s">
        <v>3730</v>
      </c>
      <c r="B2995" t="s">
        <v>10323</v>
      </c>
    </row>
    <row r="2996" spans="1:2">
      <c r="A2996" s="1" t="s">
        <v>3731</v>
      </c>
      <c r="B2996" t="s">
        <v>10239</v>
      </c>
    </row>
    <row r="2997" spans="1:2">
      <c r="A2997" s="1" t="s">
        <v>3732</v>
      </c>
      <c r="B2997" t="s">
        <v>10286</v>
      </c>
    </row>
    <row r="2998" spans="1:2">
      <c r="A2998" s="1" t="s">
        <v>3733</v>
      </c>
      <c r="B2998" t="s">
        <v>10231</v>
      </c>
    </row>
    <row r="2999" spans="1:2">
      <c r="A2999" s="1" t="s">
        <v>3734</v>
      </c>
      <c r="B2999" t="s">
        <v>10262</v>
      </c>
    </row>
    <row r="3000" spans="1:2">
      <c r="A3000" s="1" t="s">
        <v>3735</v>
      </c>
      <c r="B3000" t="s">
        <v>901</v>
      </c>
    </row>
    <row r="3001" spans="1:2">
      <c r="A3001" s="1" t="s">
        <v>3736</v>
      </c>
      <c r="B3001" t="s">
        <v>10266</v>
      </c>
    </row>
    <row r="3002" spans="1:2">
      <c r="A3002" s="1" t="s">
        <v>3737</v>
      </c>
      <c r="B3002" t="s">
        <v>10290</v>
      </c>
    </row>
    <row r="3003" spans="1:2">
      <c r="A3003" s="1" t="s">
        <v>3738</v>
      </c>
      <c r="B3003" t="s">
        <v>10234</v>
      </c>
    </row>
    <row r="3004" spans="1:2">
      <c r="A3004" s="1" t="s">
        <v>3739</v>
      </c>
      <c r="B3004" t="s">
        <v>10248</v>
      </c>
    </row>
    <row r="3005" spans="1:2">
      <c r="A3005" s="1" t="s">
        <v>603</v>
      </c>
      <c r="B3005" t="s">
        <v>10231</v>
      </c>
    </row>
    <row r="3006" spans="1:2">
      <c r="A3006" s="1" t="s">
        <v>3740</v>
      </c>
      <c r="B3006" t="s">
        <v>10292</v>
      </c>
    </row>
    <row r="3007" spans="1:2">
      <c r="A3007" s="1" t="s">
        <v>262</v>
      </c>
      <c r="B3007" t="s">
        <v>10262</v>
      </c>
    </row>
    <row r="3008" spans="1:2">
      <c r="A3008" s="1" t="s">
        <v>3741</v>
      </c>
      <c r="B3008" t="s">
        <v>10369</v>
      </c>
    </row>
    <row r="3009" spans="1:2">
      <c r="A3009" s="1" t="s">
        <v>3742</v>
      </c>
      <c r="B3009" t="s">
        <v>10224</v>
      </c>
    </row>
    <row r="3010" spans="1:2">
      <c r="A3010" s="1" t="s">
        <v>3743</v>
      </c>
      <c r="B3010" t="s">
        <v>10275</v>
      </c>
    </row>
    <row r="3011" spans="1:2">
      <c r="A3011" s="1" t="s">
        <v>3744</v>
      </c>
      <c r="B3011" t="s">
        <v>10466</v>
      </c>
    </row>
    <row r="3012" spans="1:2">
      <c r="A3012" s="1" t="s">
        <v>290</v>
      </c>
      <c r="B3012" t="s">
        <v>10277</v>
      </c>
    </row>
    <row r="3013" spans="1:2">
      <c r="A3013" s="1" t="s">
        <v>3745</v>
      </c>
      <c r="B3013" t="s">
        <v>10314</v>
      </c>
    </row>
    <row r="3014" spans="1:2">
      <c r="A3014" s="1" t="s">
        <v>649</v>
      </c>
      <c r="B3014" t="s">
        <v>10287</v>
      </c>
    </row>
    <row r="3015" spans="1:2">
      <c r="A3015" s="1" t="s">
        <v>3746</v>
      </c>
      <c r="B3015" t="s">
        <v>10238</v>
      </c>
    </row>
    <row r="3016" spans="1:2">
      <c r="A3016" s="1" t="s">
        <v>3747</v>
      </c>
      <c r="B3016" t="s">
        <v>10280</v>
      </c>
    </row>
    <row r="3017" spans="1:2">
      <c r="A3017" s="1" t="s">
        <v>3748</v>
      </c>
      <c r="B3017" t="s">
        <v>10287</v>
      </c>
    </row>
    <row r="3018" spans="1:2">
      <c r="A3018" s="1" t="s">
        <v>3749</v>
      </c>
      <c r="B3018" t="s">
        <v>10239</v>
      </c>
    </row>
    <row r="3019" spans="1:2">
      <c r="A3019" s="1" t="s">
        <v>3750</v>
      </c>
      <c r="B3019" t="s">
        <v>901</v>
      </c>
    </row>
    <row r="3020" spans="1:2">
      <c r="A3020" s="1" t="s">
        <v>684</v>
      </c>
      <c r="B3020" t="s">
        <v>10282</v>
      </c>
    </row>
    <row r="3021" spans="1:2">
      <c r="A3021" s="1" t="s">
        <v>3751</v>
      </c>
      <c r="B3021" t="s">
        <v>10243</v>
      </c>
    </row>
    <row r="3022" spans="1:2">
      <c r="A3022" s="1" t="s">
        <v>3752</v>
      </c>
      <c r="B3022" t="s">
        <v>10417</v>
      </c>
    </row>
    <row r="3023" spans="1:2">
      <c r="A3023" s="1" t="s">
        <v>3753</v>
      </c>
      <c r="B3023" t="s">
        <v>10223</v>
      </c>
    </row>
    <row r="3024" spans="1:2">
      <c r="A3024" s="1" t="s">
        <v>3754</v>
      </c>
      <c r="B3024" t="s">
        <v>10286</v>
      </c>
    </row>
    <row r="3025" spans="1:2">
      <c r="A3025" s="1" t="s">
        <v>3755</v>
      </c>
      <c r="B3025" t="s">
        <v>901</v>
      </c>
    </row>
    <row r="3026" spans="1:2">
      <c r="A3026" s="1" t="s">
        <v>3756</v>
      </c>
      <c r="B3026" t="s">
        <v>10278</v>
      </c>
    </row>
    <row r="3027" spans="1:2">
      <c r="A3027" s="1" t="s">
        <v>3757</v>
      </c>
      <c r="B3027" t="s">
        <v>10229</v>
      </c>
    </row>
    <row r="3028" spans="1:2">
      <c r="A3028" s="1" t="s">
        <v>3758</v>
      </c>
      <c r="B3028" t="s">
        <v>10272</v>
      </c>
    </row>
    <row r="3029" spans="1:2">
      <c r="A3029" s="1" t="s">
        <v>3759</v>
      </c>
      <c r="B3029" t="s">
        <v>10240</v>
      </c>
    </row>
    <row r="3030" spans="1:2">
      <c r="A3030" s="1" t="s">
        <v>3760</v>
      </c>
      <c r="B3030" t="s">
        <v>901</v>
      </c>
    </row>
    <row r="3031" spans="1:2">
      <c r="A3031" s="1" t="s">
        <v>3761</v>
      </c>
      <c r="B3031" t="s">
        <v>10357</v>
      </c>
    </row>
    <row r="3032" spans="1:2">
      <c r="A3032" s="1" t="s">
        <v>3762</v>
      </c>
      <c r="B3032" t="s">
        <v>10223</v>
      </c>
    </row>
    <row r="3033" spans="1:2">
      <c r="A3033" s="1" t="s">
        <v>3763</v>
      </c>
      <c r="B3033" t="s">
        <v>10238</v>
      </c>
    </row>
    <row r="3034" spans="1:2">
      <c r="A3034" s="1" t="s">
        <v>282</v>
      </c>
      <c r="B3034" t="s">
        <v>10287</v>
      </c>
    </row>
    <row r="3035" spans="1:2">
      <c r="A3035" s="1" t="s">
        <v>483</v>
      </c>
      <c r="B3035" t="s">
        <v>10277</v>
      </c>
    </row>
    <row r="3036" spans="1:2">
      <c r="A3036" s="1" t="s">
        <v>3764</v>
      </c>
      <c r="B3036" t="s">
        <v>10415</v>
      </c>
    </row>
    <row r="3037" spans="1:2">
      <c r="A3037" s="1" t="s">
        <v>594</v>
      </c>
      <c r="B3037" t="s">
        <v>10250</v>
      </c>
    </row>
    <row r="3038" spans="1:2">
      <c r="A3038" s="1" t="s">
        <v>3765</v>
      </c>
      <c r="B3038" t="s">
        <v>10262</v>
      </c>
    </row>
    <row r="3039" spans="1:2">
      <c r="A3039" s="1" t="s">
        <v>3766</v>
      </c>
      <c r="B3039" t="s">
        <v>10426</v>
      </c>
    </row>
    <row r="3040" spans="1:2">
      <c r="A3040" s="1" t="s">
        <v>3767</v>
      </c>
      <c r="B3040" t="s">
        <v>10244</v>
      </c>
    </row>
    <row r="3041" spans="1:2">
      <c r="A3041" s="1" t="s">
        <v>3768</v>
      </c>
      <c r="B3041" t="s">
        <v>10240</v>
      </c>
    </row>
    <row r="3042" spans="1:2">
      <c r="A3042" s="1" t="s">
        <v>3769</v>
      </c>
      <c r="B3042" t="s">
        <v>10275</v>
      </c>
    </row>
    <row r="3043" spans="1:2">
      <c r="A3043" s="1" t="s">
        <v>3770</v>
      </c>
      <c r="B3043" t="s">
        <v>10355</v>
      </c>
    </row>
    <row r="3044" spans="1:2">
      <c r="A3044" s="1" t="s">
        <v>3771</v>
      </c>
      <c r="B3044" t="s">
        <v>10283</v>
      </c>
    </row>
    <row r="3045" spans="1:2">
      <c r="A3045" s="1" t="s">
        <v>3772</v>
      </c>
      <c r="B3045" t="s">
        <v>10467</v>
      </c>
    </row>
    <row r="3046" spans="1:2">
      <c r="A3046" s="1" t="s">
        <v>3773</v>
      </c>
      <c r="B3046" t="s">
        <v>10305</v>
      </c>
    </row>
    <row r="3047" spans="1:2">
      <c r="A3047" s="1" t="s">
        <v>3774</v>
      </c>
      <c r="B3047" t="s">
        <v>10224</v>
      </c>
    </row>
    <row r="3048" spans="1:2">
      <c r="A3048" s="1" t="s">
        <v>3775</v>
      </c>
      <c r="B3048" t="s">
        <v>10370</v>
      </c>
    </row>
    <row r="3049" spans="1:2">
      <c r="A3049" s="1" t="s">
        <v>3776</v>
      </c>
      <c r="B3049" t="s">
        <v>10234</v>
      </c>
    </row>
    <row r="3050" spans="1:2">
      <c r="A3050" s="1" t="s">
        <v>3777</v>
      </c>
      <c r="B3050" t="s">
        <v>10286</v>
      </c>
    </row>
    <row r="3051" spans="1:2">
      <c r="A3051" s="1" t="s">
        <v>3778</v>
      </c>
      <c r="B3051" t="s">
        <v>10238</v>
      </c>
    </row>
    <row r="3052" spans="1:2">
      <c r="A3052" s="1" t="s">
        <v>3779</v>
      </c>
      <c r="B3052" t="s">
        <v>10416</v>
      </c>
    </row>
    <row r="3053" spans="1:2">
      <c r="A3053" s="1" t="s">
        <v>3780</v>
      </c>
      <c r="B3053" t="s">
        <v>10424</v>
      </c>
    </row>
    <row r="3054" spans="1:2">
      <c r="A3054" s="1" t="s">
        <v>3781</v>
      </c>
      <c r="B3054" t="s">
        <v>10463</v>
      </c>
    </row>
    <row r="3055" spans="1:2">
      <c r="A3055" s="1" t="s">
        <v>3782</v>
      </c>
      <c r="B3055" t="s">
        <v>10240</v>
      </c>
    </row>
    <row r="3056" spans="1:2">
      <c r="A3056" s="1" t="s">
        <v>3783</v>
      </c>
      <c r="B3056" t="s">
        <v>10278</v>
      </c>
    </row>
    <row r="3057" spans="1:2">
      <c r="A3057" s="1" t="s">
        <v>3784</v>
      </c>
      <c r="B3057" t="s">
        <v>10234</v>
      </c>
    </row>
    <row r="3058" spans="1:2">
      <c r="A3058" s="1" t="s">
        <v>3785</v>
      </c>
      <c r="B3058" t="s">
        <v>10234</v>
      </c>
    </row>
    <row r="3059" spans="1:2">
      <c r="A3059" s="1" t="s">
        <v>3786</v>
      </c>
      <c r="B3059" t="s">
        <v>10234</v>
      </c>
    </row>
    <row r="3060" spans="1:2">
      <c r="A3060" s="1" t="s">
        <v>3787</v>
      </c>
      <c r="B3060" t="s">
        <v>10231</v>
      </c>
    </row>
    <row r="3061" spans="1:2">
      <c r="A3061" s="1" t="s">
        <v>3788</v>
      </c>
      <c r="B3061" t="s">
        <v>10234</v>
      </c>
    </row>
    <row r="3062" spans="1:2">
      <c r="A3062" s="1" t="s">
        <v>3789</v>
      </c>
      <c r="B3062" t="s">
        <v>10286</v>
      </c>
    </row>
    <row r="3063" spans="1:2">
      <c r="A3063" s="1" t="s">
        <v>3790</v>
      </c>
      <c r="B3063" t="s">
        <v>10266</v>
      </c>
    </row>
    <row r="3064" spans="1:2">
      <c r="A3064" s="1" t="s">
        <v>3791</v>
      </c>
      <c r="B3064" t="s">
        <v>10258</v>
      </c>
    </row>
    <row r="3065" spans="1:2">
      <c r="A3065" s="1" t="s">
        <v>3792</v>
      </c>
      <c r="B3065" t="s">
        <v>10225</v>
      </c>
    </row>
    <row r="3066" spans="1:2">
      <c r="A3066" s="1" t="s">
        <v>582</v>
      </c>
      <c r="B3066" t="s">
        <v>10277</v>
      </c>
    </row>
    <row r="3067" spans="1:2">
      <c r="A3067" s="1" t="s">
        <v>3793</v>
      </c>
      <c r="B3067" t="s">
        <v>10267</v>
      </c>
    </row>
    <row r="3068" spans="1:2">
      <c r="A3068" s="1" t="s">
        <v>3794</v>
      </c>
      <c r="B3068" t="s">
        <v>10450</v>
      </c>
    </row>
    <row r="3069" spans="1:2">
      <c r="A3069" s="1" t="s">
        <v>3795</v>
      </c>
      <c r="B3069" t="s">
        <v>10240</v>
      </c>
    </row>
    <row r="3070" spans="1:2">
      <c r="A3070" s="1" t="s">
        <v>3796</v>
      </c>
      <c r="B3070" t="s">
        <v>10401</v>
      </c>
    </row>
    <row r="3071" spans="1:2">
      <c r="A3071" s="1" t="s">
        <v>3797</v>
      </c>
      <c r="B3071" t="s">
        <v>10292</v>
      </c>
    </row>
    <row r="3072" spans="1:2">
      <c r="A3072" s="1" t="s">
        <v>859</v>
      </c>
      <c r="B3072" t="s">
        <v>10280</v>
      </c>
    </row>
    <row r="3073" spans="1:2">
      <c r="A3073" s="1" t="s">
        <v>3798</v>
      </c>
      <c r="B3073" t="s">
        <v>10370</v>
      </c>
    </row>
    <row r="3074" spans="1:2">
      <c r="A3074" s="1" t="s">
        <v>3799</v>
      </c>
      <c r="B3074" t="s">
        <v>10266</v>
      </c>
    </row>
    <row r="3075" spans="1:2">
      <c r="A3075" s="1" t="s">
        <v>3800</v>
      </c>
      <c r="B3075" t="s">
        <v>10245</v>
      </c>
    </row>
    <row r="3076" spans="1:2">
      <c r="A3076" s="1" t="s">
        <v>3801</v>
      </c>
      <c r="B3076" t="s">
        <v>10224</v>
      </c>
    </row>
    <row r="3077" spans="1:2">
      <c r="A3077" s="1" t="s">
        <v>3802</v>
      </c>
      <c r="B3077" t="s">
        <v>10382</v>
      </c>
    </row>
    <row r="3078" spans="1:2">
      <c r="A3078" s="1" t="s">
        <v>3803</v>
      </c>
      <c r="B3078" t="s">
        <v>10322</v>
      </c>
    </row>
    <row r="3079" spans="1:2">
      <c r="A3079" s="1" t="s">
        <v>3804</v>
      </c>
      <c r="B3079" t="s">
        <v>10239</v>
      </c>
    </row>
    <row r="3080" spans="1:2">
      <c r="A3080" s="1" t="s">
        <v>3805</v>
      </c>
      <c r="B3080" t="s">
        <v>10398</v>
      </c>
    </row>
    <row r="3081" spans="1:2">
      <c r="A3081" s="1" t="s">
        <v>3806</v>
      </c>
      <c r="B3081" t="s">
        <v>10241</v>
      </c>
    </row>
    <row r="3082" spans="1:2">
      <c r="A3082" s="1" t="s">
        <v>3807</v>
      </c>
      <c r="B3082" t="s">
        <v>10343</v>
      </c>
    </row>
    <row r="3083" spans="1:2">
      <c r="A3083" s="1" t="s">
        <v>3808</v>
      </c>
      <c r="B3083" t="s">
        <v>10404</v>
      </c>
    </row>
    <row r="3084" spans="1:2">
      <c r="A3084" s="1" t="s">
        <v>3809</v>
      </c>
      <c r="B3084" t="s">
        <v>10343</v>
      </c>
    </row>
    <row r="3085" spans="1:2">
      <c r="A3085" s="1" t="s">
        <v>3810</v>
      </c>
      <c r="B3085" t="s">
        <v>10352</v>
      </c>
    </row>
    <row r="3086" spans="1:2">
      <c r="A3086" s="1" t="s">
        <v>463</v>
      </c>
      <c r="B3086" t="s">
        <v>10287</v>
      </c>
    </row>
    <row r="3087" spans="1:2">
      <c r="A3087" s="1" t="s">
        <v>3811</v>
      </c>
      <c r="B3087" t="s">
        <v>10260</v>
      </c>
    </row>
    <row r="3088" spans="1:2">
      <c r="A3088" s="1" t="s">
        <v>3812</v>
      </c>
      <c r="B3088" t="s">
        <v>10234</v>
      </c>
    </row>
    <row r="3089" spans="1:2">
      <c r="A3089" s="1" t="s">
        <v>3813</v>
      </c>
      <c r="B3089" t="s">
        <v>10277</v>
      </c>
    </row>
    <row r="3090" spans="1:2">
      <c r="A3090" s="1" t="s">
        <v>3814</v>
      </c>
      <c r="B3090" t="s">
        <v>10277</v>
      </c>
    </row>
    <row r="3091" spans="1:2">
      <c r="A3091" s="1" t="s">
        <v>3815</v>
      </c>
      <c r="B3091" t="s">
        <v>10315</v>
      </c>
    </row>
    <row r="3092" spans="1:2">
      <c r="A3092" s="1" t="s">
        <v>3816</v>
      </c>
      <c r="B3092" t="s">
        <v>10225</v>
      </c>
    </row>
    <row r="3093" spans="1:2">
      <c r="A3093" s="1" t="s">
        <v>3817</v>
      </c>
      <c r="B3093" t="s">
        <v>10238</v>
      </c>
    </row>
    <row r="3094" spans="1:2">
      <c r="A3094" s="1" t="s">
        <v>641</v>
      </c>
      <c r="B3094" t="s">
        <v>10302</v>
      </c>
    </row>
    <row r="3095" spans="1:2">
      <c r="A3095" s="1" t="s">
        <v>3818</v>
      </c>
      <c r="B3095" t="s">
        <v>10292</v>
      </c>
    </row>
    <row r="3096" spans="1:2">
      <c r="A3096" s="1" t="s">
        <v>3819</v>
      </c>
      <c r="B3096" t="s">
        <v>10240</v>
      </c>
    </row>
    <row r="3097" spans="1:2">
      <c r="A3097" s="1" t="s">
        <v>3820</v>
      </c>
      <c r="B3097" t="s">
        <v>901</v>
      </c>
    </row>
    <row r="3098" spans="1:2">
      <c r="A3098" s="1" t="s">
        <v>339</v>
      </c>
      <c r="B3098" t="s">
        <v>10280</v>
      </c>
    </row>
    <row r="3099" spans="1:2">
      <c r="A3099" s="1" t="s">
        <v>3821</v>
      </c>
      <c r="B3099" t="s">
        <v>10248</v>
      </c>
    </row>
    <row r="3100" spans="1:2">
      <c r="A3100" s="1" t="s">
        <v>508</v>
      </c>
      <c r="B3100" t="s">
        <v>10234</v>
      </c>
    </row>
    <row r="3101" spans="1:2">
      <c r="A3101" s="1" t="s">
        <v>3822</v>
      </c>
      <c r="B3101" t="s">
        <v>10240</v>
      </c>
    </row>
    <row r="3102" spans="1:2">
      <c r="A3102" s="1" t="s">
        <v>3823</v>
      </c>
      <c r="B3102" t="s">
        <v>10262</v>
      </c>
    </row>
    <row r="3103" spans="1:2">
      <c r="A3103" s="1" t="s">
        <v>3824</v>
      </c>
      <c r="B3103" t="s">
        <v>10272</v>
      </c>
    </row>
    <row r="3104" spans="1:2">
      <c r="A3104" s="1" t="s">
        <v>3825</v>
      </c>
      <c r="B3104" t="s">
        <v>10266</v>
      </c>
    </row>
    <row r="3105" spans="1:2">
      <c r="A3105" s="1" t="s">
        <v>139</v>
      </c>
      <c r="B3105" t="s">
        <v>10286</v>
      </c>
    </row>
    <row r="3106" spans="1:2">
      <c r="A3106" s="1" t="s">
        <v>379</v>
      </c>
      <c r="B3106" t="s">
        <v>10262</v>
      </c>
    </row>
    <row r="3107" spans="1:2">
      <c r="A3107" s="1" t="s">
        <v>3826</v>
      </c>
      <c r="B3107" t="s">
        <v>10272</v>
      </c>
    </row>
    <row r="3108" spans="1:2">
      <c r="A3108" s="1" t="s">
        <v>3827</v>
      </c>
      <c r="B3108" t="s">
        <v>10326</v>
      </c>
    </row>
    <row r="3109" spans="1:2">
      <c r="A3109" s="1" t="s">
        <v>3828</v>
      </c>
      <c r="B3109" t="s">
        <v>10434</v>
      </c>
    </row>
    <row r="3110" spans="1:2">
      <c r="A3110" s="1" t="s">
        <v>3829</v>
      </c>
      <c r="B3110" t="s">
        <v>10287</v>
      </c>
    </row>
    <row r="3111" spans="1:2">
      <c r="A3111" s="1" t="s">
        <v>3830</v>
      </c>
      <c r="B3111" t="s">
        <v>10355</v>
      </c>
    </row>
    <row r="3112" spans="1:2">
      <c r="A3112" s="1" t="s">
        <v>3831</v>
      </c>
      <c r="B3112" t="s">
        <v>10282</v>
      </c>
    </row>
    <row r="3113" spans="1:2">
      <c r="A3113" s="1" t="s">
        <v>3832</v>
      </c>
      <c r="B3113" t="s">
        <v>10230</v>
      </c>
    </row>
    <row r="3114" spans="1:2">
      <c r="A3114" s="1" t="s">
        <v>3833</v>
      </c>
      <c r="B3114" t="s">
        <v>10234</v>
      </c>
    </row>
    <row r="3115" spans="1:2">
      <c r="A3115" s="1" t="s">
        <v>250</v>
      </c>
      <c r="B3115" t="s">
        <v>10280</v>
      </c>
    </row>
    <row r="3116" spans="1:2">
      <c r="A3116" s="1" t="s">
        <v>3834</v>
      </c>
      <c r="B3116" t="s">
        <v>10347</v>
      </c>
    </row>
    <row r="3117" spans="1:2">
      <c r="A3117" s="1" t="s">
        <v>3835</v>
      </c>
      <c r="B3117" t="s">
        <v>10225</v>
      </c>
    </row>
    <row r="3118" spans="1:2">
      <c r="A3118" s="1" t="s">
        <v>865</v>
      </c>
      <c r="B3118" t="s">
        <v>10263</v>
      </c>
    </row>
    <row r="3119" spans="1:2">
      <c r="A3119" s="1" t="s">
        <v>3836</v>
      </c>
      <c r="B3119" t="s">
        <v>10234</v>
      </c>
    </row>
    <row r="3120" spans="1:2">
      <c r="A3120" s="1" t="s">
        <v>615</v>
      </c>
      <c r="B3120" t="s">
        <v>10419</v>
      </c>
    </row>
    <row r="3121" spans="1:2">
      <c r="A3121" s="1" t="s">
        <v>3837</v>
      </c>
      <c r="B3121" t="s">
        <v>10442</v>
      </c>
    </row>
    <row r="3122" spans="1:2">
      <c r="A3122" s="1" t="s">
        <v>3838</v>
      </c>
      <c r="B3122" t="s">
        <v>901</v>
      </c>
    </row>
    <row r="3123" spans="1:2">
      <c r="A3123" s="1" t="s">
        <v>3839</v>
      </c>
      <c r="B3123" t="s">
        <v>10398</v>
      </c>
    </row>
    <row r="3124" spans="1:2">
      <c r="A3124" s="1" t="s">
        <v>3840</v>
      </c>
      <c r="B3124" t="s">
        <v>10395</v>
      </c>
    </row>
    <row r="3125" spans="1:2">
      <c r="A3125" s="1" t="s">
        <v>3841</v>
      </c>
      <c r="B3125" t="s">
        <v>10225</v>
      </c>
    </row>
    <row r="3126" spans="1:2">
      <c r="A3126" s="1" t="s">
        <v>3842</v>
      </c>
      <c r="B3126" t="s">
        <v>10286</v>
      </c>
    </row>
    <row r="3127" spans="1:2">
      <c r="A3127" s="1" t="s">
        <v>626</v>
      </c>
      <c r="B3127" t="s">
        <v>10262</v>
      </c>
    </row>
    <row r="3128" spans="1:2">
      <c r="A3128" s="1" t="s">
        <v>3843</v>
      </c>
      <c r="B3128" t="s">
        <v>10225</v>
      </c>
    </row>
    <row r="3129" spans="1:2">
      <c r="A3129" s="1" t="s">
        <v>505</v>
      </c>
      <c r="B3129" t="s">
        <v>10262</v>
      </c>
    </row>
    <row r="3130" spans="1:2">
      <c r="A3130" s="1" t="s">
        <v>3844</v>
      </c>
      <c r="B3130" t="s">
        <v>10224</v>
      </c>
    </row>
    <row r="3131" spans="1:2">
      <c r="A3131" s="1" t="s">
        <v>3845</v>
      </c>
      <c r="B3131" t="s">
        <v>10271</v>
      </c>
    </row>
    <row r="3132" spans="1:2">
      <c r="A3132" s="1" t="s">
        <v>3846</v>
      </c>
      <c r="B3132" t="s">
        <v>10283</v>
      </c>
    </row>
    <row r="3133" spans="1:2">
      <c r="A3133" s="1" t="s">
        <v>3847</v>
      </c>
      <c r="B3133" t="s">
        <v>10224</v>
      </c>
    </row>
    <row r="3134" spans="1:2">
      <c r="A3134" s="1" t="s">
        <v>3848</v>
      </c>
      <c r="B3134" t="s">
        <v>10267</v>
      </c>
    </row>
    <row r="3135" spans="1:2">
      <c r="A3135" s="1" t="s">
        <v>3849</v>
      </c>
      <c r="B3135" t="s">
        <v>10397</v>
      </c>
    </row>
    <row r="3136" spans="1:2">
      <c r="A3136" s="1" t="s">
        <v>3850</v>
      </c>
      <c r="B3136" t="s">
        <v>10305</v>
      </c>
    </row>
    <row r="3137" spans="1:2">
      <c r="A3137" s="1" t="s">
        <v>3851</v>
      </c>
      <c r="B3137" t="s">
        <v>10269</v>
      </c>
    </row>
    <row r="3138" spans="1:2">
      <c r="A3138" s="1" t="s">
        <v>707</v>
      </c>
      <c r="B3138" t="s">
        <v>10229</v>
      </c>
    </row>
    <row r="3139" spans="1:2">
      <c r="A3139" s="1" t="s">
        <v>3852</v>
      </c>
      <c r="B3139" t="s">
        <v>10234</v>
      </c>
    </row>
    <row r="3140" spans="1:2">
      <c r="A3140" s="1" t="s">
        <v>3853</v>
      </c>
      <c r="B3140" t="s">
        <v>10323</v>
      </c>
    </row>
    <row r="3141" spans="1:2">
      <c r="A3141" s="1" t="s">
        <v>3854</v>
      </c>
      <c r="B3141" t="s">
        <v>10225</v>
      </c>
    </row>
    <row r="3142" spans="1:2">
      <c r="A3142" s="1" t="s">
        <v>3855</v>
      </c>
      <c r="B3142" t="s">
        <v>10234</v>
      </c>
    </row>
    <row r="3143" spans="1:2">
      <c r="A3143" s="1" t="s">
        <v>3856</v>
      </c>
      <c r="B3143" t="s">
        <v>901</v>
      </c>
    </row>
    <row r="3144" spans="1:2">
      <c r="A3144" s="1" t="s">
        <v>3857</v>
      </c>
      <c r="B3144" t="s">
        <v>10261</v>
      </c>
    </row>
    <row r="3145" spans="1:2">
      <c r="A3145" s="1" t="s">
        <v>3858</v>
      </c>
      <c r="B3145" t="s">
        <v>10287</v>
      </c>
    </row>
    <row r="3146" spans="1:2">
      <c r="A3146" s="1" t="s">
        <v>3859</v>
      </c>
      <c r="B3146" t="s">
        <v>10266</v>
      </c>
    </row>
    <row r="3147" spans="1:2">
      <c r="A3147" s="1" t="s">
        <v>274</v>
      </c>
      <c r="B3147" t="s">
        <v>10419</v>
      </c>
    </row>
    <row r="3148" spans="1:2">
      <c r="A3148" s="1" t="s">
        <v>3860</v>
      </c>
      <c r="B3148" t="s">
        <v>10331</v>
      </c>
    </row>
    <row r="3149" spans="1:2">
      <c r="A3149" s="1" t="s">
        <v>3861</v>
      </c>
      <c r="B3149" t="s">
        <v>10248</v>
      </c>
    </row>
    <row r="3150" spans="1:2">
      <c r="A3150" s="1" t="s">
        <v>3862</v>
      </c>
      <c r="B3150" t="s">
        <v>10272</v>
      </c>
    </row>
    <row r="3151" spans="1:2">
      <c r="A3151" s="1" t="s">
        <v>3863</v>
      </c>
      <c r="B3151" t="s">
        <v>10244</v>
      </c>
    </row>
    <row r="3152" spans="1:2">
      <c r="A3152" s="1" t="s">
        <v>3864</v>
      </c>
      <c r="B3152" t="s">
        <v>901</v>
      </c>
    </row>
    <row r="3153" spans="1:2">
      <c r="A3153" s="1" t="s">
        <v>3865</v>
      </c>
      <c r="B3153" t="s">
        <v>10240</v>
      </c>
    </row>
    <row r="3154" spans="1:2">
      <c r="A3154" s="1" t="s">
        <v>780</v>
      </c>
      <c r="B3154" t="s">
        <v>10250</v>
      </c>
    </row>
    <row r="3155" spans="1:2">
      <c r="A3155" s="1" t="s">
        <v>3866</v>
      </c>
      <c r="B3155" t="s">
        <v>10453</v>
      </c>
    </row>
    <row r="3156" spans="1:2">
      <c r="A3156" s="1" t="s">
        <v>3867</v>
      </c>
      <c r="B3156" t="s">
        <v>10261</v>
      </c>
    </row>
    <row r="3157" spans="1:2">
      <c r="A3157" s="1" t="s">
        <v>3868</v>
      </c>
      <c r="B3157" t="s">
        <v>10238</v>
      </c>
    </row>
    <row r="3158" spans="1:2">
      <c r="A3158" s="1" t="s">
        <v>3869</v>
      </c>
      <c r="B3158" t="s">
        <v>10282</v>
      </c>
    </row>
    <row r="3159" spans="1:2">
      <c r="A3159" s="1" t="s">
        <v>3870</v>
      </c>
      <c r="B3159" t="s">
        <v>10223</v>
      </c>
    </row>
    <row r="3160" spans="1:2">
      <c r="A3160" s="1" t="s">
        <v>3871</v>
      </c>
      <c r="B3160" t="s">
        <v>10234</v>
      </c>
    </row>
    <row r="3161" spans="1:2">
      <c r="A3161" s="1" t="s">
        <v>3872</v>
      </c>
      <c r="B3161" t="s">
        <v>10224</v>
      </c>
    </row>
    <row r="3162" spans="1:2">
      <c r="A3162" s="1" t="s">
        <v>613</v>
      </c>
      <c r="B3162" t="s">
        <v>10314</v>
      </c>
    </row>
    <row r="3163" spans="1:2">
      <c r="A3163" s="1" t="s">
        <v>3873</v>
      </c>
      <c r="B3163" t="s">
        <v>10275</v>
      </c>
    </row>
    <row r="3164" spans="1:2">
      <c r="A3164" s="1" t="s">
        <v>3874</v>
      </c>
      <c r="B3164" t="s">
        <v>10225</v>
      </c>
    </row>
    <row r="3165" spans="1:2">
      <c r="A3165" s="1" t="s">
        <v>258</v>
      </c>
      <c r="B3165" t="s">
        <v>10322</v>
      </c>
    </row>
    <row r="3166" spans="1:2">
      <c r="A3166" s="1" t="s">
        <v>3875</v>
      </c>
      <c r="B3166" t="s">
        <v>10341</v>
      </c>
    </row>
    <row r="3167" spans="1:2">
      <c r="A3167" s="1" t="s">
        <v>3876</v>
      </c>
      <c r="B3167" t="s">
        <v>10287</v>
      </c>
    </row>
    <row r="3168" spans="1:2">
      <c r="A3168" s="1" t="s">
        <v>3877</v>
      </c>
      <c r="B3168" t="s">
        <v>10240</v>
      </c>
    </row>
    <row r="3169" spans="1:2">
      <c r="A3169" s="1" t="s">
        <v>3878</v>
      </c>
      <c r="B3169" t="s">
        <v>10457</v>
      </c>
    </row>
    <row r="3170" spans="1:2">
      <c r="A3170" s="1" t="s">
        <v>3879</v>
      </c>
      <c r="B3170" t="s">
        <v>10240</v>
      </c>
    </row>
    <row r="3171" spans="1:2">
      <c r="A3171" s="1" t="s">
        <v>431</v>
      </c>
      <c r="B3171" t="s">
        <v>10234</v>
      </c>
    </row>
    <row r="3172" spans="1:2">
      <c r="A3172" s="1" t="s">
        <v>3880</v>
      </c>
      <c r="B3172" t="s">
        <v>10269</v>
      </c>
    </row>
    <row r="3173" spans="1:2">
      <c r="A3173" s="1" t="s">
        <v>3881</v>
      </c>
      <c r="B3173" t="s">
        <v>10457</v>
      </c>
    </row>
    <row r="3174" spans="1:2">
      <c r="A3174" s="1" t="s">
        <v>887</v>
      </c>
      <c r="B3174" t="s">
        <v>10322</v>
      </c>
    </row>
    <row r="3175" spans="1:2">
      <c r="A3175" s="1" t="s">
        <v>3882</v>
      </c>
      <c r="B3175" t="s">
        <v>10352</v>
      </c>
    </row>
    <row r="3176" spans="1:2">
      <c r="A3176" s="1" t="s">
        <v>112</v>
      </c>
      <c r="B3176" t="s">
        <v>10239</v>
      </c>
    </row>
    <row r="3177" spans="1:2">
      <c r="A3177" s="1" t="s">
        <v>3883</v>
      </c>
      <c r="B3177" t="s">
        <v>10261</v>
      </c>
    </row>
    <row r="3178" spans="1:2">
      <c r="A3178" s="1" t="s">
        <v>3884</v>
      </c>
      <c r="B3178" t="s">
        <v>10286</v>
      </c>
    </row>
    <row r="3179" spans="1:2">
      <c r="A3179" s="1" t="s">
        <v>3885</v>
      </c>
      <c r="B3179" t="s">
        <v>10234</v>
      </c>
    </row>
    <row r="3180" spans="1:2">
      <c r="A3180" s="1" t="s">
        <v>3886</v>
      </c>
      <c r="B3180" t="s">
        <v>10240</v>
      </c>
    </row>
    <row r="3181" spans="1:2">
      <c r="A3181" s="1" t="s">
        <v>3887</v>
      </c>
      <c r="B3181" t="s">
        <v>10228</v>
      </c>
    </row>
    <row r="3182" spans="1:2">
      <c r="A3182" s="1" t="s">
        <v>464</v>
      </c>
      <c r="B3182" t="s">
        <v>10277</v>
      </c>
    </row>
    <row r="3183" spans="1:2">
      <c r="A3183" s="1" t="s">
        <v>3888</v>
      </c>
      <c r="B3183" t="s">
        <v>10264</v>
      </c>
    </row>
    <row r="3184" spans="1:2">
      <c r="A3184" s="1" t="s">
        <v>3889</v>
      </c>
      <c r="B3184" t="s">
        <v>901</v>
      </c>
    </row>
    <row r="3185" spans="1:2">
      <c r="A3185" s="1" t="s">
        <v>3890</v>
      </c>
      <c r="B3185" t="s">
        <v>10234</v>
      </c>
    </row>
    <row r="3186" spans="1:2">
      <c r="A3186" s="1" t="s">
        <v>3891</v>
      </c>
      <c r="B3186" t="s">
        <v>10225</v>
      </c>
    </row>
    <row r="3187" spans="1:2">
      <c r="A3187" s="1" t="s">
        <v>3892</v>
      </c>
      <c r="B3187" t="s">
        <v>901</v>
      </c>
    </row>
    <row r="3188" spans="1:2">
      <c r="A3188" s="1" t="s">
        <v>3893</v>
      </c>
      <c r="B3188" t="s">
        <v>10239</v>
      </c>
    </row>
    <row r="3189" spans="1:2">
      <c r="A3189" s="1" t="s">
        <v>3894</v>
      </c>
      <c r="B3189" t="s">
        <v>10426</v>
      </c>
    </row>
    <row r="3190" spans="1:2">
      <c r="A3190" s="1" t="s">
        <v>3895</v>
      </c>
      <c r="B3190" t="s">
        <v>10224</v>
      </c>
    </row>
    <row r="3191" spans="1:2">
      <c r="A3191" s="1" t="s">
        <v>3896</v>
      </c>
      <c r="B3191" t="s">
        <v>10357</v>
      </c>
    </row>
    <row r="3192" spans="1:2">
      <c r="A3192" s="1" t="s">
        <v>3897</v>
      </c>
      <c r="B3192" t="s">
        <v>10456</v>
      </c>
    </row>
    <row r="3193" spans="1:2">
      <c r="A3193" s="1" t="s">
        <v>3898</v>
      </c>
      <c r="B3193" t="s">
        <v>10256</v>
      </c>
    </row>
    <row r="3194" spans="1:2">
      <c r="A3194" s="1" t="s">
        <v>3899</v>
      </c>
      <c r="B3194" t="s">
        <v>10225</v>
      </c>
    </row>
    <row r="3195" spans="1:2">
      <c r="A3195" s="1" t="s">
        <v>3900</v>
      </c>
      <c r="B3195" t="s">
        <v>10260</v>
      </c>
    </row>
    <row r="3196" spans="1:2">
      <c r="A3196" s="1" t="s">
        <v>400</v>
      </c>
      <c r="B3196" t="s">
        <v>10225</v>
      </c>
    </row>
    <row r="3197" spans="1:2">
      <c r="A3197" s="1" t="s">
        <v>3901</v>
      </c>
      <c r="B3197" t="s">
        <v>10357</v>
      </c>
    </row>
    <row r="3198" spans="1:2">
      <c r="A3198" s="1" t="s">
        <v>3902</v>
      </c>
      <c r="B3198" t="s">
        <v>10241</v>
      </c>
    </row>
    <row r="3199" spans="1:2">
      <c r="A3199" s="1" t="s">
        <v>3903</v>
      </c>
      <c r="B3199" t="s">
        <v>10408</v>
      </c>
    </row>
    <row r="3200" spans="1:2">
      <c r="A3200" s="1" t="s">
        <v>3904</v>
      </c>
      <c r="B3200" t="s">
        <v>10286</v>
      </c>
    </row>
    <row r="3201" spans="1:2">
      <c r="A3201" s="1" t="s">
        <v>3905</v>
      </c>
      <c r="B3201" t="s">
        <v>10230</v>
      </c>
    </row>
    <row r="3202" spans="1:2">
      <c r="A3202" s="1" t="s">
        <v>852</v>
      </c>
      <c r="B3202" t="s">
        <v>10277</v>
      </c>
    </row>
    <row r="3203" spans="1:2">
      <c r="A3203" s="1" t="s">
        <v>3906</v>
      </c>
      <c r="B3203" t="s">
        <v>10225</v>
      </c>
    </row>
    <row r="3204" spans="1:2">
      <c r="A3204" s="1" t="s">
        <v>3907</v>
      </c>
      <c r="B3204" t="s">
        <v>10325</v>
      </c>
    </row>
    <row r="3205" spans="1:2">
      <c r="A3205" s="1" t="s">
        <v>633</v>
      </c>
      <c r="B3205" t="s">
        <v>10468</v>
      </c>
    </row>
    <row r="3206" spans="1:2">
      <c r="A3206" s="1" t="s">
        <v>3908</v>
      </c>
      <c r="B3206" t="s">
        <v>10469</v>
      </c>
    </row>
    <row r="3207" spans="1:2">
      <c r="A3207" s="1" t="s">
        <v>3909</v>
      </c>
      <c r="B3207" t="s">
        <v>10240</v>
      </c>
    </row>
    <row r="3208" spans="1:2">
      <c r="A3208" s="1" t="s">
        <v>3910</v>
      </c>
      <c r="B3208" t="s">
        <v>10234</v>
      </c>
    </row>
    <row r="3209" spans="1:2">
      <c r="A3209" s="1" t="s">
        <v>3911</v>
      </c>
      <c r="B3209" t="s">
        <v>10229</v>
      </c>
    </row>
    <row r="3210" spans="1:2">
      <c r="A3210" s="1" t="s">
        <v>3912</v>
      </c>
      <c r="B3210" t="s">
        <v>10234</v>
      </c>
    </row>
    <row r="3211" spans="1:2">
      <c r="A3211" s="1" t="s">
        <v>3913</v>
      </c>
      <c r="B3211" t="s">
        <v>901</v>
      </c>
    </row>
    <row r="3212" spans="1:2">
      <c r="A3212" s="1" t="s">
        <v>3914</v>
      </c>
      <c r="B3212" t="s">
        <v>901</v>
      </c>
    </row>
    <row r="3213" spans="1:2">
      <c r="A3213" s="1" t="s">
        <v>3915</v>
      </c>
      <c r="B3213" t="s">
        <v>10259</v>
      </c>
    </row>
    <row r="3214" spans="1:2">
      <c r="A3214" s="1" t="s">
        <v>3916</v>
      </c>
      <c r="B3214" t="s">
        <v>10234</v>
      </c>
    </row>
    <row r="3215" spans="1:2">
      <c r="A3215" s="1" t="s">
        <v>3917</v>
      </c>
      <c r="B3215" t="s">
        <v>10234</v>
      </c>
    </row>
    <row r="3216" spans="1:2">
      <c r="A3216" s="1" t="s">
        <v>3918</v>
      </c>
      <c r="B3216" t="s">
        <v>10282</v>
      </c>
    </row>
    <row r="3217" spans="1:2">
      <c r="A3217" s="1" t="s">
        <v>3919</v>
      </c>
      <c r="B3217" t="s">
        <v>10404</v>
      </c>
    </row>
    <row r="3218" spans="1:2">
      <c r="A3218" s="1" t="s">
        <v>3920</v>
      </c>
      <c r="B3218" t="s">
        <v>10224</v>
      </c>
    </row>
    <row r="3219" spans="1:2">
      <c r="A3219" s="1" t="s">
        <v>384</v>
      </c>
      <c r="B3219" t="s">
        <v>10277</v>
      </c>
    </row>
    <row r="3220" spans="1:2">
      <c r="A3220" s="1" t="s">
        <v>3921</v>
      </c>
      <c r="B3220" t="s">
        <v>10338</v>
      </c>
    </row>
    <row r="3221" spans="1:2">
      <c r="A3221" s="1" t="s">
        <v>3922</v>
      </c>
      <c r="B3221" t="s">
        <v>10288</v>
      </c>
    </row>
    <row r="3222" spans="1:2">
      <c r="A3222" s="1" t="s">
        <v>3923</v>
      </c>
      <c r="B3222" t="s">
        <v>10262</v>
      </c>
    </row>
    <row r="3223" spans="1:2">
      <c r="A3223" s="1" t="s">
        <v>3924</v>
      </c>
      <c r="B3223" t="s">
        <v>901</v>
      </c>
    </row>
    <row r="3224" spans="1:2">
      <c r="A3224" s="1" t="s">
        <v>435</v>
      </c>
      <c r="B3224" t="s">
        <v>10284</v>
      </c>
    </row>
    <row r="3225" spans="1:2">
      <c r="A3225" s="1" t="s">
        <v>3925</v>
      </c>
      <c r="B3225" t="s">
        <v>10230</v>
      </c>
    </row>
    <row r="3226" spans="1:2">
      <c r="A3226" s="1" t="s">
        <v>557</v>
      </c>
      <c r="B3226" t="s">
        <v>10326</v>
      </c>
    </row>
    <row r="3227" spans="1:2">
      <c r="A3227" s="1" t="s">
        <v>3926</v>
      </c>
      <c r="B3227" t="s">
        <v>10240</v>
      </c>
    </row>
    <row r="3228" spans="1:2">
      <c r="A3228" s="1" t="s">
        <v>3927</v>
      </c>
      <c r="B3228" t="s">
        <v>10357</v>
      </c>
    </row>
    <row r="3229" spans="1:2">
      <c r="A3229" s="1" t="s">
        <v>449</v>
      </c>
      <c r="B3229" t="s">
        <v>10279</v>
      </c>
    </row>
    <row r="3230" spans="1:2">
      <c r="A3230" s="1" t="s">
        <v>3928</v>
      </c>
      <c r="B3230" t="s">
        <v>10225</v>
      </c>
    </row>
    <row r="3231" spans="1:2">
      <c r="A3231" s="1" t="s">
        <v>235</v>
      </c>
      <c r="B3231" t="s">
        <v>10287</v>
      </c>
    </row>
    <row r="3232" spans="1:2">
      <c r="A3232" s="1" t="s">
        <v>3929</v>
      </c>
      <c r="B3232" t="s">
        <v>10470</v>
      </c>
    </row>
    <row r="3233" spans="1:2">
      <c r="A3233" s="1" t="s">
        <v>3930</v>
      </c>
      <c r="B3233" t="s">
        <v>10256</v>
      </c>
    </row>
    <row r="3234" spans="1:2">
      <c r="A3234" s="1" t="s">
        <v>91</v>
      </c>
      <c r="B3234" t="s">
        <v>10286</v>
      </c>
    </row>
    <row r="3235" spans="1:2">
      <c r="A3235" s="1" t="s">
        <v>3931</v>
      </c>
      <c r="B3235" t="s">
        <v>10224</v>
      </c>
    </row>
    <row r="3236" spans="1:2">
      <c r="A3236" s="1" t="s">
        <v>3932</v>
      </c>
      <c r="B3236" t="s">
        <v>10282</v>
      </c>
    </row>
    <row r="3237" spans="1:2">
      <c r="A3237" s="1" t="s">
        <v>3933</v>
      </c>
      <c r="B3237" t="s">
        <v>10371</v>
      </c>
    </row>
    <row r="3238" spans="1:2">
      <c r="A3238" s="1" t="s">
        <v>3934</v>
      </c>
      <c r="B3238" t="s">
        <v>10471</v>
      </c>
    </row>
    <row r="3239" spans="1:2">
      <c r="A3239" s="1" t="s">
        <v>745</v>
      </c>
      <c r="B3239" t="s">
        <v>10257</v>
      </c>
    </row>
    <row r="3240" spans="1:2">
      <c r="A3240" s="1" t="s">
        <v>3935</v>
      </c>
      <c r="B3240" t="s">
        <v>10283</v>
      </c>
    </row>
    <row r="3241" spans="1:2">
      <c r="A3241" s="1" t="s">
        <v>3936</v>
      </c>
      <c r="B3241" t="s">
        <v>10413</v>
      </c>
    </row>
    <row r="3242" spans="1:2">
      <c r="A3242" s="1" t="s">
        <v>3937</v>
      </c>
      <c r="B3242" t="s">
        <v>10287</v>
      </c>
    </row>
    <row r="3243" spans="1:2">
      <c r="A3243" s="1" t="s">
        <v>3938</v>
      </c>
      <c r="B3243" t="s">
        <v>10224</v>
      </c>
    </row>
    <row r="3244" spans="1:2">
      <c r="A3244" s="1" t="s">
        <v>3939</v>
      </c>
      <c r="B3244" t="s">
        <v>10265</v>
      </c>
    </row>
    <row r="3245" spans="1:2">
      <c r="A3245" s="1" t="s">
        <v>3940</v>
      </c>
      <c r="B3245" t="s">
        <v>10405</v>
      </c>
    </row>
    <row r="3246" spans="1:2">
      <c r="A3246" s="1" t="s">
        <v>3941</v>
      </c>
      <c r="B3246" t="s">
        <v>10269</v>
      </c>
    </row>
    <row r="3247" spans="1:2">
      <c r="A3247" s="1" t="s">
        <v>3942</v>
      </c>
      <c r="B3247" t="s">
        <v>10234</v>
      </c>
    </row>
    <row r="3248" spans="1:2">
      <c r="A3248" s="1" t="s">
        <v>3943</v>
      </c>
      <c r="B3248" t="s">
        <v>10240</v>
      </c>
    </row>
    <row r="3249" spans="1:2">
      <c r="A3249" s="1" t="s">
        <v>3944</v>
      </c>
      <c r="B3249" t="s">
        <v>10234</v>
      </c>
    </row>
    <row r="3250" spans="1:2">
      <c r="A3250" s="1" t="s">
        <v>3945</v>
      </c>
      <c r="B3250" t="s">
        <v>10229</v>
      </c>
    </row>
    <row r="3251" spans="1:2">
      <c r="A3251" s="1" t="s">
        <v>3946</v>
      </c>
      <c r="B3251" t="s">
        <v>10256</v>
      </c>
    </row>
    <row r="3252" spans="1:2">
      <c r="A3252" s="1" t="s">
        <v>202</v>
      </c>
      <c r="B3252" t="s">
        <v>10366</v>
      </c>
    </row>
    <row r="3253" spans="1:2">
      <c r="A3253" s="1" t="s">
        <v>413</v>
      </c>
      <c r="B3253" t="s">
        <v>10353</v>
      </c>
    </row>
    <row r="3254" spans="1:2">
      <c r="A3254" s="1" t="s">
        <v>106</v>
      </c>
      <c r="B3254" t="s">
        <v>10262</v>
      </c>
    </row>
    <row r="3255" spans="1:2">
      <c r="A3255" s="1" t="s">
        <v>3947</v>
      </c>
      <c r="B3255" t="s">
        <v>10323</v>
      </c>
    </row>
    <row r="3256" spans="1:2">
      <c r="A3256" s="1" t="s">
        <v>3948</v>
      </c>
      <c r="B3256" t="s">
        <v>10357</v>
      </c>
    </row>
    <row r="3257" spans="1:2">
      <c r="A3257" s="1" t="s">
        <v>3949</v>
      </c>
      <c r="B3257" t="s">
        <v>10230</v>
      </c>
    </row>
    <row r="3258" spans="1:2">
      <c r="A3258" s="1" t="s">
        <v>562</v>
      </c>
      <c r="B3258" t="s">
        <v>10324</v>
      </c>
    </row>
    <row r="3259" spans="1:2">
      <c r="A3259" s="1" t="s">
        <v>3950</v>
      </c>
      <c r="B3259" t="s">
        <v>10224</v>
      </c>
    </row>
    <row r="3260" spans="1:2">
      <c r="A3260" s="1" t="s">
        <v>3951</v>
      </c>
      <c r="B3260" t="s">
        <v>10287</v>
      </c>
    </row>
    <row r="3261" spans="1:2">
      <c r="A3261" s="1" t="s">
        <v>3952</v>
      </c>
      <c r="B3261" t="s">
        <v>10286</v>
      </c>
    </row>
    <row r="3262" spans="1:2">
      <c r="A3262" s="1" t="s">
        <v>3953</v>
      </c>
      <c r="B3262" t="s">
        <v>10224</v>
      </c>
    </row>
    <row r="3263" spans="1:2">
      <c r="A3263" s="1" t="s">
        <v>3954</v>
      </c>
      <c r="B3263" t="s">
        <v>10287</v>
      </c>
    </row>
    <row r="3264" spans="1:2">
      <c r="A3264" s="1" t="s">
        <v>3955</v>
      </c>
      <c r="B3264" t="s">
        <v>10234</v>
      </c>
    </row>
    <row r="3265" spans="1:2">
      <c r="A3265" s="1" t="s">
        <v>301</v>
      </c>
      <c r="B3265" t="s">
        <v>10411</v>
      </c>
    </row>
    <row r="3266" spans="1:2">
      <c r="A3266" s="1" t="s">
        <v>3956</v>
      </c>
      <c r="B3266" t="s">
        <v>10240</v>
      </c>
    </row>
    <row r="3267" spans="1:2">
      <c r="A3267" s="1" t="s">
        <v>3957</v>
      </c>
      <c r="B3267" t="s">
        <v>10281</v>
      </c>
    </row>
    <row r="3268" spans="1:2">
      <c r="A3268" s="1" t="s">
        <v>3958</v>
      </c>
      <c r="B3268" t="s">
        <v>10224</v>
      </c>
    </row>
    <row r="3269" spans="1:2">
      <c r="A3269" s="1" t="s">
        <v>3959</v>
      </c>
      <c r="B3269" t="s">
        <v>10453</v>
      </c>
    </row>
    <row r="3270" spans="1:2">
      <c r="A3270" s="1" t="s">
        <v>3960</v>
      </c>
      <c r="B3270" t="s">
        <v>10472</v>
      </c>
    </row>
    <row r="3271" spans="1:2">
      <c r="A3271" s="1" t="s">
        <v>3961</v>
      </c>
      <c r="B3271" t="s">
        <v>10431</v>
      </c>
    </row>
    <row r="3272" spans="1:2">
      <c r="A3272" s="1" t="s">
        <v>3962</v>
      </c>
      <c r="B3272" t="s">
        <v>10234</v>
      </c>
    </row>
    <row r="3273" spans="1:2">
      <c r="A3273" s="1" t="s">
        <v>3963</v>
      </c>
      <c r="B3273" t="s">
        <v>10473</v>
      </c>
    </row>
    <row r="3274" spans="1:2">
      <c r="A3274" s="1" t="s">
        <v>3964</v>
      </c>
      <c r="B3274" t="s">
        <v>10250</v>
      </c>
    </row>
    <row r="3275" spans="1:2">
      <c r="A3275" s="1" t="s">
        <v>3965</v>
      </c>
      <c r="B3275" t="s">
        <v>10357</v>
      </c>
    </row>
    <row r="3276" spans="1:2">
      <c r="A3276" s="1" t="s">
        <v>637</v>
      </c>
      <c r="B3276" t="s">
        <v>10234</v>
      </c>
    </row>
    <row r="3277" spans="1:2">
      <c r="A3277" s="1" t="s">
        <v>3966</v>
      </c>
      <c r="B3277" t="s">
        <v>10283</v>
      </c>
    </row>
    <row r="3278" spans="1:2">
      <c r="A3278" s="1" t="s">
        <v>3967</v>
      </c>
      <c r="B3278" t="s">
        <v>10347</v>
      </c>
    </row>
    <row r="3279" spans="1:2">
      <c r="A3279" s="1" t="s">
        <v>551</v>
      </c>
      <c r="B3279" t="s">
        <v>10474</v>
      </c>
    </row>
    <row r="3280" spans="1:2">
      <c r="A3280" s="1" t="s">
        <v>3968</v>
      </c>
      <c r="B3280" t="s">
        <v>10271</v>
      </c>
    </row>
    <row r="3281" spans="1:2">
      <c r="A3281" s="1" t="s">
        <v>3969</v>
      </c>
      <c r="B3281" t="s">
        <v>10229</v>
      </c>
    </row>
    <row r="3282" spans="1:2">
      <c r="A3282" s="1" t="s">
        <v>3970</v>
      </c>
      <c r="B3282" t="s">
        <v>10286</v>
      </c>
    </row>
    <row r="3283" spans="1:2">
      <c r="A3283" s="1" t="s">
        <v>3971</v>
      </c>
      <c r="B3283" t="s">
        <v>10224</v>
      </c>
    </row>
    <row r="3284" spans="1:2">
      <c r="A3284" s="1" t="s">
        <v>3972</v>
      </c>
      <c r="B3284" t="s">
        <v>10370</v>
      </c>
    </row>
    <row r="3285" spans="1:2">
      <c r="A3285" s="1" t="s">
        <v>3973</v>
      </c>
      <c r="B3285" t="s">
        <v>10287</v>
      </c>
    </row>
    <row r="3286" spans="1:2">
      <c r="A3286" s="1" t="s">
        <v>3974</v>
      </c>
      <c r="B3286" t="s">
        <v>10255</v>
      </c>
    </row>
    <row r="3287" spans="1:2">
      <c r="A3287" s="1" t="s">
        <v>3975</v>
      </c>
      <c r="B3287" t="s">
        <v>10224</v>
      </c>
    </row>
    <row r="3288" spans="1:2">
      <c r="A3288" s="1" t="s">
        <v>3976</v>
      </c>
      <c r="B3288" t="s">
        <v>10396</v>
      </c>
    </row>
    <row r="3289" spans="1:2">
      <c r="A3289" s="1" t="s">
        <v>33</v>
      </c>
      <c r="B3289" t="s">
        <v>10258</v>
      </c>
    </row>
    <row r="3290" spans="1:2">
      <c r="A3290" s="1" t="s">
        <v>3977</v>
      </c>
      <c r="B3290" t="s">
        <v>10283</v>
      </c>
    </row>
    <row r="3291" spans="1:2">
      <c r="A3291" s="1" t="s">
        <v>3978</v>
      </c>
      <c r="B3291" t="s">
        <v>10310</v>
      </c>
    </row>
    <row r="3292" spans="1:2">
      <c r="A3292" s="1" t="s">
        <v>3979</v>
      </c>
      <c r="B3292" t="s">
        <v>10284</v>
      </c>
    </row>
    <row r="3293" spans="1:2">
      <c r="A3293" s="1" t="s">
        <v>3980</v>
      </c>
      <c r="B3293" t="s">
        <v>10305</v>
      </c>
    </row>
    <row r="3294" spans="1:2">
      <c r="A3294" s="1" t="s">
        <v>3981</v>
      </c>
      <c r="B3294" t="s">
        <v>10412</v>
      </c>
    </row>
    <row r="3295" spans="1:2">
      <c r="A3295" s="1" t="s">
        <v>3982</v>
      </c>
      <c r="B3295" t="s">
        <v>10262</v>
      </c>
    </row>
    <row r="3296" spans="1:2">
      <c r="A3296" s="1" t="s">
        <v>3983</v>
      </c>
      <c r="B3296" t="s">
        <v>10266</v>
      </c>
    </row>
    <row r="3297" spans="1:2">
      <c r="A3297" s="1" t="s">
        <v>510</v>
      </c>
      <c r="B3297" t="s">
        <v>10316</v>
      </c>
    </row>
    <row r="3298" spans="1:2">
      <c r="A3298" s="1" t="s">
        <v>629</v>
      </c>
      <c r="B3298" t="s">
        <v>10234</v>
      </c>
    </row>
    <row r="3299" spans="1:2">
      <c r="A3299" s="1" t="s">
        <v>3984</v>
      </c>
      <c r="B3299" t="s">
        <v>901</v>
      </c>
    </row>
    <row r="3300" spans="1:2">
      <c r="A3300" s="1" t="s">
        <v>3985</v>
      </c>
      <c r="B3300" t="s">
        <v>10224</v>
      </c>
    </row>
    <row r="3301" spans="1:2">
      <c r="A3301" s="1" t="s">
        <v>3986</v>
      </c>
      <c r="B3301" t="s">
        <v>10224</v>
      </c>
    </row>
    <row r="3302" spans="1:2">
      <c r="A3302" s="1" t="s">
        <v>3987</v>
      </c>
      <c r="B3302" t="s">
        <v>10256</v>
      </c>
    </row>
    <row r="3303" spans="1:2">
      <c r="A3303" s="1" t="s">
        <v>3988</v>
      </c>
      <c r="B3303" t="s">
        <v>10385</v>
      </c>
    </row>
    <row r="3304" spans="1:2">
      <c r="A3304" s="1" t="s">
        <v>3989</v>
      </c>
      <c r="B3304" t="s">
        <v>10225</v>
      </c>
    </row>
    <row r="3305" spans="1:2">
      <c r="A3305" s="1" t="s">
        <v>3990</v>
      </c>
      <c r="B3305" t="s">
        <v>10385</v>
      </c>
    </row>
    <row r="3306" spans="1:2">
      <c r="A3306" s="1" t="s">
        <v>232</v>
      </c>
      <c r="B3306" t="s">
        <v>10305</v>
      </c>
    </row>
    <row r="3307" spans="1:2">
      <c r="A3307" s="1" t="s">
        <v>3991</v>
      </c>
      <c r="B3307" t="s">
        <v>10395</v>
      </c>
    </row>
    <row r="3308" spans="1:2">
      <c r="A3308" s="1" t="s">
        <v>318</v>
      </c>
      <c r="B3308" t="s">
        <v>10228</v>
      </c>
    </row>
    <row r="3309" spans="1:2">
      <c r="A3309" s="1" t="s">
        <v>3992</v>
      </c>
      <c r="B3309" t="s">
        <v>10261</v>
      </c>
    </row>
    <row r="3310" spans="1:2">
      <c r="A3310" s="1" t="s">
        <v>496</v>
      </c>
      <c r="B3310" t="s">
        <v>10314</v>
      </c>
    </row>
    <row r="3311" spans="1:2">
      <c r="A3311" s="1" t="s">
        <v>3993</v>
      </c>
      <c r="B3311" t="s">
        <v>10266</v>
      </c>
    </row>
    <row r="3312" spans="1:2">
      <c r="A3312" s="1" t="s">
        <v>3994</v>
      </c>
      <c r="B3312" t="s">
        <v>10328</v>
      </c>
    </row>
    <row r="3313" spans="1:2">
      <c r="A3313" s="1" t="s">
        <v>3995</v>
      </c>
      <c r="B3313" t="s">
        <v>10234</v>
      </c>
    </row>
    <row r="3314" spans="1:2">
      <c r="A3314" s="1" t="s">
        <v>3996</v>
      </c>
      <c r="B3314" t="s">
        <v>10346</v>
      </c>
    </row>
    <row r="3315" spans="1:2">
      <c r="A3315" s="1" t="s">
        <v>776</v>
      </c>
      <c r="B3315" t="s">
        <v>10325</v>
      </c>
    </row>
    <row r="3316" spans="1:2">
      <c r="A3316" s="1" t="s">
        <v>3997</v>
      </c>
      <c r="B3316" t="s">
        <v>10373</v>
      </c>
    </row>
    <row r="3317" spans="1:2">
      <c r="A3317" s="1" t="s">
        <v>3998</v>
      </c>
      <c r="B3317" t="s">
        <v>10302</v>
      </c>
    </row>
    <row r="3318" spans="1:2">
      <c r="A3318" s="1" t="s">
        <v>3999</v>
      </c>
      <c r="B3318" t="s">
        <v>10234</v>
      </c>
    </row>
    <row r="3319" spans="1:2">
      <c r="A3319" s="1" t="s">
        <v>4000</v>
      </c>
      <c r="B3319" t="s">
        <v>10413</v>
      </c>
    </row>
    <row r="3320" spans="1:2">
      <c r="A3320" s="1" t="s">
        <v>638</v>
      </c>
      <c r="B3320" t="s">
        <v>10286</v>
      </c>
    </row>
    <row r="3321" spans="1:2">
      <c r="A3321" s="1" t="s">
        <v>4001</v>
      </c>
      <c r="B3321" t="s">
        <v>10256</v>
      </c>
    </row>
    <row r="3322" spans="1:2">
      <c r="A3322" s="1" t="s">
        <v>4002</v>
      </c>
      <c r="B3322" t="s">
        <v>10277</v>
      </c>
    </row>
    <row r="3323" spans="1:2">
      <c r="A3323" s="1" t="s">
        <v>4003</v>
      </c>
      <c r="B3323" t="s">
        <v>10229</v>
      </c>
    </row>
    <row r="3324" spans="1:2">
      <c r="A3324" s="1" t="s">
        <v>4004</v>
      </c>
      <c r="B3324" t="s">
        <v>10371</v>
      </c>
    </row>
    <row r="3325" spans="1:2">
      <c r="A3325" s="1" t="s">
        <v>4005</v>
      </c>
      <c r="B3325" t="s">
        <v>10282</v>
      </c>
    </row>
    <row r="3326" spans="1:2">
      <c r="A3326" s="1" t="s">
        <v>4006</v>
      </c>
      <c r="B3326" t="s">
        <v>10276</v>
      </c>
    </row>
    <row r="3327" spans="1:2">
      <c r="A3327" s="1" t="s">
        <v>197</v>
      </c>
      <c r="B3327" t="s">
        <v>10475</v>
      </c>
    </row>
    <row r="3328" spans="1:2">
      <c r="A3328" s="1" t="s">
        <v>647</v>
      </c>
      <c r="B3328" t="s">
        <v>10277</v>
      </c>
    </row>
    <row r="3329" spans="1:2">
      <c r="A3329" s="1" t="s">
        <v>4007</v>
      </c>
      <c r="B3329" t="s">
        <v>10230</v>
      </c>
    </row>
    <row r="3330" spans="1:2">
      <c r="A3330" s="1" t="s">
        <v>4008</v>
      </c>
      <c r="B3330" t="s">
        <v>10270</v>
      </c>
    </row>
    <row r="3331" spans="1:2">
      <c r="A3331" s="1" t="s">
        <v>4009</v>
      </c>
      <c r="B3331" t="s">
        <v>10290</v>
      </c>
    </row>
    <row r="3332" spans="1:2">
      <c r="A3332" s="1" t="s">
        <v>4010</v>
      </c>
      <c r="B3332" t="s">
        <v>10261</v>
      </c>
    </row>
    <row r="3333" spans="1:2">
      <c r="A3333" s="1" t="s">
        <v>4011</v>
      </c>
      <c r="B3333" t="s">
        <v>10425</v>
      </c>
    </row>
    <row r="3334" spans="1:2">
      <c r="A3334" s="1" t="s">
        <v>4012</v>
      </c>
      <c r="B3334" t="s">
        <v>10343</v>
      </c>
    </row>
    <row r="3335" spans="1:2">
      <c r="A3335" s="1" t="s">
        <v>4013</v>
      </c>
      <c r="B3335" t="s">
        <v>10425</v>
      </c>
    </row>
    <row r="3336" spans="1:2">
      <c r="A3336" s="1" t="s">
        <v>228</v>
      </c>
      <c r="B3336" t="s">
        <v>10283</v>
      </c>
    </row>
    <row r="3337" spans="1:2">
      <c r="A3337" s="1" t="s">
        <v>345</v>
      </c>
      <c r="B3337" t="s">
        <v>10364</v>
      </c>
    </row>
    <row r="3338" spans="1:2">
      <c r="A3338" s="1" t="s">
        <v>27</v>
      </c>
      <c r="B3338" t="s">
        <v>10366</v>
      </c>
    </row>
    <row r="3339" spans="1:2">
      <c r="A3339" s="1" t="s">
        <v>4014</v>
      </c>
      <c r="B3339" t="s">
        <v>10224</v>
      </c>
    </row>
    <row r="3340" spans="1:2">
      <c r="A3340" s="1" t="s">
        <v>4015</v>
      </c>
      <c r="B3340" t="s">
        <v>10225</v>
      </c>
    </row>
    <row r="3341" spans="1:2">
      <c r="A3341" s="1" t="s">
        <v>4016</v>
      </c>
      <c r="B3341" t="s">
        <v>10272</v>
      </c>
    </row>
    <row r="3342" spans="1:2">
      <c r="A3342" s="1" t="s">
        <v>4017</v>
      </c>
      <c r="B3342" t="s">
        <v>10262</v>
      </c>
    </row>
    <row r="3343" spans="1:2">
      <c r="A3343" s="1" t="s">
        <v>4018</v>
      </c>
      <c r="B3343" t="s">
        <v>10239</v>
      </c>
    </row>
    <row r="3344" spans="1:2">
      <c r="A3344" s="1" t="s">
        <v>4019</v>
      </c>
      <c r="B3344" t="s">
        <v>10283</v>
      </c>
    </row>
    <row r="3345" spans="1:2">
      <c r="A3345" s="1" t="s">
        <v>4020</v>
      </c>
      <c r="B3345" t="s">
        <v>10286</v>
      </c>
    </row>
    <row r="3346" spans="1:2">
      <c r="A3346" s="1" t="s">
        <v>295</v>
      </c>
      <c r="B3346" t="s">
        <v>10267</v>
      </c>
    </row>
    <row r="3347" spans="1:2">
      <c r="A3347" s="1" t="s">
        <v>119</v>
      </c>
      <c r="B3347" t="s">
        <v>10476</v>
      </c>
    </row>
    <row r="3348" spans="1:2">
      <c r="A3348" s="1" t="s">
        <v>4021</v>
      </c>
      <c r="B3348" t="s">
        <v>10276</v>
      </c>
    </row>
    <row r="3349" spans="1:2">
      <c r="A3349" s="1" t="s">
        <v>4022</v>
      </c>
      <c r="B3349" t="s">
        <v>10345</v>
      </c>
    </row>
    <row r="3350" spans="1:2">
      <c r="A3350" s="1" t="s">
        <v>4023</v>
      </c>
      <c r="B3350" t="s">
        <v>10389</v>
      </c>
    </row>
    <row r="3351" spans="1:2">
      <c r="A3351" s="1" t="s">
        <v>4024</v>
      </c>
      <c r="B3351" t="s">
        <v>10425</v>
      </c>
    </row>
    <row r="3352" spans="1:2">
      <c r="A3352" s="1" t="s">
        <v>4025</v>
      </c>
      <c r="B3352" t="s">
        <v>10357</v>
      </c>
    </row>
    <row r="3353" spans="1:2">
      <c r="A3353" s="1" t="s">
        <v>4026</v>
      </c>
      <c r="B3353" t="s">
        <v>10382</v>
      </c>
    </row>
    <row r="3354" spans="1:2">
      <c r="A3354" s="1" t="s">
        <v>4027</v>
      </c>
      <c r="B3354" t="s">
        <v>10347</v>
      </c>
    </row>
    <row r="3355" spans="1:2">
      <c r="A3355" s="1" t="s">
        <v>4028</v>
      </c>
      <c r="B3355" t="s">
        <v>901</v>
      </c>
    </row>
    <row r="3356" spans="1:2">
      <c r="A3356" s="1" t="s">
        <v>4029</v>
      </c>
      <c r="B3356" t="s">
        <v>10231</v>
      </c>
    </row>
    <row r="3357" spans="1:2">
      <c r="A3357" s="1" t="s">
        <v>4030</v>
      </c>
      <c r="B3357" t="s">
        <v>10284</v>
      </c>
    </row>
    <row r="3358" spans="1:2">
      <c r="A3358" s="1" t="s">
        <v>4031</v>
      </c>
      <c r="B3358" t="s">
        <v>901</v>
      </c>
    </row>
    <row r="3359" spans="1:2">
      <c r="A3359" s="1" t="s">
        <v>4032</v>
      </c>
      <c r="B3359" t="s">
        <v>10302</v>
      </c>
    </row>
    <row r="3360" spans="1:2">
      <c r="A3360" s="1" t="s">
        <v>4033</v>
      </c>
      <c r="B3360" t="s">
        <v>10224</v>
      </c>
    </row>
    <row r="3361" spans="1:2">
      <c r="A3361" s="1" t="s">
        <v>4034</v>
      </c>
      <c r="B3361" t="s">
        <v>10223</v>
      </c>
    </row>
    <row r="3362" spans="1:2">
      <c r="A3362" s="1" t="s">
        <v>4035</v>
      </c>
      <c r="B3362" t="s">
        <v>901</v>
      </c>
    </row>
    <row r="3363" spans="1:2">
      <c r="A3363" s="1" t="s">
        <v>4036</v>
      </c>
      <c r="B3363" t="s">
        <v>10357</v>
      </c>
    </row>
    <row r="3364" spans="1:2">
      <c r="A3364" s="1" t="s">
        <v>4037</v>
      </c>
      <c r="B3364" t="s">
        <v>10225</v>
      </c>
    </row>
    <row r="3365" spans="1:2">
      <c r="A3365" s="1" t="s">
        <v>4038</v>
      </c>
      <c r="B3365" t="s">
        <v>10239</v>
      </c>
    </row>
    <row r="3366" spans="1:2">
      <c r="A3366" s="1" t="s">
        <v>4039</v>
      </c>
      <c r="B3366" t="s">
        <v>10460</v>
      </c>
    </row>
    <row r="3367" spans="1:2">
      <c r="A3367" s="1" t="s">
        <v>4040</v>
      </c>
      <c r="B3367" t="s">
        <v>10225</v>
      </c>
    </row>
    <row r="3368" spans="1:2">
      <c r="A3368" s="1" t="s">
        <v>29</v>
      </c>
      <c r="B3368" t="s">
        <v>10322</v>
      </c>
    </row>
    <row r="3369" spans="1:2">
      <c r="A3369" s="1" t="s">
        <v>4041</v>
      </c>
      <c r="B3369" t="s">
        <v>10224</v>
      </c>
    </row>
    <row r="3370" spans="1:2">
      <c r="A3370" s="1" t="s">
        <v>4042</v>
      </c>
      <c r="B3370" t="s">
        <v>10234</v>
      </c>
    </row>
    <row r="3371" spans="1:2">
      <c r="A3371" s="1" t="s">
        <v>4043</v>
      </c>
      <c r="B3371" t="s">
        <v>10415</v>
      </c>
    </row>
    <row r="3372" spans="1:2">
      <c r="A3372" s="1" t="s">
        <v>121</v>
      </c>
      <c r="B3372" t="s">
        <v>10277</v>
      </c>
    </row>
    <row r="3373" spans="1:2">
      <c r="A3373" s="1" t="s">
        <v>699</v>
      </c>
      <c r="B3373" t="s">
        <v>10239</v>
      </c>
    </row>
    <row r="3374" spans="1:2">
      <c r="A3374" s="1" t="s">
        <v>4044</v>
      </c>
      <c r="B3374" t="s">
        <v>10366</v>
      </c>
    </row>
    <row r="3375" spans="1:2">
      <c r="A3375" s="1" t="s">
        <v>4045</v>
      </c>
      <c r="B3375" t="s">
        <v>10266</v>
      </c>
    </row>
    <row r="3376" spans="1:2">
      <c r="A3376" s="1" t="s">
        <v>277</v>
      </c>
      <c r="B3376" t="s">
        <v>10262</v>
      </c>
    </row>
    <row r="3377" spans="1:2">
      <c r="A3377" s="1" t="s">
        <v>4046</v>
      </c>
      <c r="B3377" t="s">
        <v>10269</v>
      </c>
    </row>
    <row r="3378" spans="1:2">
      <c r="A3378" s="1" t="s">
        <v>4047</v>
      </c>
      <c r="B3378" t="s">
        <v>10240</v>
      </c>
    </row>
    <row r="3379" spans="1:2">
      <c r="A3379" s="1" t="s">
        <v>4048</v>
      </c>
      <c r="B3379" t="s">
        <v>10241</v>
      </c>
    </row>
    <row r="3380" spans="1:2">
      <c r="A3380" s="1" t="s">
        <v>4049</v>
      </c>
      <c r="B3380" t="s">
        <v>10291</v>
      </c>
    </row>
    <row r="3381" spans="1:2">
      <c r="A3381" s="1" t="s">
        <v>4050</v>
      </c>
      <c r="B3381" t="s">
        <v>10248</v>
      </c>
    </row>
    <row r="3382" spans="1:2">
      <c r="A3382" s="1" t="s">
        <v>555</v>
      </c>
      <c r="B3382" t="s">
        <v>10277</v>
      </c>
    </row>
    <row r="3383" spans="1:2">
      <c r="A3383" s="1" t="s">
        <v>4051</v>
      </c>
      <c r="B3383" t="s">
        <v>901</v>
      </c>
    </row>
    <row r="3384" spans="1:2">
      <c r="A3384" s="1" t="s">
        <v>4052</v>
      </c>
      <c r="B3384" t="s">
        <v>10277</v>
      </c>
    </row>
    <row r="3385" spans="1:2">
      <c r="A3385" s="1" t="s">
        <v>4053</v>
      </c>
      <c r="B3385" t="s">
        <v>10224</v>
      </c>
    </row>
    <row r="3386" spans="1:2">
      <c r="A3386" s="1" t="s">
        <v>590</v>
      </c>
      <c r="B3386" t="s">
        <v>10477</v>
      </c>
    </row>
    <row r="3387" spans="1:2">
      <c r="A3387" s="1" t="s">
        <v>4054</v>
      </c>
      <c r="B3387" t="s">
        <v>10452</v>
      </c>
    </row>
    <row r="3388" spans="1:2">
      <c r="A3388" s="1" t="s">
        <v>4055</v>
      </c>
      <c r="B3388" t="s">
        <v>10282</v>
      </c>
    </row>
    <row r="3389" spans="1:2">
      <c r="A3389" s="1" t="s">
        <v>4056</v>
      </c>
      <c r="B3389" t="s">
        <v>10323</v>
      </c>
    </row>
    <row r="3390" spans="1:2">
      <c r="A3390" s="1" t="s">
        <v>4057</v>
      </c>
      <c r="B3390" t="s">
        <v>10338</v>
      </c>
    </row>
    <row r="3391" spans="1:2">
      <c r="A3391" s="1" t="s">
        <v>4058</v>
      </c>
      <c r="B3391" t="s">
        <v>10290</v>
      </c>
    </row>
    <row r="3392" spans="1:2">
      <c r="A3392" s="1" t="s">
        <v>4059</v>
      </c>
      <c r="B3392" t="s">
        <v>10261</v>
      </c>
    </row>
    <row r="3393" spans="1:2">
      <c r="A3393" s="1" t="s">
        <v>4060</v>
      </c>
      <c r="B3393" t="s">
        <v>901</v>
      </c>
    </row>
    <row r="3394" spans="1:2">
      <c r="A3394" s="1" t="s">
        <v>4061</v>
      </c>
      <c r="B3394" t="s">
        <v>10361</v>
      </c>
    </row>
    <row r="3395" spans="1:2">
      <c r="A3395" s="1" t="s">
        <v>4062</v>
      </c>
      <c r="B3395" t="s">
        <v>10243</v>
      </c>
    </row>
    <row r="3396" spans="1:2">
      <c r="A3396" s="1" t="s">
        <v>421</v>
      </c>
      <c r="B3396" t="s">
        <v>10277</v>
      </c>
    </row>
    <row r="3397" spans="1:2">
      <c r="A3397" s="1" t="s">
        <v>4063</v>
      </c>
      <c r="B3397" t="s">
        <v>10223</v>
      </c>
    </row>
    <row r="3398" spans="1:2">
      <c r="A3398" s="1" t="s">
        <v>4064</v>
      </c>
      <c r="B3398" t="s">
        <v>10241</v>
      </c>
    </row>
    <row r="3399" spans="1:2">
      <c r="A3399" s="1" t="s">
        <v>4065</v>
      </c>
      <c r="B3399" t="s">
        <v>10240</v>
      </c>
    </row>
    <row r="3400" spans="1:2">
      <c r="A3400" s="1" t="s">
        <v>4066</v>
      </c>
      <c r="B3400" t="s">
        <v>901</v>
      </c>
    </row>
    <row r="3401" spans="1:2">
      <c r="A3401" s="1" t="s">
        <v>546</v>
      </c>
      <c r="B3401" t="s">
        <v>10278</v>
      </c>
    </row>
    <row r="3402" spans="1:2">
      <c r="A3402" s="1" t="s">
        <v>468</v>
      </c>
      <c r="B3402" t="s">
        <v>10322</v>
      </c>
    </row>
    <row r="3403" spans="1:2">
      <c r="A3403" s="1" t="s">
        <v>609</v>
      </c>
      <c r="B3403" t="s">
        <v>10229</v>
      </c>
    </row>
    <row r="3404" spans="1:2">
      <c r="A3404" s="1" t="s">
        <v>4067</v>
      </c>
      <c r="B3404" t="s">
        <v>10345</v>
      </c>
    </row>
    <row r="3405" spans="1:2">
      <c r="A3405" s="1" t="s">
        <v>4068</v>
      </c>
      <c r="B3405" t="s">
        <v>10224</v>
      </c>
    </row>
    <row r="3406" spans="1:2">
      <c r="A3406" s="1" t="s">
        <v>4069</v>
      </c>
      <c r="B3406" t="s">
        <v>10232</v>
      </c>
    </row>
    <row r="3407" spans="1:2">
      <c r="A3407" s="1" t="s">
        <v>4070</v>
      </c>
      <c r="B3407" t="s">
        <v>10286</v>
      </c>
    </row>
    <row r="3408" spans="1:2">
      <c r="A3408" s="1" t="s">
        <v>4071</v>
      </c>
      <c r="B3408" t="s">
        <v>10240</v>
      </c>
    </row>
    <row r="3409" spans="1:2">
      <c r="A3409" s="1" t="s">
        <v>383</v>
      </c>
      <c r="B3409" t="s">
        <v>10286</v>
      </c>
    </row>
    <row r="3410" spans="1:2">
      <c r="A3410" s="1" t="s">
        <v>4072</v>
      </c>
      <c r="B3410" t="s">
        <v>901</v>
      </c>
    </row>
    <row r="3411" spans="1:2">
      <c r="A3411" s="1" t="s">
        <v>4073</v>
      </c>
      <c r="B3411" t="s">
        <v>10374</v>
      </c>
    </row>
    <row r="3412" spans="1:2">
      <c r="A3412" s="1" t="s">
        <v>4074</v>
      </c>
      <c r="B3412" t="s">
        <v>10223</v>
      </c>
    </row>
    <row r="3413" spans="1:2">
      <c r="A3413" s="1" t="s">
        <v>335</v>
      </c>
      <c r="B3413" t="s">
        <v>10222</v>
      </c>
    </row>
    <row r="3414" spans="1:2">
      <c r="A3414" s="1" t="s">
        <v>4075</v>
      </c>
      <c r="B3414" t="s">
        <v>10260</v>
      </c>
    </row>
    <row r="3415" spans="1:2">
      <c r="A3415" s="1" t="s">
        <v>4076</v>
      </c>
      <c r="B3415" t="s">
        <v>10224</v>
      </c>
    </row>
    <row r="3416" spans="1:2">
      <c r="A3416" s="1" t="s">
        <v>4077</v>
      </c>
      <c r="B3416" t="s">
        <v>10387</v>
      </c>
    </row>
    <row r="3417" spans="1:2">
      <c r="A3417" s="1" t="s">
        <v>4078</v>
      </c>
      <c r="B3417" t="s">
        <v>10224</v>
      </c>
    </row>
    <row r="3418" spans="1:2">
      <c r="A3418" s="1" t="s">
        <v>4079</v>
      </c>
      <c r="B3418" t="s">
        <v>10325</v>
      </c>
    </row>
    <row r="3419" spans="1:2">
      <c r="A3419" s="1" t="s">
        <v>4080</v>
      </c>
      <c r="B3419" t="s">
        <v>10239</v>
      </c>
    </row>
    <row r="3420" spans="1:2">
      <c r="A3420" s="1" t="s">
        <v>4081</v>
      </c>
      <c r="B3420" t="s">
        <v>10392</v>
      </c>
    </row>
    <row r="3421" spans="1:2">
      <c r="A3421" s="1" t="s">
        <v>4082</v>
      </c>
      <c r="B3421" t="s">
        <v>10240</v>
      </c>
    </row>
    <row r="3422" spans="1:2">
      <c r="A3422" s="1" t="s">
        <v>4083</v>
      </c>
      <c r="B3422" t="s">
        <v>10343</v>
      </c>
    </row>
    <row r="3423" spans="1:2">
      <c r="A3423" s="1" t="s">
        <v>4084</v>
      </c>
      <c r="B3423" t="s">
        <v>10224</v>
      </c>
    </row>
    <row r="3424" spans="1:2">
      <c r="A3424" s="1" t="s">
        <v>4085</v>
      </c>
      <c r="B3424" t="s">
        <v>10253</v>
      </c>
    </row>
    <row r="3425" spans="1:2">
      <c r="A3425" s="1" t="s">
        <v>4086</v>
      </c>
      <c r="B3425" t="s">
        <v>10224</v>
      </c>
    </row>
    <row r="3426" spans="1:2">
      <c r="A3426" s="1" t="s">
        <v>4087</v>
      </c>
      <c r="B3426" t="s">
        <v>10240</v>
      </c>
    </row>
    <row r="3427" spans="1:2">
      <c r="A3427" s="1" t="s">
        <v>209</v>
      </c>
      <c r="B3427" t="s">
        <v>10336</v>
      </c>
    </row>
    <row r="3428" spans="1:2">
      <c r="A3428" s="1" t="s">
        <v>168</v>
      </c>
      <c r="B3428" t="s">
        <v>10298</v>
      </c>
    </row>
    <row r="3429" spans="1:2">
      <c r="A3429" s="1" t="s">
        <v>4088</v>
      </c>
      <c r="B3429" t="s">
        <v>10234</v>
      </c>
    </row>
    <row r="3430" spans="1:2">
      <c r="A3430" s="1" t="s">
        <v>4089</v>
      </c>
      <c r="B3430" t="s">
        <v>10262</v>
      </c>
    </row>
    <row r="3431" spans="1:2">
      <c r="A3431" s="1" t="s">
        <v>85</v>
      </c>
      <c r="B3431" t="s">
        <v>10353</v>
      </c>
    </row>
    <row r="3432" spans="1:2">
      <c r="A3432" s="1" t="s">
        <v>4090</v>
      </c>
      <c r="B3432" t="s">
        <v>10245</v>
      </c>
    </row>
    <row r="3433" spans="1:2">
      <c r="A3433" s="1" t="s">
        <v>4091</v>
      </c>
      <c r="B3433" t="s">
        <v>10382</v>
      </c>
    </row>
    <row r="3434" spans="1:2">
      <c r="A3434" s="1" t="s">
        <v>4092</v>
      </c>
      <c r="B3434" t="s">
        <v>10305</v>
      </c>
    </row>
    <row r="3435" spans="1:2">
      <c r="A3435" s="1" t="s">
        <v>150</v>
      </c>
      <c r="B3435" t="s">
        <v>10277</v>
      </c>
    </row>
    <row r="3436" spans="1:2">
      <c r="A3436" s="1" t="s">
        <v>200</v>
      </c>
      <c r="B3436" t="s">
        <v>10243</v>
      </c>
    </row>
    <row r="3437" spans="1:2">
      <c r="A3437" s="1" t="s">
        <v>513</v>
      </c>
      <c r="B3437" t="s">
        <v>10334</v>
      </c>
    </row>
    <row r="3438" spans="1:2">
      <c r="A3438" s="1" t="s">
        <v>4093</v>
      </c>
      <c r="B3438" t="s">
        <v>10255</v>
      </c>
    </row>
    <row r="3439" spans="1:2">
      <c r="A3439" s="1" t="s">
        <v>4094</v>
      </c>
      <c r="B3439" t="s">
        <v>10269</v>
      </c>
    </row>
    <row r="3440" spans="1:2">
      <c r="A3440" s="1" t="s">
        <v>4095</v>
      </c>
      <c r="B3440" t="s">
        <v>10229</v>
      </c>
    </row>
    <row r="3441" spans="1:2">
      <c r="A3441" s="1" t="s">
        <v>4096</v>
      </c>
      <c r="B3441" t="s">
        <v>10261</v>
      </c>
    </row>
    <row r="3442" spans="1:2">
      <c r="A3442" s="1" t="s">
        <v>4097</v>
      </c>
      <c r="B3442" t="s">
        <v>10232</v>
      </c>
    </row>
    <row r="3443" spans="1:2">
      <c r="A3443" s="1" t="s">
        <v>4098</v>
      </c>
      <c r="B3443" t="s">
        <v>10229</v>
      </c>
    </row>
    <row r="3444" spans="1:2">
      <c r="A3444" s="1" t="s">
        <v>4099</v>
      </c>
      <c r="B3444" t="s">
        <v>10261</v>
      </c>
    </row>
    <row r="3445" spans="1:2">
      <c r="A3445" s="1" t="s">
        <v>4100</v>
      </c>
      <c r="B3445" t="s">
        <v>10234</v>
      </c>
    </row>
    <row r="3446" spans="1:2">
      <c r="A3446" s="1" t="s">
        <v>4101</v>
      </c>
      <c r="B3446" t="s">
        <v>10223</v>
      </c>
    </row>
    <row r="3447" spans="1:2">
      <c r="A3447" s="1" t="s">
        <v>4102</v>
      </c>
      <c r="B3447" t="s">
        <v>10277</v>
      </c>
    </row>
    <row r="3448" spans="1:2">
      <c r="A3448" s="1" t="s">
        <v>4103</v>
      </c>
      <c r="B3448" t="s">
        <v>10225</v>
      </c>
    </row>
    <row r="3449" spans="1:2">
      <c r="A3449" s="1" t="s">
        <v>4104</v>
      </c>
      <c r="B3449" t="s">
        <v>10383</v>
      </c>
    </row>
    <row r="3450" spans="1:2">
      <c r="A3450" s="1" t="s">
        <v>4105</v>
      </c>
      <c r="B3450" t="s">
        <v>10267</v>
      </c>
    </row>
    <row r="3451" spans="1:2">
      <c r="A3451" s="1" t="s">
        <v>4106</v>
      </c>
      <c r="B3451" t="s">
        <v>10286</v>
      </c>
    </row>
    <row r="3452" spans="1:2">
      <c r="A3452" s="1" t="s">
        <v>4107</v>
      </c>
      <c r="B3452" t="s">
        <v>10357</v>
      </c>
    </row>
    <row r="3453" spans="1:2">
      <c r="A3453" s="1" t="s">
        <v>4108</v>
      </c>
      <c r="B3453" t="s">
        <v>10230</v>
      </c>
    </row>
    <row r="3454" spans="1:2">
      <c r="A3454" s="1" t="s">
        <v>4109</v>
      </c>
      <c r="B3454" t="s">
        <v>10224</v>
      </c>
    </row>
    <row r="3455" spans="1:2">
      <c r="A3455" s="1" t="s">
        <v>4110</v>
      </c>
      <c r="B3455" t="s">
        <v>10292</v>
      </c>
    </row>
    <row r="3456" spans="1:2">
      <c r="A3456" s="1" t="s">
        <v>4111</v>
      </c>
      <c r="B3456" t="s">
        <v>10224</v>
      </c>
    </row>
    <row r="3457" spans="1:2">
      <c r="A3457" s="1" t="s">
        <v>4112</v>
      </c>
      <c r="B3457" t="s">
        <v>10272</v>
      </c>
    </row>
    <row r="3458" spans="1:2">
      <c r="A3458" s="1" t="s">
        <v>499</v>
      </c>
      <c r="B3458" t="s">
        <v>10370</v>
      </c>
    </row>
    <row r="3459" spans="1:2">
      <c r="A3459" s="1" t="s">
        <v>4113</v>
      </c>
      <c r="B3459" t="s">
        <v>10229</v>
      </c>
    </row>
    <row r="3460" spans="1:2">
      <c r="A3460" s="1" t="s">
        <v>4114</v>
      </c>
      <c r="B3460" t="s">
        <v>10277</v>
      </c>
    </row>
    <row r="3461" spans="1:2">
      <c r="A3461" s="1" t="s">
        <v>4115</v>
      </c>
      <c r="B3461" t="s">
        <v>10364</v>
      </c>
    </row>
    <row r="3462" spans="1:2">
      <c r="A3462" s="1" t="s">
        <v>4116</v>
      </c>
      <c r="B3462" t="s">
        <v>10286</v>
      </c>
    </row>
    <row r="3463" spans="1:2">
      <c r="A3463" s="1" t="s">
        <v>4117</v>
      </c>
      <c r="B3463" t="s">
        <v>10286</v>
      </c>
    </row>
    <row r="3464" spans="1:2">
      <c r="A3464" s="1" t="s">
        <v>4118</v>
      </c>
      <c r="B3464" t="s">
        <v>10234</v>
      </c>
    </row>
    <row r="3465" spans="1:2">
      <c r="A3465" s="1" t="s">
        <v>4119</v>
      </c>
      <c r="B3465" t="s">
        <v>10478</v>
      </c>
    </row>
    <row r="3466" spans="1:2">
      <c r="A3466" s="1" t="s">
        <v>4120</v>
      </c>
      <c r="B3466" t="s">
        <v>10261</v>
      </c>
    </row>
    <row r="3467" spans="1:2">
      <c r="A3467" s="1" t="s">
        <v>765</v>
      </c>
      <c r="B3467" t="s">
        <v>10250</v>
      </c>
    </row>
    <row r="3468" spans="1:2">
      <c r="A3468" s="1" t="s">
        <v>4121</v>
      </c>
      <c r="B3468" t="s">
        <v>10254</v>
      </c>
    </row>
    <row r="3469" spans="1:2">
      <c r="A3469" s="1" t="s">
        <v>40</v>
      </c>
      <c r="B3469" t="s">
        <v>10224</v>
      </c>
    </row>
    <row r="3470" spans="1:2">
      <c r="A3470" s="1" t="s">
        <v>4122</v>
      </c>
      <c r="B3470" t="s">
        <v>10357</v>
      </c>
    </row>
    <row r="3471" spans="1:2">
      <c r="A3471" s="1" t="s">
        <v>4123</v>
      </c>
      <c r="B3471" t="s">
        <v>10375</v>
      </c>
    </row>
    <row r="3472" spans="1:2">
      <c r="A3472" s="1" t="s">
        <v>4124</v>
      </c>
      <c r="B3472" t="s">
        <v>10415</v>
      </c>
    </row>
    <row r="3473" spans="1:2">
      <c r="A3473" s="1" t="s">
        <v>4125</v>
      </c>
      <c r="B3473" t="s">
        <v>10290</v>
      </c>
    </row>
    <row r="3474" spans="1:2">
      <c r="A3474" s="1" t="s">
        <v>4126</v>
      </c>
      <c r="B3474" t="s">
        <v>10288</v>
      </c>
    </row>
    <row r="3475" spans="1:2">
      <c r="A3475" s="1" t="s">
        <v>725</v>
      </c>
      <c r="B3475" t="s">
        <v>10225</v>
      </c>
    </row>
    <row r="3476" spans="1:2">
      <c r="A3476" s="1" t="s">
        <v>4127</v>
      </c>
      <c r="B3476" t="s">
        <v>10262</v>
      </c>
    </row>
    <row r="3477" spans="1:2">
      <c r="A3477" s="1" t="s">
        <v>4128</v>
      </c>
      <c r="B3477" t="s">
        <v>10319</v>
      </c>
    </row>
    <row r="3478" spans="1:2">
      <c r="A3478" s="1" t="s">
        <v>4129</v>
      </c>
      <c r="B3478" t="s">
        <v>10320</v>
      </c>
    </row>
    <row r="3479" spans="1:2">
      <c r="A3479" s="1" t="s">
        <v>4130</v>
      </c>
      <c r="B3479" t="s">
        <v>10283</v>
      </c>
    </row>
    <row r="3480" spans="1:2">
      <c r="A3480" s="1" t="s">
        <v>4131</v>
      </c>
      <c r="B3480" t="s">
        <v>10479</v>
      </c>
    </row>
    <row r="3481" spans="1:2">
      <c r="A3481" s="1" t="s">
        <v>4132</v>
      </c>
      <c r="B3481" t="s">
        <v>10240</v>
      </c>
    </row>
    <row r="3482" spans="1:2">
      <c r="A3482" s="1" t="s">
        <v>60</v>
      </c>
      <c r="B3482" t="s">
        <v>10229</v>
      </c>
    </row>
    <row r="3483" spans="1:2">
      <c r="A3483" s="1" t="s">
        <v>4133</v>
      </c>
      <c r="B3483" t="s">
        <v>10240</v>
      </c>
    </row>
    <row r="3484" spans="1:2">
      <c r="A3484" s="1" t="s">
        <v>4134</v>
      </c>
      <c r="B3484" t="s">
        <v>10273</v>
      </c>
    </row>
    <row r="3485" spans="1:2">
      <c r="A3485" s="1" t="s">
        <v>4135</v>
      </c>
      <c r="B3485" t="s">
        <v>10406</v>
      </c>
    </row>
    <row r="3486" spans="1:2">
      <c r="A3486" s="1" t="s">
        <v>4136</v>
      </c>
      <c r="B3486" t="s">
        <v>10266</v>
      </c>
    </row>
    <row r="3487" spans="1:2">
      <c r="A3487" s="1" t="s">
        <v>267</v>
      </c>
      <c r="B3487" t="s">
        <v>10322</v>
      </c>
    </row>
    <row r="3488" spans="1:2">
      <c r="A3488" s="1" t="s">
        <v>4137</v>
      </c>
      <c r="B3488" t="s">
        <v>10240</v>
      </c>
    </row>
    <row r="3489" spans="1:2">
      <c r="A3489" s="1" t="s">
        <v>4138</v>
      </c>
      <c r="B3489" t="s">
        <v>10240</v>
      </c>
    </row>
    <row r="3490" spans="1:2">
      <c r="A3490" s="1" t="s">
        <v>4139</v>
      </c>
      <c r="B3490" t="s">
        <v>10255</v>
      </c>
    </row>
    <row r="3491" spans="1:2">
      <c r="A3491" s="1" t="s">
        <v>4140</v>
      </c>
      <c r="B3491" t="s">
        <v>10430</v>
      </c>
    </row>
    <row r="3492" spans="1:2">
      <c r="A3492" s="1" t="s">
        <v>4141</v>
      </c>
      <c r="B3492" t="s">
        <v>10395</v>
      </c>
    </row>
    <row r="3493" spans="1:2">
      <c r="A3493" s="1" t="s">
        <v>4142</v>
      </c>
      <c r="B3493" t="s">
        <v>10283</v>
      </c>
    </row>
    <row r="3494" spans="1:2">
      <c r="A3494" s="1" t="s">
        <v>4143</v>
      </c>
      <c r="B3494" t="s">
        <v>10377</v>
      </c>
    </row>
    <row r="3495" spans="1:2">
      <c r="A3495" s="1" t="s">
        <v>4144</v>
      </c>
      <c r="B3495" t="s">
        <v>10240</v>
      </c>
    </row>
    <row r="3496" spans="1:2">
      <c r="A3496" s="1" t="s">
        <v>4145</v>
      </c>
      <c r="B3496" t="s">
        <v>10438</v>
      </c>
    </row>
    <row r="3497" spans="1:2">
      <c r="A3497" s="1" t="s">
        <v>4146</v>
      </c>
      <c r="B3497" t="s">
        <v>901</v>
      </c>
    </row>
    <row r="3498" spans="1:2">
      <c r="A3498" s="1" t="s">
        <v>330</v>
      </c>
      <c r="B3498" t="s">
        <v>10261</v>
      </c>
    </row>
    <row r="3499" spans="1:2">
      <c r="A3499" s="1" t="s">
        <v>4147</v>
      </c>
      <c r="B3499" t="s">
        <v>10224</v>
      </c>
    </row>
    <row r="3500" spans="1:2">
      <c r="A3500" s="1" t="s">
        <v>4148</v>
      </c>
      <c r="B3500" t="s">
        <v>10284</v>
      </c>
    </row>
    <row r="3501" spans="1:2">
      <c r="A3501" s="1" t="s">
        <v>532</v>
      </c>
      <c r="B3501" t="s">
        <v>10287</v>
      </c>
    </row>
    <row r="3502" spans="1:2">
      <c r="A3502" s="1" t="s">
        <v>84</v>
      </c>
      <c r="B3502" t="s">
        <v>10322</v>
      </c>
    </row>
    <row r="3503" spans="1:2">
      <c r="A3503" s="1" t="s">
        <v>4149</v>
      </c>
      <c r="B3503" t="s">
        <v>10251</v>
      </c>
    </row>
    <row r="3504" spans="1:2">
      <c r="A3504" s="1" t="s">
        <v>4150</v>
      </c>
      <c r="B3504" t="s">
        <v>10256</v>
      </c>
    </row>
    <row r="3505" spans="1:2">
      <c r="A3505" s="1" t="s">
        <v>236</v>
      </c>
      <c r="B3505" t="s">
        <v>10300</v>
      </c>
    </row>
    <row r="3506" spans="1:2">
      <c r="A3506" s="1" t="s">
        <v>4151</v>
      </c>
      <c r="B3506" t="s">
        <v>10266</v>
      </c>
    </row>
    <row r="3507" spans="1:2">
      <c r="A3507" s="1" t="s">
        <v>4152</v>
      </c>
      <c r="B3507" t="s">
        <v>10234</v>
      </c>
    </row>
    <row r="3508" spans="1:2">
      <c r="A3508" s="1" t="s">
        <v>288</v>
      </c>
      <c r="B3508" t="s">
        <v>10231</v>
      </c>
    </row>
    <row r="3509" spans="1:2">
      <c r="A3509" s="1" t="s">
        <v>377</v>
      </c>
      <c r="B3509" t="s">
        <v>10284</v>
      </c>
    </row>
    <row r="3510" spans="1:2">
      <c r="A3510" s="1" t="s">
        <v>4153</v>
      </c>
      <c r="B3510" t="s">
        <v>10413</v>
      </c>
    </row>
    <row r="3511" spans="1:2">
      <c r="A3511" s="1" t="s">
        <v>4154</v>
      </c>
      <c r="B3511" t="s">
        <v>10256</v>
      </c>
    </row>
    <row r="3512" spans="1:2">
      <c r="A3512" s="1" t="s">
        <v>4155</v>
      </c>
      <c r="B3512" t="s">
        <v>901</v>
      </c>
    </row>
    <row r="3513" spans="1:2">
      <c r="A3513" s="1" t="s">
        <v>4156</v>
      </c>
      <c r="B3513" t="s">
        <v>10470</v>
      </c>
    </row>
    <row r="3514" spans="1:2">
      <c r="A3514" s="1" t="s">
        <v>4157</v>
      </c>
      <c r="B3514" t="s">
        <v>10273</v>
      </c>
    </row>
    <row r="3515" spans="1:2">
      <c r="A3515" s="1" t="s">
        <v>376</v>
      </c>
      <c r="B3515" t="s">
        <v>10346</v>
      </c>
    </row>
    <row r="3516" spans="1:2">
      <c r="A3516" s="1" t="s">
        <v>4158</v>
      </c>
      <c r="B3516" t="s">
        <v>10225</v>
      </c>
    </row>
    <row r="3517" spans="1:2">
      <c r="A3517" s="1" t="s">
        <v>548</v>
      </c>
      <c r="B3517" t="s">
        <v>10277</v>
      </c>
    </row>
    <row r="3518" spans="1:2">
      <c r="A3518" s="1" t="s">
        <v>4159</v>
      </c>
      <c r="B3518" t="s">
        <v>901</v>
      </c>
    </row>
    <row r="3519" spans="1:2">
      <c r="A3519" s="1" t="s">
        <v>858</v>
      </c>
      <c r="B3519" t="s">
        <v>10352</v>
      </c>
    </row>
    <row r="3520" spans="1:2">
      <c r="A3520" s="1" t="s">
        <v>4160</v>
      </c>
      <c r="B3520" t="s">
        <v>10403</v>
      </c>
    </row>
    <row r="3521" spans="1:2">
      <c r="A3521" s="1" t="s">
        <v>4161</v>
      </c>
      <c r="B3521" t="s">
        <v>10305</v>
      </c>
    </row>
    <row r="3522" spans="1:2">
      <c r="A3522" s="1" t="s">
        <v>4162</v>
      </c>
      <c r="B3522" t="s">
        <v>10280</v>
      </c>
    </row>
    <row r="3523" spans="1:2">
      <c r="A3523" s="1" t="s">
        <v>233</v>
      </c>
      <c r="B3523" t="s">
        <v>10277</v>
      </c>
    </row>
    <row r="3524" spans="1:2">
      <c r="A3524" s="1" t="s">
        <v>4163</v>
      </c>
      <c r="B3524" t="s">
        <v>10328</v>
      </c>
    </row>
    <row r="3525" spans="1:2">
      <c r="A3525" s="1" t="s">
        <v>127</v>
      </c>
      <c r="B3525" t="s">
        <v>10322</v>
      </c>
    </row>
    <row r="3526" spans="1:2">
      <c r="A3526" s="1" t="s">
        <v>4164</v>
      </c>
      <c r="B3526" t="s">
        <v>10429</v>
      </c>
    </row>
    <row r="3527" spans="1:2">
      <c r="A3527" s="1" t="s">
        <v>4165</v>
      </c>
      <c r="B3527" t="s">
        <v>10256</v>
      </c>
    </row>
    <row r="3528" spans="1:2">
      <c r="A3528" s="1" t="s">
        <v>742</v>
      </c>
      <c r="B3528" t="s">
        <v>10332</v>
      </c>
    </row>
    <row r="3529" spans="1:2">
      <c r="A3529" s="1" t="s">
        <v>4166</v>
      </c>
      <c r="B3529" t="s">
        <v>10223</v>
      </c>
    </row>
    <row r="3530" spans="1:2">
      <c r="A3530" s="1" t="s">
        <v>875</v>
      </c>
      <c r="B3530" t="s">
        <v>10234</v>
      </c>
    </row>
    <row r="3531" spans="1:2">
      <c r="A3531" s="1" t="s">
        <v>4167</v>
      </c>
      <c r="B3531" t="s">
        <v>10480</v>
      </c>
    </row>
    <row r="3532" spans="1:2">
      <c r="A3532" s="1" t="s">
        <v>4168</v>
      </c>
      <c r="B3532" t="s">
        <v>10281</v>
      </c>
    </row>
    <row r="3533" spans="1:2">
      <c r="A3533" s="1" t="s">
        <v>4169</v>
      </c>
      <c r="B3533" t="s">
        <v>10273</v>
      </c>
    </row>
    <row r="3534" spans="1:2">
      <c r="A3534" s="1" t="s">
        <v>4170</v>
      </c>
      <c r="B3534" t="s">
        <v>10241</v>
      </c>
    </row>
    <row r="3535" spans="1:2">
      <c r="A3535" s="1" t="s">
        <v>4171</v>
      </c>
      <c r="B3535" t="s">
        <v>10410</v>
      </c>
    </row>
    <row r="3536" spans="1:2">
      <c r="A3536" s="1" t="s">
        <v>367</v>
      </c>
      <c r="B3536" t="s">
        <v>10234</v>
      </c>
    </row>
    <row r="3537" spans="1:2">
      <c r="A3537" s="1" t="s">
        <v>4172</v>
      </c>
      <c r="B3537" t="s">
        <v>10239</v>
      </c>
    </row>
    <row r="3538" spans="1:2">
      <c r="A3538" s="1" t="s">
        <v>4173</v>
      </c>
      <c r="B3538" t="s">
        <v>10290</v>
      </c>
    </row>
    <row r="3539" spans="1:2">
      <c r="A3539" s="1" t="s">
        <v>403</v>
      </c>
      <c r="B3539" t="s">
        <v>10370</v>
      </c>
    </row>
    <row r="3540" spans="1:2">
      <c r="A3540" s="1" t="s">
        <v>4174</v>
      </c>
      <c r="B3540" t="s">
        <v>10286</v>
      </c>
    </row>
    <row r="3541" spans="1:2">
      <c r="A3541" s="1" t="s">
        <v>4175</v>
      </c>
      <c r="B3541" t="s">
        <v>10314</v>
      </c>
    </row>
    <row r="3542" spans="1:2">
      <c r="A3542" s="1" t="s">
        <v>4176</v>
      </c>
      <c r="B3542" t="s">
        <v>10224</v>
      </c>
    </row>
    <row r="3543" spans="1:2">
      <c r="A3543" s="1" t="s">
        <v>418</v>
      </c>
      <c r="B3543" t="s">
        <v>10234</v>
      </c>
    </row>
    <row r="3544" spans="1:2">
      <c r="A3544" s="1" t="s">
        <v>589</v>
      </c>
      <c r="B3544" t="s">
        <v>10261</v>
      </c>
    </row>
    <row r="3545" spans="1:2">
      <c r="A3545" s="1" t="s">
        <v>43</v>
      </c>
      <c r="B3545" t="s">
        <v>10258</v>
      </c>
    </row>
    <row r="3546" spans="1:2">
      <c r="A3546" s="1" t="s">
        <v>4177</v>
      </c>
      <c r="B3546" t="s">
        <v>10306</v>
      </c>
    </row>
    <row r="3547" spans="1:2">
      <c r="A3547" s="1" t="s">
        <v>4178</v>
      </c>
      <c r="B3547" t="s">
        <v>10283</v>
      </c>
    </row>
    <row r="3548" spans="1:2">
      <c r="A3548" s="1" t="s">
        <v>4179</v>
      </c>
      <c r="B3548" t="s">
        <v>10231</v>
      </c>
    </row>
    <row r="3549" spans="1:2">
      <c r="A3549" s="1" t="s">
        <v>97</v>
      </c>
      <c r="B3549" t="s">
        <v>10284</v>
      </c>
    </row>
    <row r="3550" spans="1:2">
      <c r="A3550" s="1" t="s">
        <v>4180</v>
      </c>
      <c r="B3550" t="s">
        <v>10467</v>
      </c>
    </row>
    <row r="3551" spans="1:2">
      <c r="A3551" s="1" t="s">
        <v>4181</v>
      </c>
      <c r="B3551" t="s">
        <v>10229</v>
      </c>
    </row>
    <row r="3552" spans="1:2">
      <c r="A3552" s="1" t="s">
        <v>4182</v>
      </c>
      <c r="B3552" t="s">
        <v>10232</v>
      </c>
    </row>
    <row r="3553" spans="1:2">
      <c r="A3553" s="1" t="s">
        <v>4183</v>
      </c>
      <c r="B3553" t="s">
        <v>10410</v>
      </c>
    </row>
    <row r="3554" spans="1:2">
      <c r="A3554" s="1" t="s">
        <v>4184</v>
      </c>
      <c r="B3554" t="s">
        <v>10283</v>
      </c>
    </row>
    <row r="3555" spans="1:2">
      <c r="A3555" s="1" t="s">
        <v>453</v>
      </c>
      <c r="B3555" t="s">
        <v>10250</v>
      </c>
    </row>
    <row r="3556" spans="1:2">
      <c r="A3556" s="1" t="s">
        <v>4185</v>
      </c>
      <c r="B3556" t="s">
        <v>10405</v>
      </c>
    </row>
    <row r="3557" spans="1:2">
      <c r="A3557" s="1" t="s">
        <v>4186</v>
      </c>
      <c r="B3557" t="s">
        <v>10224</v>
      </c>
    </row>
    <row r="3558" spans="1:2">
      <c r="A3558" s="1" t="s">
        <v>566</v>
      </c>
      <c r="B3558" t="s">
        <v>10277</v>
      </c>
    </row>
    <row r="3559" spans="1:2">
      <c r="A3559" s="1" t="s">
        <v>4187</v>
      </c>
      <c r="B3559" t="s">
        <v>10262</v>
      </c>
    </row>
    <row r="3560" spans="1:2">
      <c r="A3560" s="1" t="s">
        <v>4188</v>
      </c>
      <c r="B3560" t="s">
        <v>10369</v>
      </c>
    </row>
    <row r="3561" spans="1:2">
      <c r="A3561" s="1" t="s">
        <v>592</v>
      </c>
      <c r="B3561" t="s">
        <v>10234</v>
      </c>
    </row>
    <row r="3562" spans="1:2">
      <c r="A3562" s="1" t="s">
        <v>4189</v>
      </c>
      <c r="B3562" t="s">
        <v>10230</v>
      </c>
    </row>
    <row r="3563" spans="1:2">
      <c r="A3563" s="1" t="s">
        <v>4190</v>
      </c>
      <c r="B3563" t="s">
        <v>10261</v>
      </c>
    </row>
    <row r="3564" spans="1:2">
      <c r="A3564" s="1" t="s">
        <v>4191</v>
      </c>
      <c r="B3564" t="s">
        <v>10225</v>
      </c>
    </row>
    <row r="3565" spans="1:2">
      <c r="A3565" s="1" t="s">
        <v>4192</v>
      </c>
      <c r="B3565" t="s">
        <v>10306</v>
      </c>
    </row>
    <row r="3566" spans="1:2">
      <c r="A3566" s="1" t="s">
        <v>4193</v>
      </c>
      <c r="B3566" t="s">
        <v>10302</v>
      </c>
    </row>
    <row r="3567" spans="1:2">
      <c r="A3567" s="1" t="s">
        <v>386</v>
      </c>
      <c r="B3567" t="s">
        <v>10266</v>
      </c>
    </row>
    <row r="3568" spans="1:2">
      <c r="A3568" s="1" t="s">
        <v>4194</v>
      </c>
      <c r="B3568" t="s">
        <v>10382</v>
      </c>
    </row>
    <row r="3569" spans="1:2">
      <c r="A3569" s="1" t="s">
        <v>4195</v>
      </c>
      <c r="B3569" t="s">
        <v>10338</v>
      </c>
    </row>
    <row r="3570" spans="1:2">
      <c r="A3570" s="1" t="s">
        <v>4196</v>
      </c>
      <c r="B3570" t="s">
        <v>901</v>
      </c>
    </row>
    <row r="3571" spans="1:2">
      <c r="A3571" s="1" t="s">
        <v>4197</v>
      </c>
      <c r="B3571" t="s">
        <v>10240</v>
      </c>
    </row>
    <row r="3572" spans="1:2">
      <c r="A3572" s="1" t="s">
        <v>4198</v>
      </c>
      <c r="B3572" t="s">
        <v>10272</v>
      </c>
    </row>
    <row r="3573" spans="1:2">
      <c r="A3573" s="1" t="s">
        <v>4199</v>
      </c>
      <c r="B3573" t="s">
        <v>10242</v>
      </c>
    </row>
    <row r="3574" spans="1:2">
      <c r="A3574" s="1" t="s">
        <v>4200</v>
      </c>
      <c r="B3574" t="s">
        <v>10240</v>
      </c>
    </row>
    <row r="3575" spans="1:2">
      <c r="A3575" s="1" t="s">
        <v>4201</v>
      </c>
      <c r="B3575" t="s">
        <v>10242</v>
      </c>
    </row>
    <row r="3576" spans="1:2">
      <c r="A3576" s="1" t="s">
        <v>4202</v>
      </c>
      <c r="B3576" t="s">
        <v>10244</v>
      </c>
    </row>
    <row r="3577" spans="1:2">
      <c r="A3577" s="1" t="s">
        <v>205</v>
      </c>
      <c r="B3577" t="s">
        <v>10234</v>
      </c>
    </row>
    <row r="3578" spans="1:2">
      <c r="A3578" s="1" t="s">
        <v>4203</v>
      </c>
      <c r="B3578" t="s">
        <v>10272</v>
      </c>
    </row>
    <row r="3579" spans="1:2">
      <c r="A3579" s="1" t="s">
        <v>455</v>
      </c>
      <c r="B3579" t="s">
        <v>10353</v>
      </c>
    </row>
    <row r="3580" spans="1:2">
      <c r="A3580" s="1" t="s">
        <v>4204</v>
      </c>
      <c r="B3580" t="s">
        <v>10224</v>
      </c>
    </row>
    <row r="3581" spans="1:2">
      <c r="A3581" s="1" t="s">
        <v>393</v>
      </c>
      <c r="B3581" t="s">
        <v>10305</v>
      </c>
    </row>
    <row r="3582" spans="1:2">
      <c r="A3582" s="1" t="s">
        <v>4205</v>
      </c>
      <c r="B3582" t="s">
        <v>10232</v>
      </c>
    </row>
    <row r="3583" spans="1:2">
      <c r="A3583" s="1" t="s">
        <v>4206</v>
      </c>
      <c r="B3583" t="s">
        <v>10230</v>
      </c>
    </row>
    <row r="3584" spans="1:2">
      <c r="A3584" s="1" t="s">
        <v>348</v>
      </c>
      <c r="B3584" t="s">
        <v>10366</v>
      </c>
    </row>
    <row r="3585" spans="1:2">
      <c r="A3585" s="1" t="s">
        <v>4207</v>
      </c>
      <c r="B3585" t="s">
        <v>10243</v>
      </c>
    </row>
    <row r="3586" spans="1:2">
      <c r="A3586" s="1" t="s">
        <v>4208</v>
      </c>
      <c r="B3586" t="s">
        <v>10234</v>
      </c>
    </row>
    <row r="3587" spans="1:2">
      <c r="A3587" s="1" t="s">
        <v>516</v>
      </c>
      <c r="B3587" t="s">
        <v>10224</v>
      </c>
    </row>
    <row r="3588" spans="1:2">
      <c r="A3588" s="1" t="s">
        <v>35</v>
      </c>
      <c r="B3588" t="s">
        <v>10284</v>
      </c>
    </row>
    <row r="3589" spans="1:2">
      <c r="A3589" s="1" t="s">
        <v>248</v>
      </c>
      <c r="B3589" t="s">
        <v>10277</v>
      </c>
    </row>
    <row r="3590" spans="1:2">
      <c r="A3590" s="1" t="s">
        <v>4209</v>
      </c>
      <c r="B3590" t="s">
        <v>10234</v>
      </c>
    </row>
    <row r="3591" spans="1:2">
      <c r="A3591" s="1" t="s">
        <v>4210</v>
      </c>
      <c r="B3591" t="s">
        <v>10240</v>
      </c>
    </row>
    <row r="3592" spans="1:2">
      <c r="A3592" s="1" t="s">
        <v>4211</v>
      </c>
      <c r="B3592" t="s">
        <v>10223</v>
      </c>
    </row>
    <row r="3593" spans="1:2">
      <c r="A3593" s="1" t="s">
        <v>4212</v>
      </c>
      <c r="B3593" t="s">
        <v>10239</v>
      </c>
    </row>
    <row r="3594" spans="1:2">
      <c r="A3594" s="1" t="s">
        <v>243</v>
      </c>
      <c r="B3594" t="s">
        <v>10366</v>
      </c>
    </row>
    <row r="3595" spans="1:2">
      <c r="A3595" s="1" t="s">
        <v>4213</v>
      </c>
      <c r="B3595" t="s">
        <v>901</v>
      </c>
    </row>
    <row r="3596" spans="1:2">
      <c r="A3596" s="1" t="s">
        <v>4214</v>
      </c>
      <c r="B3596" t="s">
        <v>10325</v>
      </c>
    </row>
    <row r="3597" spans="1:2">
      <c r="A3597" s="1" t="s">
        <v>719</v>
      </c>
      <c r="B3597" t="s">
        <v>10239</v>
      </c>
    </row>
    <row r="3598" spans="1:2">
      <c r="A3598" s="1" t="s">
        <v>4215</v>
      </c>
      <c r="B3598" t="s">
        <v>10243</v>
      </c>
    </row>
    <row r="3599" spans="1:2">
      <c r="A3599" s="1" t="s">
        <v>4216</v>
      </c>
      <c r="B3599" t="s">
        <v>10243</v>
      </c>
    </row>
    <row r="3600" spans="1:2">
      <c r="A3600" s="1" t="s">
        <v>4217</v>
      </c>
      <c r="B3600" t="s">
        <v>10223</v>
      </c>
    </row>
    <row r="3601" spans="1:2">
      <c r="A3601" s="1" t="s">
        <v>4218</v>
      </c>
      <c r="B3601" t="s">
        <v>10305</v>
      </c>
    </row>
    <row r="3602" spans="1:2">
      <c r="A3602" s="1" t="s">
        <v>4219</v>
      </c>
      <c r="B3602" t="s">
        <v>10415</v>
      </c>
    </row>
    <row r="3603" spans="1:2">
      <c r="A3603" s="1" t="s">
        <v>4220</v>
      </c>
      <c r="B3603" t="s">
        <v>10411</v>
      </c>
    </row>
    <row r="3604" spans="1:2">
      <c r="A3604" s="1" t="s">
        <v>4221</v>
      </c>
      <c r="B3604" t="s">
        <v>10224</v>
      </c>
    </row>
    <row r="3605" spans="1:2">
      <c r="A3605" s="1" t="s">
        <v>4222</v>
      </c>
      <c r="B3605" t="s">
        <v>901</v>
      </c>
    </row>
    <row r="3606" spans="1:2">
      <c r="A3606" s="1" t="s">
        <v>4223</v>
      </c>
      <c r="B3606" t="s">
        <v>10302</v>
      </c>
    </row>
    <row r="3607" spans="1:2">
      <c r="A3607" s="1" t="s">
        <v>4224</v>
      </c>
      <c r="B3607" t="s">
        <v>10343</v>
      </c>
    </row>
    <row r="3608" spans="1:2">
      <c r="A3608" s="1" t="s">
        <v>669</v>
      </c>
      <c r="B3608" t="s">
        <v>10278</v>
      </c>
    </row>
    <row r="3609" spans="1:2">
      <c r="A3609" s="1" t="s">
        <v>4225</v>
      </c>
      <c r="B3609" t="s">
        <v>10414</v>
      </c>
    </row>
    <row r="3610" spans="1:2">
      <c r="A3610" s="1" t="s">
        <v>207</v>
      </c>
      <c r="B3610" t="s">
        <v>10234</v>
      </c>
    </row>
    <row r="3611" spans="1:2">
      <c r="A3611" s="1" t="s">
        <v>4226</v>
      </c>
      <c r="B3611" t="s">
        <v>10270</v>
      </c>
    </row>
    <row r="3612" spans="1:2">
      <c r="A3612" s="1" t="s">
        <v>4227</v>
      </c>
      <c r="B3612" t="s">
        <v>10309</v>
      </c>
    </row>
    <row r="3613" spans="1:2">
      <c r="A3613" s="1" t="s">
        <v>4228</v>
      </c>
      <c r="B3613" t="s">
        <v>10272</v>
      </c>
    </row>
    <row r="3614" spans="1:2">
      <c r="A3614" s="1" t="s">
        <v>4229</v>
      </c>
      <c r="B3614" t="s">
        <v>901</v>
      </c>
    </row>
    <row r="3615" spans="1:2">
      <c r="A3615" s="1" t="s">
        <v>4230</v>
      </c>
      <c r="B3615" t="s">
        <v>10244</v>
      </c>
    </row>
    <row r="3616" spans="1:2">
      <c r="A3616" s="1" t="s">
        <v>4231</v>
      </c>
      <c r="B3616" t="s">
        <v>901</v>
      </c>
    </row>
    <row r="3617" spans="1:2">
      <c r="A3617" s="1" t="s">
        <v>4232</v>
      </c>
      <c r="B3617" t="s">
        <v>10240</v>
      </c>
    </row>
    <row r="3618" spans="1:2">
      <c r="A3618" s="1" t="s">
        <v>4233</v>
      </c>
      <c r="B3618" t="s">
        <v>10370</v>
      </c>
    </row>
    <row r="3619" spans="1:2">
      <c r="A3619" s="1" t="s">
        <v>4234</v>
      </c>
      <c r="B3619" t="s">
        <v>10457</v>
      </c>
    </row>
    <row r="3620" spans="1:2">
      <c r="A3620" s="1" t="s">
        <v>4235</v>
      </c>
      <c r="B3620" t="s">
        <v>10275</v>
      </c>
    </row>
    <row r="3621" spans="1:2">
      <c r="A3621" s="1" t="s">
        <v>4236</v>
      </c>
      <c r="B3621" t="s">
        <v>10234</v>
      </c>
    </row>
    <row r="3622" spans="1:2">
      <c r="A3622" s="1" t="s">
        <v>323</v>
      </c>
      <c r="B3622" t="s">
        <v>10430</v>
      </c>
    </row>
    <row r="3623" spans="1:2">
      <c r="A3623" s="1" t="s">
        <v>126</v>
      </c>
      <c r="B3623" t="s">
        <v>10234</v>
      </c>
    </row>
    <row r="3624" spans="1:2">
      <c r="A3624" s="1" t="s">
        <v>4237</v>
      </c>
      <c r="B3624" t="s">
        <v>10288</v>
      </c>
    </row>
    <row r="3625" spans="1:2">
      <c r="A3625" s="1" t="s">
        <v>4238</v>
      </c>
      <c r="B3625" t="s">
        <v>10225</v>
      </c>
    </row>
    <row r="3626" spans="1:2">
      <c r="A3626" s="1" t="s">
        <v>224</v>
      </c>
      <c r="B3626" t="s">
        <v>10262</v>
      </c>
    </row>
    <row r="3627" spans="1:2">
      <c r="A3627" s="1" t="s">
        <v>4239</v>
      </c>
      <c r="B3627" t="s">
        <v>10419</v>
      </c>
    </row>
    <row r="3628" spans="1:2">
      <c r="A3628" s="1" t="s">
        <v>4240</v>
      </c>
      <c r="B3628" t="s">
        <v>10328</v>
      </c>
    </row>
    <row r="3629" spans="1:2">
      <c r="A3629" s="1" t="s">
        <v>392</v>
      </c>
      <c r="B3629" t="s">
        <v>10234</v>
      </c>
    </row>
    <row r="3630" spans="1:2">
      <c r="A3630" s="1" t="s">
        <v>4241</v>
      </c>
      <c r="B3630" t="s">
        <v>10413</v>
      </c>
    </row>
    <row r="3631" spans="1:2">
      <c r="A3631" s="1" t="s">
        <v>4242</v>
      </c>
      <c r="B3631" t="s">
        <v>10240</v>
      </c>
    </row>
    <row r="3632" spans="1:2">
      <c r="A3632" s="1" t="s">
        <v>4243</v>
      </c>
      <c r="B3632" t="s">
        <v>10224</v>
      </c>
    </row>
    <row r="3633" spans="1:2">
      <c r="A3633" s="1" t="s">
        <v>171</v>
      </c>
      <c r="B3633" t="s">
        <v>10239</v>
      </c>
    </row>
    <row r="3634" spans="1:2">
      <c r="A3634" s="1" t="s">
        <v>4244</v>
      </c>
      <c r="B3634" t="s">
        <v>10230</v>
      </c>
    </row>
    <row r="3635" spans="1:2">
      <c r="A3635" s="1" t="s">
        <v>4245</v>
      </c>
      <c r="B3635" t="s">
        <v>10265</v>
      </c>
    </row>
    <row r="3636" spans="1:2">
      <c r="A3636" s="1" t="s">
        <v>4246</v>
      </c>
      <c r="B3636" t="s">
        <v>10437</v>
      </c>
    </row>
    <row r="3637" spans="1:2">
      <c r="A3637" s="1" t="s">
        <v>4247</v>
      </c>
      <c r="B3637" t="s">
        <v>10304</v>
      </c>
    </row>
    <row r="3638" spans="1:2">
      <c r="A3638" s="1" t="s">
        <v>4248</v>
      </c>
      <c r="B3638" t="s">
        <v>10481</v>
      </c>
    </row>
    <row r="3639" spans="1:2">
      <c r="A3639" s="1" t="s">
        <v>4249</v>
      </c>
      <c r="B3639" t="s">
        <v>10442</v>
      </c>
    </row>
    <row r="3640" spans="1:2">
      <c r="A3640" s="1" t="s">
        <v>4250</v>
      </c>
      <c r="B3640" t="s">
        <v>10224</v>
      </c>
    </row>
    <row r="3641" spans="1:2">
      <c r="A3641" s="1" t="s">
        <v>4251</v>
      </c>
      <c r="B3641" t="s">
        <v>10230</v>
      </c>
    </row>
    <row r="3642" spans="1:2">
      <c r="A3642" s="1" t="s">
        <v>4252</v>
      </c>
      <c r="B3642" t="s">
        <v>10243</v>
      </c>
    </row>
    <row r="3643" spans="1:2">
      <c r="A3643" s="1" t="s">
        <v>4253</v>
      </c>
      <c r="B3643" t="s">
        <v>10233</v>
      </c>
    </row>
    <row r="3644" spans="1:2">
      <c r="A3644" s="1" t="s">
        <v>4254</v>
      </c>
      <c r="B3644" t="s">
        <v>10225</v>
      </c>
    </row>
    <row r="3645" spans="1:2">
      <c r="A3645" s="1" t="s">
        <v>4255</v>
      </c>
      <c r="B3645" t="s">
        <v>10239</v>
      </c>
    </row>
    <row r="3646" spans="1:2">
      <c r="A3646" s="1" t="s">
        <v>4256</v>
      </c>
      <c r="B3646" t="s">
        <v>10224</v>
      </c>
    </row>
    <row r="3647" spans="1:2">
      <c r="A3647" s="1" t="s">
        <v>4257</v>
      </c>
      <c r="B3647" t="s">
        <v>10260</v>
      </c>
    </row>
    <row r="3648" spans="1:2">
      <c r="A3648" s="1" t="s">
        <v>4258</v>
      </c>
      <c r="B3648" t="s">
        <v>10353</v>
      </c>
    </row>
    <row r="3649" spans="1:2">
      <c r="A3649" s="1" t="s">
        <v>4259</v>
      </c>
      <c r="B3649" t="s">
        <v>10240</v>
      </c>
    </row>
    <row r="3650" spans="1:2">
      <c r="A3650" s="1" t="s">
        <v>4260</v>
      </c>
      <c r="B3650" t="s">
        <v>10230</v>
      </c>
    </row>
    <row r="3651" spans="1:2">
      <c r="A3651" s="1" t="s">
        <v>4261</v>
      </c>
      <c r="B3651" t="s">
        <v>10286</v>
      </c>
    </row>
    <row r="3652" spans="1:2">
      <c r="A3652" s="1" t="s">
        <v>4262</v>
      </c>
      <c r="B3652" t="s">
        <v>10336</v>
      </c>
    </row>
    <row r="3653" spans="1:2">
      <c r="A3653" s="1" t="s">
        <v>4263</v>
      </c>
      <c r="B3653" t="s">
        <v>10240</v>
      </c>
    </row>
    <row r="3654" spans="1:2">
      <c r="A3654" s="1" t="s">
        <v>4264</v>
      </c>
      <c r="B3654" t="s">
        <v>901</v>
      </c>
    </row>
    <row r="3655" spans="1:2">
      <c r="A3655" s="1" t="s">
        <v>4265</v>
      </c>
      <c r="B3655" t="s">
        <v>10223</v>
      </c>
    </row>
    <row r="3656" spans="1:2">
      <c r="A3656" s="1" t="s">
        <v>4266</v>
      </c>
      <c r="B3656" t="s">
        <v>10260</v>
      </c>
    </row>
    <row r="3657" spans="1:2">
      <c r="A3657" s="1" t="s">
        <v>397</v>
      </c>
      <c r="B3657" t="s">
        <v>10305</v>
      </c>
    </row>
    <row r="3658" spans="1:2">
      <c r="A3658" s="1" t="s">
        <v>314</v>
      </c>
      <c r="B3658" t="s">
        <v>10244</v>
      </c>
    </row>
    <row r="3659" spans="1:2">
      <c r="A3659" s="1" t="s">
        <v>4267</v>
      </c>
      <c r="B3659" t="s">
        <v>10470</v>
      </c>
    </row>
    <row r="3660" spans="1:2">
      <c r="A3660" s="1" t="s">
        <v>4268</v>
      </c>
      <c r="B3660" t="s">
        <v>10224</v>
      </c>
    </row>
    <row r="3661" spans="1:2">
      <c r="A3661" s="1" t="s">
        <v>4269</v>
      </c>
      <c r="B3661" t="s">
        <v>10223</v>
      </c>
    </row>
    <row r="3662" spans="1:2">
      <c r="A3662" s="1" t="s">
        <v>138</v>
      </c>
      <c r="B3662" t="s">
        <v>10229</v>
      </c>
    </row>
    <row r="3663" spans="1:2">
      <c r="A3663" s="1" t="s">
        <v>4270</v>
      </c>
      <c r="B3663" t="s">
        <v>10343</v>
      </c>
    </row>
    <row r="3664" spans="1:2">
      <c r="A3664" s="1" t="s">
        <v>4271</v>
      </c>
      <c r="B3664" t="s">
        <v>10231</v>
      </c>
    </row>
    <row r="3665" spans="1:2">
      <c r="A3665" s="1" t="s">
        <v>4272</v>
      </c>
      <c r="B3665" t="s">
        <v>10224</v>
      </c>
    </row>
    <row r="3666" spans="1:2">
      <c r="A3666" s="1" t="s">
        <v>4273</v>
      </c>
      <c r="B3666" t="s">
        <v>10239</v>
      </c>
    </row>
    <row r="3667" spans="1:2">
      <c r="A3667" s="1" t="s">
        <v>261</v>
      </c>
      <c r="B3667" t="s">
        <v>10394</v>
      </c>
    </row>
    <row r="3668" spans="1:2">
      <c r="A3668" s="1" t="s">
        <v>4274</v>
      </c>
      <c r="B3668" t="s">
        <v>10323</v>
      </c>
    </row>
    <row r="3669" spans="1:2">
      <c r="A3669" s="1" t="s">
        <v>344</v>
      </c>
      <c r="B3669" t="s">
        <v>10322</v>
      </c>
    </row>
    <row r="3670" spans="1:2">
      <c r="A3670" s="1" t="s">
        <v>4275</v>
      </c>
      <c r="B3670" t="s">
        <v>10256</v>
      </c>
    </row>
    <row r="3671" spans="1:2">
      <c r="A3671" s="1" t="s">
        <v>4276</v>
      </c>
      <c r="B3671" t="s">
        <v>10239</v>
      </c>
    </row>
    <row r="3672" spans="1:2">
      <c r="A3672" s="1" t="s">
        <v>4277</v>
      </c>
      <c r="B3672" t="s">
        <v>10283</v>
      </c>
    </row>
    <row r="3673" spans="1:2">
      <c r="A3673" s="1" t="s">
        <v>4278</v>
      </c>
      <c r="B3673" t="s">
        <v>10361</v>
      </c>
    </row>
    <row r="3674" spans="1:2">
      <c r="A3674" s="1" t="s">
        <v>4279</v>
      </c>
      <c r="B3674" t="s">
        <v>901</v>
      </c>
    </row>
    <row r="3675" spans="1:2">
      <c r="A3675" s="1" t="s">
        <v>4280</v>
      </c>
      <c r="B3675" t="s">
        <v>901</v>
      </c>
    </row>
    <row r="3676" spans="1:2">
      <c r="A3676" s="1" t="s">
        <v>4281</v>
      </c>
      <c r="B3676" t="s">
        <v>10240</v>
      </c>
    </row>
    <row r="3677" spans="1:2">
      <c r="A3677" s="1" t="s">
        <v>4282</v>
      </c>
      <c r="B3677" t="s">
        <v>901</v>
      </c>
    </row>
    <row r="3678" spans="1:2">
      <c r="A3678" s="1" t="s">
        <v>4283</v>
      </c>
      <c r="B3678" t="s">
        <v>10240</v>
      </c>
    </row>
    <row r="3679" spans="1:2">
      <c r="A3679" s="1" t="s">
        <v>4284</v>
      </c>
      <c r="B3679" t="s">
        <v>10230</v>
      </c>
    </row>
    <row r="3680" spans="1:2">
      <c r="A3680" s="1" t="s">
        <v>4285</v>
      </c>
      <c r="B3680" t="s">
        <v>10245</v>
      </c>
    </row>
    <row r="3681" spans="1:2">
      <c r="A3681" s="1" t="s">
        <v>4286</v>
      </c>
      <c r="B3681" t="s">
        <v>10387</v>
      </c>
    </row>
    <row r="3682" spans="1:2">
      <c r="A3682" s="1" t="s">
        <v>4287</v>
      </c>
      <c r="B3682" t="s">
        <v>10352</v>
      </c>
    </row>
    <row r="3683" spans="1:2">
      <c r="A3683" s="1" t="s">
        <v>4288</v>
      </c>
      <c r="B3683" t="s">
        <v>10240</v>
      </c>
    </row>
    <row r="3684" spans="1:2">
      <c r="A3684" s="1" t="s">
        <v>4289</v>
      </c>
      <c r="B3684" t="s">
        <v>10252</v>
      </c>
    </row>
    <row r="3685" spans="1:2">
      <c r="A3685" s="1" t="s">
        <v>4290</v>
      </c>
      <c r="B3685" t="s">
        <v>10255</v>
      </c>
    </row>
    <row r="3686" spans="1:2">
      <c r="A3686" s="1" t="s">
        <v>4291</v>
      </c>
      <c r="B3686" t="s">
        <v>10310</v>
      </c>
    </row>
    <row r="3687" spans="1:2">
      <c r="A3687" s="1" t="s">
        <v>4292</v>
      </c>
      <c r="B3687" t="s">
        <v>10230</v>
      </c>
    </row>
    <row r="3688" spans="1:2">
      <c r="A3688" s="1" t="s">
        <v>4293</v>
      </c>
      <c r="B3688" t="s">
        <v>10290</v>
      </c>
    </row>
    <row r="3689" spans="1:2">
      <c r="A3689" s="1" t="s">
        <v>4294</v>
      </c>
      <c r="B3689" t="s">
        <v>10286</v>
      </c>
    </row>
    <row r="3690" spans="1:2">
      <c r="A3690" s="1" t="s">
        <v>305</v>
      </c>
      <c r="B3690" t="s">
        <v>10283</v>
      </c>
    </row>
    <row r="3691" spans="1:2">
      <c r="A3691" s="1" t="s">
        <v>4295</v>
      </c>
      <c r="B3691" t="s">
        <v>10245</v>
      </c>
    </row>
    <row r="3692" spans="1:2">
      <c r="A3692" s="1" t="s">
        <v>4296</v>
      </c>
      <c r="B3692" t="s">
        <v>10224</v>
      </c>
    </row>
    <row r="3693" spans="1:2">
      <c r="A3693" s="1" t="s">
        <v>4297</v>
      </c>
      <c r="B3693" t="s">
        <v>10230</v>
      </c>
    </row>
    <row r="3694" spans="1:2">
      <c r="A3694" s="1" t="s">
        <v>4298</v>
      </c>
      <c r="B3694" t="s">
        <v>10243</v>
      </c>
    </row>
    <row r="3695" spans="1:2">
      <c r="A3695" s="1" t="s">
        <v>4299</v>
      </c>
      <c r="B3695" t="s">
        <v>10323</v>
      </c>
    </row>
    <row r="3696" spans="1:2">
      <c r="A3696" s="1" t="s">
        <v>4300</v>
      </c>
      <c r="B3696" t="s">
        <v>10345</v>
      </c>
    </row>
    <row r="3697" spans="1:2">
      <c r="A3697" s="1" t="s">
        <v>4301</v>
      </c>
      <c r="B3697" t="s">
        <v>10278</v>
      </c>
    </row>
    <row r="3698" spans="1:2">
      <c r="A3698" s="1" t="s">
        <v>4302</v>
      </c>
      <c r="B3698" t="s">
        <v>10256</v>
      </c>
    </row>
    <row r="3699" spans="1:2">
      <c r="A3699" s="1" t="s">
        <v>4303</v>
      </c>
      <c r="B3699" t="s">
        <v>10266</v>
      </c>
    </row>
    <row r="3700" spans="1:2">
      <c r="A3700" s="1" t="s">
        <v>254</v>
      </c>
      <c r="B3700" t="s">
        <v>10278</v>
      </c>
    </row>
    <row r="3701" spans="1:2">
      <c r="A3701" s="1" t="s">
        <v>473</v>
      </c>
      <c r="B3701" t="s">
        <v>10287</v>
      </c>
    </row>
    <row r="3702" spans="1:2">
      <c r="A3702" s="1" t="s">
        <v>4304</v>
      </c>
      <c r="B3702" t="s">
        <v>10240</v>
      </c>
    </row>
    <row r="3703" spans="1:2">
      <c r="A3703" s="1" t="s">
        <v>4305</v>
      </c>
      <c r="B3703" t="s">
        <v>10322</v>
      </c>
    </row>
    <row r="3704" spans="1:2">
      <c r="A3704" s="1" t="s">
        <v>4306</v>
      </c>
      <c r="B3704" t="s">
        <v>10234</v>
      </c>
    </row>
    <row r="3705" spans="1:2">
      <c r="A3705" s="1" t="s">
        <v>4307</v>
      </c>
      <c r="B3705" t="s">
        <v>10300</v>
      </c>
    </row>
    <row r="3706" spans="1:2">
      <c r="A3706" s="1" t="s">
        <v>4308</v>
      </c>
      <c r="B3706" t="s">
        <v>10284</v>
      </c>
    </row>
    <row r="3707" spans="1:2">
      <c r="A3707" s="1" t="s">
        <v>4309</v>
      </c>
      <c r="B3707" t="s">
        <v>10287</v>
      </c>
    </row>
    <row r="3708" spans="1:2">
      <c r="A3708" s="1" t="s">
        <v>4310</v>
      </c>
      <c r="B3708" t="s">
        <v>10413</v>
      </c>
    </row>
    <row r="3709" spans="1:2">
      <c r="A3709" s="1" t="s">
        <v>4311</v>
      </c>
      <c r="B3709" t="s">
        <v>10249</v>
      </c>
    </row>
    <row r="3710" spans="1:2">
      <c r="A3710" s="1" t="s">
        <v>4312</v>
      </c>
      <c r="B3710" t="s">
        <v>10240</v>
      </c>
    </row>
    <row r="3711" spans="1:2">
      <c r="A3711" s="1" t="s">
        <v>4313</v>
      </c>
      <c r="B3711" t="s">
        <v>10252</v>
      </c>
    </row>
    <row r="3712" spans="1:2">
      <c r="A3712" s="1" t="s">
        <v>4314</v>
      </c>
      <c r="B3712" t="s">
        <v>10243</v>
      </c>
    </row>
    <row r="3713" spans="1:2">
      <c r="A3713" s="1" t="s">
        <v>4315</v>
      </c>
      <c r="B3713" t="s">
        <v>10225</v>
      </c>
    </row>
    <row r="3714" spans="1:2">
      <c r="A3714" s="1" t="s">
        <v>4316</v>
      </c>
      <c r="B3714" t="s">
        <v>10258</v>
      </c>
    </row>
    <row r="3715" spans="1:2">
      <c r="A3715" s="1" t="s">
        <v>4317</v>
      </c>
      <c r="B3715" t="s">
        <v>10411</v>
      </c>
    </row>
    <row r="3716" spans="1:2">
      <c r="A3716" s="1" t="s">
        <v>4318</v>
      </c>
      <c r="B3716" t="s">
        <v>10282</v>
      </c>
    </row>
    <row r="3717" spans="1:2">
      <c r="A3717" s="1" t="s">
        <v>4319</v>
      </c>
      <c r="B3717" t="s">
        <v>10282</v>
      </c>
    </row>
    <row r="3718" spans="1:2">
      <c r="A3718" s="1" t="s">
        <v>4320</v>
      </c>
      <c r="B3718" t="s">
        <v>10240</v>
      </c>
    </row>
    <row r="3719" spans="1:2">
      <c r="A3719" s="1" t="s">
        <v>4321</v>
      </c>
      <c r="B3719" t="s">
        <v>10240</v>
      </c>
    </row>
    <row r="3720" spans="1:2">
      <c r="A3720" s="1" t="s">
        <v>4322</v>
      </c>
      <c r="B3720" t="s">
        <v>10286</v>
      </c>
    </row>
    <row r="3721" spans="1:2">
      <c r="A3721" s="1" t="s">
        <v>4323</v>
      </c>
      <c r="B3721" t="s">
        <v>10234</v>
      </c>
    </row>
    <row r="3722" spans="1:2">
      <c r="A3722" s="1" t="s">
        <v>4324</v>
      </c>
      <c r="B3722" t="s">
        <v>10322</v>
      </c>
    </row>
    <row r="3723" spans="1:2">
      <c r="A3723" s="1" t="s">
        <v>4325</v>
      </c>
      <c r="B3723" t="s">
        <v>10250</v>
      </c>
    </row>
    <row r="3724" spans="1:2">
      <c r="A3724" s="1" t="s">
        <v>4326</v>
      </c>
      <c r="B3724" t="s">
        <v>10225</v>
      </c>
    </row>
    <row r="3725" spans="1:2">
      <c r="A3725" s="1" t="s">
        <v>4327</v>
      </c>
      <c r="B3725" t="s">
        <v>10225</v>
      </c>
    </row>
    <row r="3726" spans="1:2">
      <c r="A3726" s="1" t="s">
        <v>338</v>
      </c>
      <c r="B3726" t="s">
        <v>10243</v>
      </c>
    </row>
    <row r="3727" spans="1:2">
      <c r="A3727" s="1" t="s">
        <v>4328</v>
      </c>
      <c r="B3727" t="s">
        <v>10361</v>
      </c>
    </row>
    <row r="3728" spans="1:2">
      <c r="A3728" s="1" t="s">
        <v>4329</v>
      </c>
      <c r="B3728" t="s">
        <v>901</v>
      </c>
    </row>
    <row r="3729" spans="1:2">
      <c r="A3729" s="1" t="s">
        <v>4330</v>
      </c>
      <c r="B3729" t="s">
        <v>10482</v>
      </c>
    </row>
    <row r="3730" spans="1:2">
      <c r="A3730" s="1" t="s">
        <v>4331</v>
      </c>
      <c r="B3730" t="s">
        <v>10347</v>
      </c>
    </row>
    <row r="3731" spans="1:2">
      <c r="A3731" s="1" t="s">
        <v>4332</v>
      </c>
      <c r="B3731" t="s">
        <v>10224</v>
      </c>
    </row>
    <row r="3732" spans="1:2">
      <c r="A3732" s="1" t="s">
        <v>4333</v>
      </c>
      <c r="B3732" t="s">
        <v>901</v>
      </c>
    </row>
    <row r="3733" spans="1:2">
      <c r="A3733" s="1" t="s">
        <v>4334</v>
      </c>
      <c r="B3733" t="s">
        <v>901</v>
      </c>
    </row>
    <row r="3734" spans="1:2">
      <c r="A3734" s="1" t="s">
        <v>4335</v>
      </c>
      <c r="B3734" t="s">
        <v>901</v>
      </c>
    </row>
    <row r="3735" spans="1:2">
      <c r="A3735" s="1" t="s">
        <v>4336</v>
      </c>
      <c r="B3735" t="s">
        <v>10343</v>
      </c>
    </row>
    <row r="3736" spans="1:2">
      <c r="A3736" s="1" t="s">
        <v>4337</v>
      </c>
      <c r="B3736" t="s">
        <v>10225</v>
      </c>
    </row>
    <row r="3737" spans="1:2">
      <c r="A3737" s="1" t="s">
        <v>4338</v>
      </c>
      <c r="B3737" t="s">
        <v>10239</v>
      </c>
    </row>
    <row r="3738" spans="1:2">
      <c r="A3738" s="1" t="s">
        <v>4339</v>
      </c>
      <c r="B3738" t="s">
        <v>10234</v>
      </c>
    </row>
    <row r="3739" spans="1:2">
      <c r="A3739" s="1" t="s">
        <v>4340</v>
      </c>
      <c r="B3739" t="s">
        <v>10266</v>
      </c>
    </row>
    <row r="3740" spans="1:2">
      <c r="A3740" s="1" t="s">
        <v>4341</v>
      </c>
      <c r="B3740" t="s">
        <v>10230</v>
      </c>
    </row>
    <row r="3741" spans="1:2">
      <c r="A3741" s="1" t="s">
        <v>4342</v>
      </c>
      <c r="B3741" t="s">
        <v>10272</v>
      </c>
    </row>
    <row r="3742" spans="1:2">
      <c r="A3742" s="1" t="s">
        <v>4343</v>
      </c>
      <c r="B3742" t="s">
        <v>10357</v>
      </c>
    </row>
    <row r="3743" spans="1:2">
      <c r="A3743" s="1" t="s">
        <v>4344</v>
      </c>
      <c r="B3743" t="s">
        <v>10234</v>
      </c>
    </row>
    <row r="3744" spans="1:2">
      <c r="A3744" s="1" t="s">
        <v>359</v>
      </c>
      <c r="B3744" t="s">
        <v>10239</v>
      </c>
    </row>
    <row r="3745" spans="1:2">
      <c r="A3745" s="1" t="s">
        <v>4345</v>
      </c>
      <c r="B3745" t="s">
        <v>10312</v>
      </c>
    </row>
    <row r="3746" spans="1:2">
      <c r="A3746" s="1" t="s">
        <v>4346</v>
      </c>
      <c r="B3746" t="s">
        <v>10240</v>
      </c>
    </row>
    <row r="3747" spans="1:2">
      <c r="A3747" s="1" t="s">
        <v>342</v>
      </c>
      <c r="B3747" t="s">
        <v>10282</v>
      </c>
    </row>
    <row r="3748" spans="1:2">
      <c r="A3748" s="1" t="s">
        <v>4347</v>
      </c>
      <c r="B3748" t="s">
        <v>10230</v>
      </c>
    </row>
    <row r="3749" spans="1:2">
      <c r="A3749" s="1" t="s">
        <v>4348</v>
      </c>
      <c r="B3749" t="s">
        <v>10290</v>
      </c>
    </row>
    <row r="3750" spans="1:2">
      <c r="A3750" s="1" t="s">
        <v>410</v>
      </c>
      <c r="B3750" t="s">
        <v>10364</v>
      </c>
    </row>
    <row r="3751" spans="1:2">
      <c r="A3751" s="1" t="s">
        <v>4349</v>
      </c>
      <c r="B3751" t="s">
        <v>10276</v>
      </c>
    </row>
    <row r="3752" spans="1:2">
      <c r="A3752" s="1" t="s">
        <v>4350</v>
      </c>
      <c r="B3752" t="s">
        <v>10252</v>
      </c>
    </row>
    <row r="3753" spans="1:2">
      <c r="A3753" s="1" t="s">
        <v>4351</v>
      </c>
      <c r="B3753" t="s">
        <v>10234</v>
      </c>
    </row>
    <row r="3754" spans="1:2">
      <c r="A3754" s="1" t="s">
        <v>4352</v>
      </c>
      <c r="B3754" t="s">
        <v>10259</v>
      </c>
    </row>
    <row r="3755" spans="1:2">
      <c r="A3755" s="1" t="s">
        <v>4353</v>
      </c>
      <c r="B3755" t="s">
        <v>10273</v>
      </c>
    </row>
    <row r="3756" spans="1:2">
      <c r="A3756" s="1" t="s">
        <v>4354</v>
      </c>
      <c r="B3756" t="s">
        <v>10325</v>
      </c>
    </row>
    <row r="3757" spans="1:2">
      <c r="A3757" s="1" t="s">
        <v>4355</v>
      </c>
      <c r="B3757" t="s">
        <v>10359</v>
      </c>
    </row>
    <row r="3758" spans="1:2">
      <c r="A3758" s="1" t="s">
        <v>385</v>
      </c>
      <c r="B3758" t="s">
        <v>10233</v>
      </c>
    </row>
    <row r="3759" spans="1:2">
      <c r="A3759" s="1" t="s">
        <v>4356</v>
      </c>
      <c r="B3759" t="s">
        <v>10324</v>
      </c>
    </row>
    <row r="3760" spans="1:2">
      <c r="A3760" s="1" t="s">
        <v>4357</v>
      </c>
      <c r="B3760" t="s">
        <v>10270</v>
      </c>
    </row>
    <row r="3761" spans="1:2">
      <c r="A3761" s="1" t="s">
        <v>4358</v>
      </c>
      <c r="B3761" t="s">
        <v>10245</v>
      </c>
    </row>
    <row r="3762" spans="1:2">
      <c r="A3762" s="1" t="s">
        <v>302</v>
      </c>
      <c r="B3762" t="s">
        <v>10483</v>
      </c>
    </row>
    <row r="3763" spans="1:2">
      <c r="A3763" s="1" t="s">
        <v>4359</v>
      </c>
      <c r="B3763" t="s">
        <v>10357</v>
      </c>
    </row>
    <row r="3764" spans="1:2">
      <c r="A3764" s="1" t="s">
        <v>4360</v>
      </c>
      <c r="B3764" t="s">
        <v>10357</v>
      </c>
    </row>
    <row r="3765" spans="1:2">
      <c r="A3765" s="1" t="s">
        <v>425</v>
      </c>
      <c r="B3765" t="s">
        <v>10269</v>
      </c>
    </row>
    <row r="3766" spans="1:2">
      <c r="A3766" s="1" t="s">
        <v>4361</v>
      </c>
      <c r="B3766" t="s">
        <v>10230</v>
      </c>
    </row>
    <row r="3767" spans="1:2">
      <c r="A3767" s="1" t="s">
        <v>4362</v>
      </c>
      <c r="B3767" t="s">
        <v>10484</v>
      </c>
    </row>
    <row r="3768" spans="1:2">
      <c r="A3768" s="1" t="s">
        <v>55</v>
      </c>
      <c r="B3768" t="s">
        <v>10239</v>
      </c>
    </row>
    <row r="3769" spans="1:2">
      <c r="A3769" s="1" t="s">
        <v>300</v>
      </c>
      <c r="B3769" t="s">
        <v>10287</v>
      </c>
    </row>
    <row r="3770" spans="1:2">
      <c r="A3770" s="1" t="s">
        <v>4363</v>
      </c>
      <c r="B3770" t="s">
        <v>10230</v>
      </c>
    </row>
    <row r="3771" spans="1:2">
      <c r="A3771" s="1" t="s">
        <v>848</v>
      </c>
      <c r="B3771" t="s">
        <v>10234</v>
      </c>
    </row>
    <row r="3772" spans="1:2">
      <c r="A3772" s="1" t="s">
        <v>4364</v>
      </c>
      <c r="B3772" t="s">
        <v>10283</v>
      </c>
    </row>
    <row r="3773" spans="1:2">
      <c r="A3773" s="1" t="s">
        <v>4365</v>
      </c>
      <c r="B3773" t="s">
        <v>901</v>
      </c>
    </row>
    <row r="3774" spans="1:2">
      <c r="A3774" s="1" t="s">
        <v>4366</v>
      </c>
      <c r="B3774" t="s">
        <v>10357</v>
      </c>
    </row>
    <row r="3775" spans="1:2">
      <c r="A3775" s="1" t="s">
        <v>4367</v>
      </c>
      <c r="B3775" t="s">
        <v>10266</v>
      </c>
    </row>
    <row r="3776" spans="1:2">
      <c r="A3776" s="1" t="s">
        <v>4368</v>
      </c>
      <c r="B3776" t="s">
        <v>10234</v>
      </c>
    </row>
    <row r="3777" spans="1:2">
      <c r="A3777" s="1" t="s">
        <v>4369</v>
      </c>
      <c r="B3777" t="s">
        <v>10256</v>
      </c>
    </row>
    <row r="3778" spans="1:2">
      <c r="A3778" s="1" t="s">
        <v>4370</v>
      </c>
      <c r="B3778" t="s">
        <v>10286</v>
      </c>
    </row>
    <row r="3779" spans="1:2">
      <c r="A3779" s="1" t="s">
        <v>4371</v>
      </c>
      <c r="B3779" t="s">
        <v>10240</v>
      </c>
    </row>
    <row r="3780" spans="1:2">
      <c r="A3780" s="1" t="s">
        <v>4372</v>
      </c>
      <c r="B3780" t="s">
        <v>10244</v>
      </c>
    </row>
    <row r="3781" spans="1:2">
      <c r="A3781" s="1" t="s">
        <v>4373</v>
      </c>
      <c r="B3781" t="s">
        <v>10272</v>
      </c>
    </row>
    <row r="3782" spans="1:2">
      <c r="A3782" s="1" t="s">
        <v>4374</v>
      </c>
      <c r="B3782" t="s">
        <v>10262</v>
      </c>
    </row>
    <row r="3783" spans="1:2">
      <c r="A3783" s="1" t="s">
        <v>4375</v>
      </c>
      <c r="B3783" t="s">
        <v>10239</v>
      </c>
    </row>
    <row r="3784" spans="1:2">
      <c r="A3784" s="1" t="s">
        <v>4376</v>
      </c>
      <c r="B3784" t="s">
        <v>10470</v>
      </c>
    </row>
    <row r="3785" spans="1:2">
      <c r="A3785" s="1" t="s">
        <v>4377</v>
      </c>
      <c r="B3785" t="s">
        <v>901</v>
      </c>
    </row>
    <row r="3786" spans="1:2">
      <c r="A3786" s="1" t="s">
        <v>4378</v>
      </c>
      <c r="B3786" t="s">
        <v>10230</v>
      </c>
    </row>
    <row r="3787" spans="1:2">
      <c r="A3787" s="1" t="s">
        <v>4379</v>
      </c>
      <c r="B3787" t="s">
        <v>10230</v>
      </c>
    </row>
    <row r="3788" spans="1:2">
      <c r="A3788" s="1" t="s">
        <v>4380</v>
      </c>
      <c r="B3788" t="s">
        <v>10244</v>
      </c>
    </row>
    <row r="3789" spans="1:2">
      <c r="A3789" s="1" t="s">
        <v>4381</v>
      </c>
      <c r="B3789" t="s">
        <v>10234</v>
      </c>
    </row>
    <row r="3790" spans="1:2">
      <c r="A3790" s="1" t="s">
        <v>4382</v>
      </c>
      <c r="B3790" t="s">
        <v>10364</v>
      </c>
    </row>
    <row r="3791" spans="1:2">
      <c r="A3791" s="1" t="s">
        <v>4383</v>
      </c>
      <c r="B3791" t="s">
        <v>10272</v>
      </c>
    </row>
    <row r="3792" spans="1:2">
      <c r="A3792" s="1" t="s">
        <v>280</v>
      </c>
      <c r="B3792" t="s">
        <v>10234</v>
      </c>
    </row>
    <row r="3793" spans="1:2">
      <c r="A3793" s="1" t="s">
        <v>4384</v>
      </c>
      <c r="B3793" t="s">
        <v>10240</v>
      </c>
    </row>
    <row r="3794" spans="1:2">
      <c r="A3794" s="1" t="s">
        <v>4385</v>
      </c>
      <c r="B3794" t="s">
        <v>10266</v>
      </c>
    </row>
    <row r="3795" spans="1:2">
      <c r="A3795" s="1" t="s">
        <v>4386</v>
      </c>
      <c r="B3795" t="s">
        <v>10230</v>
      </c>
    </row>
    <row r="3796" spans="1:2">
      <c r="A3796" s="1" t="s">
        <v>4387</v>
      </c>
      <c r="B3796" t="s">
        <v>10230</v>
      </c>
    </row>
    <row r="3797" spans="1:2">
      <c r="A3797" s="1" t="s">
        <v>4388</v>
      </c>
      <c r="B3797" t="s">
        <v>10366</v>
      </c>
    </row>
    <row r="3798" spans="1:2">
      <c r="A3798" s="1" t="s">
        <v>4389</v>
      </c>
      <c r="B3798" t="s">
        <v>10229</v>
      </c>
    </row>
    <row r="3799" spans="1:2">
      <c r="A3799" s="1" t="s">
        <v>4390</v>
      </c>
      <c r="B3799" t="s">
        <v>10223</v>
      </c>
    </row>
    <row r="3800" spans="1:2">
      <c r="A3800" s="1" t="s">
        <v>31</v>
      </c>
      <c r="B3800" t="s">
        <v>10229</v>
      </c>
    </row>
    <row r="3801" spans="1:2">
      <c r="A3801" s="1" t="s">
        <v>331</v>
      </c>
      <c r="B3801" t="s">
        <v>10314</v>
      </c>
    </row>
    <row r="3802" spans="1:2">
      <c r="A3802" s="1" t="s">
        <v>4391</v>
      </c>
      <c r="B3802" t="s">
        <v>10286</v>
      </c>
    </row>
    <row r="3803" spans="1:2">
      <c r="A3803" s="1" t="s">
        <v>4392</v>
      </c>
      <c r="B3803" t="s">
        <v>10399</v>
      </c>
    </row>
    <row r="3804" spans="1:2">
      <c r="A3804" s="1" t="s">
        <v>4393</v>
      </c>
      <c r="B3804" t="s">
        <v>10240</v>
      </c>
    </row>
    <row r="3805" spans="1:2">
      <c r="A3805" s="1" t="s">
        <v>4394</v>
      </c>
      <c r="B3805" t="s">
        <v>10357</v>
      </c>
    </row>
    <row r="3806" spans="1:2">
      <c r="A3806" s="1" t="s">
        <v>4395</v>
      </c>
      <c r="B3806" t="s">
        <v>10407</v>
      </c>
    </row>
    <row r="3807" spans="1:2">
      <c r="A3807" s="1" t="s">
        <v>4396</v>
      </c>
      <c r="B3807" t="s">
        <v>10240</v>
      </c>
    </row>
    <row r="3808" spans="1:2">
      <c r="A3808" s="1" t="s">
        <v>4397</v>
      </c>
      <c r="B3808" t="s">
        <v>10286</v>
      </c>
    </row>
    <row r="3809" spans="1:2">
      <c r="A3809" s="1" t="s">
        <v>115</v>
      </c>
      <c r="B3809" t="s">
        <v>10234</v>
      </c>
    </row>
    <row r="3810" spans="1:2">
      <c r="A3810" s="1" t="s">
        <v>4398</v>
      </c>
      <c r="B3810" t="s">
        <v>10462</v>
      </c>
    </row>
    <row r="3811" spans="1:2">
      <c r="A3811" s="1" t="s">
        <v>142</v>
      </c>
      <c r="B3811" t="s">
        <v>10277</v>
      </c>
    </row>
    <row r="3812" spans="1:2">
      <c r="A3812" s="1" t="s">
        <v>4399</v>
      </c>
      <c r="B3812" t="s">
        <v>10359</v>
      </c>
    </row>
    <row r="3813" spans="1:2">
      <c r="A3813" s="1" t="s">
        <v>4400</v>
      </c>
      <c r="B3813" t="s">
        <v>10240</v>
      </c>
    </row>
    <row r="3814" spans="1:2">
      <c r="A3814" s="1" t="s">
        <v>4401</v>
      </c>
      <c r="B3814" t="s">
        <v>10240</v>
      </c>
    </row>
    <row r="3815" spans="1:2">
      <c r="A3815" s="1" t="s">
        <v>4402</v>
      </c>
      <c r="B3815" t="s">
        <v>10252</v>
      </c>
    </row>
    <row r="3816" spans="1:2">
      <c r="A3816" s="1" t="s">
        <v>509</v>
      </c>
      <c r="B3816" t="s">
        <v>10261</v>
      </c>
    </row>
    <row r="3817" spans="1:2">
      <c r="A3817" s="1" t="s">
        <v>4403</v>
      </c>
      <c r="B3817" t="s">
        <v>10224</v>
      </c>
    </row>
    <row r="3818" spans="1:2">
      <c r="A3818" s="1" t="s">
        <v>4404</v>
      </c>
      <c r="B3818" t="s">
        <v>10485</v>
      </c>
    </row>
    <row r="3819" spans="1:2">
      <c r="A3819" s="1" t="s">
        <v>4405</v>
      </c>
      <c r="B3819" t="s">
        <v>10430</v>
      </c>
    </row>
    <row r="3820" spans="1:2">
      <c r="A3820" s="1" t="s">
        <v>4406</v>
      </c>
      <c r="B3820" t="s">
        <v>10240</v>
      </c>
    </row>
    <row r="3821" spans="1:2">
      <c r="A3821" s="1" t="s">
        <v>4407</v>
      </c>
      <c r="B3821" t="s">
        <v>10406</v>
      </c>
    </row>
    <row r="3822" spans="1:2">
      <c r="A3822" s="1" t="s">
        <v>460</v>
      </c>
      <c r="B3822" t="s">
        <v>10232</v>
      </c>
    </row>
    <row r="3823" spans="1:2">
      <c r="A3823" s="1" t="s">
        <v>4408</v>
      </c>
      <c r="B3823" t="s">
        <v>10290</v>
      </c>
    </row>
    <row r="3824" spans="1:2">
      <c r="A3824" s="1" t="s">
        <v>4409</v>
      </c>
      <c r="B3824" t="s">
        <v>10269</v>
      </c>
    </row>
    <row r="3825" spans="1:2">
      <c r="A3825" s="1" t="s">
        <v>4410</v>
      </c>
      <c r="B3825" t="s">
        <v>10231</v>
      </c>
    </row>
    <row r="3826" spans="1:2">
      <c r="A3826" s="1" t="s">
        <v>181</v>
      </c>
      <c r="B3826" t="s">
        <v>10229</v>
      </c>
    </row>
    <row r="3827" spans="1:2">
      <c r="A3827" s="1" t="s">
        <v>4411</v>
      </c>
      <c r="B3827" t="s">
        <v>10329</v>
      </c>
    </row>
    <row r="3828" spans="1:2">
      <c r="A3828" s="1" t="s">
        <v>536</v>
      </c>
      <c r="B3828" t="s">
        <v>10277</v>
      </c>
    </row>
    <row r="3829" spans="1:2">
      <c r="A3829" s="1" t="s">
        <v>4412</v>
      </c>
      <c r="B3829" t="s">
        <v>10343</v>
      </c>
    </row>
    <row r="3830" spans="1:2">
      <c r="A3830" s="1" t="s">
        <v>4413</v>
      </c>
      <c r="B3830" t="s">
        <v>901</v>
      </c>
    </row>
    <row r="3831" spans="1:2">
      <c r="A3831" s="1" t="s">
        <v>4414</v>
      </c>
      <c r="B3831" t="s">
        <v>10225</v>
      </c>
    </row>
    <row r="3832" spans="1:2">
      <c r="A3832" s="1" t="s">
        <v>4415</v>
      </c>
      <c r="B3832" t="s">
        <v>10266</v>
      </c>
    </row>
    <row r="3833" spans="1:2">
      <c r="A3833" s="1" t="s">
        <v>4416</v>
      </c>
      <c r="B3833" t="s">
        <v>10278</v>
      </c>
    </row>
    <row r="3834" spans="1:2">
      <c r="A3834" s="1" t="s">
        <v>4417</v>
      </c>
      <c r="B3834" t="s">
        <v>10229</v>
      </c>
    </row>
    <row r="3835" spans="1:2">
      <c r="A3835" s="1" t="s">
        <v>4418</v>
      </c>
      <c r="B3835" t="s">
        <v>10284</v>
      </c>
    </row>
    <row r="3836" spans="1:2">
      <c r="A3836" s="1" t="s">
        <v>4419</v>
      </c>
      <c r="B3836" t="s">
        <v>10267</v>
      </c>
    </row>
    <row r="3837" spans="1:2">
      <c r="A3837" s="1" t="s">
        <v>4420</v>
      </c>
      <c r="B3837" t="s">
        <v>10371</v>
      </c>
    </row>
    <row r="3838" spans="1:2">
      <c r="A3838" s="1" t="s">
        <v>4421</v>
      </c>
      <c r="B3838" t="s">
        <v>10224</v>
      </c>
    </row>
    <row r="3839" spans="1:2">
      <c r="A3839" s="1" t="s">
        <v>854</v>
      </c>
      <c r="B3839" t="s">
        <v>10258</v>
      </c>
    </row>
    <row r="3840" spans="1:2">
      <c r="A3840" s="1" t="s">
        <v>4422</v>
      </c>
      <c r="B3840" t="s">
        <v>10252</v>
      </c>
    </row>
    <row r="3841" spans="1:2">
      <c r="A3841" s="1" t="s">
        <v>583</v>
      </c>
      <c r="B3841" t="s">
        <v>10279</v>
      </c>
    </row>
    <row r="3842" spans="1:2">
      <c r="A3842" s="1" t="s">
        <v>4423</v>
      </c>
      <c r="B3842" t="s">
        <v>10223</v>
      </c>
    </row>
    <row r="3843" spans="1:2">
      <c r="A3843" s="1" t="s">
        <v>437</v>
      </c>
      <c r="B3843" t="s">
        <v>10346</v>
      </c>
    </row>
    <row r="3844" spans="1:2">
      <c r="A3844" s="1" t="s">
        <v>4424</v>
      </c>
      <c r="B3844" t="s">
        <v>10283</v>
      </c>
    </row>
    <row r="3845" spans="1:2">
      <c r="A3845" s="1" t="s">
        <v>4425</v>
      </c>
      <c r="B3845" t="s">
        <v>10240</v>
      </c>
    </row>
    <row r="3846" spans="1:2">
      <c r="A3846" s="1" t="s">
        <v>4426</v>
      </c>
      <c r="B3846" t="s">
        <v>10232</v>
      </c>
    </row>
    <row r="3847" spans="1:2">
      <c r="A3847" s="1" t="s">
        <v>4427</v>
      </c>
      <c r="B3847" t="s">
        <v>10256</v>
      </c>
    </row>
    <row r="3848" spans="1:2">
      <c r="A3848" s="1" t="s">
        <v>4428</v>
      </c>
      <c r="B3848" t="s">
        <v>10239</v>
      </c>
    </row>
    <row r="3849" spans="1:2">
      <c r="A3849" s="1" t="s">
        <v>4429</v>
      </c>
      <c r="B3849" t="s">
        <v>10234</v>
      </c>
    </row>
    <row r="3850" spans="1:2">
      <c r="A3850" s="1" t="s">
        <v>4430</v>
      </c>
      <c r="B3850" t="s">
        <v>10267</v>
      </c>
    </row>
    <row r="3851" spans="1:2">
      <c r="A3851" s="1" t="s">
        <v>4431</v>
      </c>
      <c r="B3851" t="s">
        <v>901</v>
      </c>
    </row>
    <row r="3852" spans="1:2">
      <c r="A3852" s="1" t="s">
        <v>4432</v>
      </c>
      <c r="B3852" t="s">
        <v>10282</v>
      </c>
    </row>
    <row r="3853" spans="1:2">
      <c r="A3853" s="1" t="s">
        <v>4433</v>
      </c>
      <c r="B3853" t="s">
        <v>10287</v>
      </c>
    </row>
    <row r="3854" spans="1:2">
      <c r="A3854" s="1" t="s">
        <v>563</v>
      </c>
      <c r="B3854" t="s">
        <v>10277</v>
      </c>
    </row>
    <row r="3855" spans="1:2">
      <c r="A3855" s="1" t="s">
        <v>4434</v>
      </c>
      <c r="B3855" t="s">
        <v>10324</v>
      </c>
    </row>
    <row r="3856" spans="1:2">
      <c r="A3856" s="1" t="s">
        <v>4435</v>
      </c>
      <c r="B3856" t="s">
        <v>10312</v>
      </c>
    </row>
    <row r="3857" spans="1:2">
      <c r="A3857" s="1" t="s">
        <v>4436</v>
      </c>
      <c r="B3857" t="s">
        <v>10272</v>
      </c>
    </row>
    <row r="3858" spans="1:2">
      <c r="A3858" s="1" t="s">
        <v>4437</v>
      </c>
      <c r="B3858" t="s">
        <v>10375</v>
      </c>
    </row>
    <row r="3859" spans="1:2">
      <c r="A3859" s="1" t="s">
        <v>4438</v>
      </c>
      <c r="B3859" t="s">
        <v>10266</v>
      </c>
    </row>
    <row r="3860" spans="1:2">
      <c r="A3860" s="1" t="s">
        <v>4439</v>
      </c>
      <c r="B3860" t="s">
        <v>10287</v>
      </c>
    </row>
    <row r="3861" spans="1:2">
      <c r="A3861" s="1" t="s">
        <v>4440</v>
      </c>
      <c r="B3861" t="s">
        <v>10251</v>
      </c>
    </row>
    <row r="3862" spans="1:2">
      <c r="A3862" s="1" t="s">
        <v>4441</v>
      </c>
      <c r="B3862" t="s">
        <v>10267</v>
      </c>
    </row>
    <row r="3863" spans="1:2">
      <c r="A3863" s="1" t="s">
        <v>4442</v>
      </c>
      <c r="B3863" t="s">
        <v>10403</v>
      </c>
    </row>
    <row r="3864" spans="1:2">
      <c r="A3864" s="1" t="s">
        <v>657</v>
      </c>
      <c r="B3864" t="s">
        <v>10278</v>
      </c>
    </row>
    <row r="3865" spans="1:2">
      <c r="A3865" s="1" t="s">
        <v>4443</v>
      </c>
      <c r="B3865" t="s">
        <v>10234</v>
      </c>
    </row>
    <row r="3866" spans="1:2">
      <c r="A3866" s="1" t="s">
        <v>4444</v>
      </c>
      <c r="B3866" t="s">
        <v>901</v>
      </c>
    </row>
    <row r="3867" spans="1:2">
      <c r="A3867" s="1" t="s">
        <v>655</v>
      </c>
      <c r="B3867" t="s">
        <v>10321</v>
      </c>
    </row>
    <row r="3868" spans="1:2">
      <c r="A3868" s="1" t="s">
        <v>4445</v>
      </c>
      <c r="B3868" t="s">
        <v>10262</v>
      </c>
    </row>
    <row r="3869" spans="1:2">
      <c r="A3869" s="1" t="s">
        <v>4446</v>
      </c>
      <c r="B3869" t="s">
        <v>10387</v>
      </c>
    </row>
    <row r="3870" spans="1:2">
      <c r="A3870" s="1" t="s">
        <v>4447</v>
      </c>
      <c r="B3870" t="s">
        <v>10225</v>
      </c>
    </row>
    <row r="3871" spans="1:2">
      <c r="A3871" s="1" t="s">
        <v>4448</v>
      </c>
      <c r="B3871" t="s">
        <v>10286</v>
      </c>
    </row>
    <row r="3872" spans="1:2">
      <c r="A3872" s="1" t="s">
        <v>68</v>
      </c>
      <c r="B3872" t="s">
        <v>10282</v>
      </c>
    </row>
    <row r="3873" spans="1:2">
      <c r="A3873" s="1" t="s">
        <v>4449</v>
      </c>
      <c r="B3873" t="s">
        <v>10223</v>
      </c>
    </row>
    <row r="3874" spans="1:2">
      <c r="A3874" s="1" t="s">
        <v>4450</v>
      </c>
      <c r="B3874" t="s">
        <v>10224</v>
      </c>
    </row>
    <row r="3875" spans="1:2">
      <c r="A3875" s="1" t="s">
        <v>4451</v>
      </c>
      <c r="B3875" t="s">
        <v>10223</v>
      </c>
    </row>
    <row r="3876" spans="1:2">
      <c r="A3876" s="1" t="s">
        <v>4452</v>
      </c>
      <c r="B3876" t="s">
        <v>10327</v>
      </c>
    </row>
    <row r="3877" spans="1:2">
      <c r="A3877" s="1" t="s">
        <v>4453</v>
      </c>
      <c r="B3877" t="s">
        <v>10247</v>
      </c>
    </row>
    <row r="3878" spans="1:2">
      <c r="A3878" s="1" t="s">
        <v>4454</v>
      </c>
      <c r="B3878" t="s">
        <v>10358</v>
      </c>
    </row>
    <row r="3879" spans="1:2">
      <c r="A3879" s="1" t="s">
        <v>4455</v>
      </c>
      <c r="B3879" t="s">
        <v>10228</v>
      </c>
    </row>
    <row r="3880" spans="1:2">
      <c r="A3880" s="1" t="s">
        <v>307</v>
      </c>
      <c r="B3880" t="s">
        <v>10278</v>
      </c>
    </row>
    <row r="3881" spans="1:2">
      <c r="A3881" s="1" t="s">
        <v>4456</v>
      </c>
      <c r="B3881" t="s">
        <v>10283</v>
      </c>
    </row>
    <row r="3882" spans="1:2">
      <c r="A3882" s="1" t="s">
        <v>4457</v>
      </c>
      <c r="B3882" t="s">
        <v>10417</v>
      </c>
    </row>
    <row r="3883" spans="1:2">
      <c r="A3883" s="1" t="s">
        <v>4458</v>
      </c>
      <c r="B3883" t="s">
        <v>10272</v>
      </c>
    </row>
    <row r="3884" spans="1:2">
      <c r="A3884" s="1" t="s">
        <v>64</v>
      </c>
      <c r="B3884" t="s">
        <v>10229</v>
      </c>
    </row>
    <row r="3885" spans="1:2">
      <c r="A3885" s="1" t="s">
        <v>458</v>
      </c>
      <c r="B3885" t="s">
        <v>10234</v>
      </c>
    </row>
    <row r="3886" spans="1:2">
      <c r="A3886" s="1" t="s">
        <v>4459</v>
      </c>
      <c r="B3886" t="s">
        <v>10234</v>
      </c>
    </row>
    <row r="3887" spans="1:2">
      <c r="A3887" s="1" t="s">
        <v>4460</v>
      </c>
      <c r="B3887" t="s">
        <v>10230</v>
      </c>
    </row>
    <row r="3888" spans="1:2">
      <c r="A3888" s="1" t="s">
        <v>4461</v>
      </c>
      <c r="B3888" t="s">
        <v>10412</v>
      </c>
    </row>
    <row r="3889" spans="1:2">
      <c r="A3889" s="1" t="s">
        <v>4462</v>
      </c>
      <c r="B3889" t="s">
        <v>10312</v>
      </c>
    </row>
    <row r="3890" spans="1:2">
      <c r="A3890" s="1" t="s">
        <v>4463</v>
      </c>
      <c r="B3890" t="s">
        <v>10322</v>
      </c>
    </row>
    <row r="3891" spans="1:2">
      <c r="A3891" s="1" t="s">
        <v>4464</v>
      </c>
      <c r="B3891" t="s">
        <v>10262</v>
      </c>
    </row>
    <row r="3892" spans="1:2">
      <c r="A3892" s="1" t="s">
        <v>4465</v>
      </c>
      <c r="B3892" t="s">
        <v>10232</v>
      </c>
    </row>
    <row r="3893" spans="1:2">
      <c r="A3893" s="1" t="s">
        <v>4466</v>
      </c>
      <c r="B3893" t="s">
        <v>10262</v>
      </c>
    </row>
    <row r="3894" spans="1:2">
      <c r="A3894" s="1" t="s">
        <v>4467</v>
      </c>
      <c r="B3894" t="s">
        <v>10327</v>
      </c>
    </row>
    <row r="3895" spans="1:2">
      <c r="A3895" s="1" t="s">
        <v>4468</v>
      </c>
      <c r="B3895" t="s">
        <v>10304</v>
      </c>
    </row>
    <row r="3896" spans="1:2">
      <c r="A3896" s="1" t="s">
        <v>4469</v>
      </c>
      <c r="B3896" t="s">
        <v>10230</v>
      </c>
    </row>
    <row r="3897" spans="1:2">
      <c r="A3897" s="1" t="s">
        <v>4470</v>
      </c>
      <c r="B3897" t="s">
        <v>901</v>
      </c>
    </row>
    <row r="3898" spans="1:2">
      <c r="A3898" s="1" t="s">
        <v>4471</v>
      </c>
      <c r="B3898" t="s">
        <v>10280</v>
      </c>
    </row>
    <row r="3899" spans="1:2">
      <c r="A3899" s="1" t="s">
        <v>512</v>
      </c>
      <c r="B3899" t="s">
        <v>10278</v>
      </c>
    </row>
    <row r="3900" spans="1:2">
      <c r="A3900" s="1" t="s">
        <v>4472</v>
      </c>
      <c r="B3900" t="s">
        <v>10294</v>
      </c>
    </row>
    <row r="3901" spans="1:2">
      <c r="A3901" s="1" t="s">
        <v>4473</v>
      </c>
      <c r="B3901" t="s">
        <v>10286</v>
      </c>
    </row>
    <row r="3902" spans="1:2">
      <c r="A3902" s="1" t="s">
        <v>4474</v>
      </c>
      <c r="B3902" t="s">
        <v>10230</v>
      </c>
    </row>
    <row r="3903" spans="1:2">
      <c r="A3903" s="1" t="s">
        <v>4475</v>
      </c>
      <c r="B3903" t="s">
        <v>10234</v>
      </c>
    </row>
    <row r="3904" spans="1:2">
      <c r="A3904" s="1" t="s">
        <v>4476</v>
      </c>
      <c r="B3904" t="s">
        <v>10412</v>
      </c>
    </row>
    <row r="3905" spans="1:2">
      <c r="A3905" s="1" t="s">
        <v>4477</v>
      </c>
      <c r="B3905" t="s">
        <v>10412</v>
      </c>
    </row>
    <row r="3906" spans="1:2">
      <c r="A3906" s="1" t="s">
        <v>4478</v>
      </c>
      <c r="B3906" t="s">
        <v>10289</v>
      </c>
    </row>
    <row r="3907" spans="1:2">
      <c r="A3907" s="1" t="s">
        <v>395</v>
      </c>
      <c r="B3907" t="s">
        <v>10275</v>
      </c>
    </row>
    <row r="3908" spans="1:2">
      <c r="A3908" s="1" t="s">
        <v>4479</v>
      </c>
      <c r="B3908" t="s">
        <v>10270</v>
      </c>
    </row>
    <row r="3909" spans="1:2">
      <c r="A3909" s="1" t="s">
        <v>517</v>
      </c>
      <c r="B3909" t="s">
        <v>10270</v>
      </c>
    </row>
    <row r="3910" spans="1:2">
      <c r="A3910" s="1" t="s">
        <v>4480</v>
      </c>
      <c r="B3910" t="s">
        <v>10224</v>
      </c>
    </row>
    <row r="3911" spans="1:2">
      <c r="A3911" s="1" t="s">
        <v>341</v>
      </c>
      <c r="B3911" t="s">
        <v>10364</v>
      </c>
    </row>
    <row r="3912" spans="1:2">
      <c r="A3912" s="1" t="s">
        <v>4481</v>
      </c>
      <c r="B3912" t="s">
        <v>10341</v>
      </c>
    </row>
    <row r="3913" spans="1:2">
      <c r="A3913" s="1" t="s">
        <v>4482</v>
      </c>
      <c r="B3913" t="s">
        <v>10458</v>
      </c>
    </row>
    <row r="3914" spans="1:2">
      <c r="A3914" s="1" t="s">
        <v>4483</v>
      </c>
      <c r="B3914" t="s">
        <v>10319</v>
      </c>
    </row>
    <row r="3915" spans="1:2">
      <c r="A3915" s="1" t="s">
        <v>4484</v>
      </c>
      <c r="B3915" t="s">
        <v>10412</v>
      </c>
    </row>
    <row r="3916" spans="1:2">
      <c r="A3916" s="1" t="s">
        <v>4485</v>
      </c>
      <c r="B3916" t="s">
        <v>10223</v>
      </c>
    </row>
    <row r="3917" spans="1:2">
      <c r="A3917" s="1" t="s">
        <v>4486</v>
      </c>
      <c r="B3917" t="s">
        <v>10272</v>
      </c>
    </row>
    <row r="3918" spans="1:2">
      <c r="A3918" s="1" t="s">
        <v>4487</v>
      </c>
      <c r="B3918" t="s">
        <v>10240</v>
      </c>
    </row>
    <row r="3919" spans="1:2">
      <c r="A3919" s="1" t="s">
        <v>4488</v>
      </c>
      <c r="B3919" t="s">
        <v>10290</v>
      </c>
    </row>
    <row r="3920" spans="1:2">
      <c r="A3920" s="1" t="s">
        <v>888</v>
      </c>
      <c r="B3920" t="s">
        <v>10243</v>
      </c>
    </row>
    <row r="3921" spans="1:2">
      <c r="A3921" s="1" t="s">
        <v>4489</v>
      </c>
      <c r="B3921" t="s">
        <v>10222</v>
      </c>
    </row>
    <row r="3922" spans="1:2">
      <c r="A3922" s="1" t="s">
        <v>4490</v>
      </c>
      <c r="B3922" t="s">
        <v>10486</v>
      </c>
    </row>
    <row r="3923" spans="1:2">
      <c r="A3923" s="1" t="s">
        <v>4491</v>
      </c>
      <c r="B3923" t="s">
        <v>10244</v>
      </c>
    </row>
    <row r="3924" spans="1:2">
      <c r="A3924" s="1" t="s">
        <v>137</v>
      </c>
      <c r="B3924" t="s">
        <v>10389</v>
      </c>
    </row>
    <row r="3925" spans="1:2">
      <c r="A3925" s="1" t="s">
        <v>372</v>
      </c>
      <c r="B3925" t="s">
        <v>10268</v>
      </c>
    </row>
    <row r="3926" spans="1:2">
      <c r="A3926" s="1" t="s">
        <v>4492</v>
      </c>
      <c r="B3926" t="s">
        <v>10287</v>
      </c>
    </row>
    <row r="3927" spans="1:2">
      <c r="A3927" s="1" t="s">
        <v>4493</v>
      </c>
      <c r="B3927" t="s">
        <v>10264</v>
      </c>
    </row>
    <row r="3928" spans="1:2">
      <c r="A3928" s="1" t="s">
        <v>180</v>
      </c>
      <c r="B3928" t="s">
        <v>10229</v>
      </c>
    </row>
    <row r="3929" spans="1:2">
      <c r="A3929" s="1" t="s">
        <v>356</v>
      </c>
      <c r="B3929" t="s">
        <v>10419</v>
      </c>
    </row>
    <row r="3930" spans="1:2">
      <c r="A3930" s="1" t="s">
        <v>4494</v>
      </c>
      <c r="B3930" t="s">
        <v>10240</v>
      </c>
    </row>
    <row r="3931" spans="1:2">
      <c r="A3931" s="1" t="s">
        <v>4495</v>
      </c>
      <c r="B3931" t="s">
        <v>10223</v>
      </c>
    </row>
    <row r="3932" spans="1:2">
      <c r="A3932" s="1" t="s">
        <v>4496</v>
      </c>
      <c r="B3932" t="s">
        <v>10319</v>
      </c>
    </row>
    <row r="3933" spans="1:2">
      <c r="A3933" s="1" t="s">
        <v>4497</v>
      </c>
      <c r="B3933" t="s">
        <v>10357</v>
      </c>
    </row>
    <row r="3934" spans="1:2">
      <c r="A3934" s="1" t="s">
        <v>4498</v>
      </c>
      <c r="B3934" t="s">
        <v>10324</v>
      </c>
    </row>
    <row r="3935" spans="1:2">
      <c r="A3935" s="1" t="s">
        <v>639</v>
      </c>
      <c r="B3935" t="s">
        <v>10277</v>
      </c>
    </row>
    <row r="3936" spans="1:2">
      <c r="A3936" s="1" t="s">
        <v>606</v>
      </c>
      <c r="B3936" t="s">
        <v>10286</v>
      </c>
    </row>
    <row r="3937" spans="1:2">
      <c r="A3937" s="1" t="s">
        <v>4499</v>
      </c>
      <c r="B3937" t="s">
        <v>10276</v>
      </c>
    </row>
    <row r="3938" spans="1:2">
      <c r="A3938" s="1" t="s">
        <v>4500</v>
      </c>
      <c r="B3938" t="s">
        <v>10262</v>
      </c>
    </row>
    <row r="3939" spans="1:2">
      <c r="A3939" s="1" t="s">
        <v>4501</v>
      </c>
      <c r="B3939" t="s">
        <v>10256</v>
      </c>
    </row>
    <row r="3940" spans="1:2">
      <c r="A3940" s="1" t="s">
        <v>4502</v>
      </c>
      <c r="B3940" t="s">
        <v>10343</v>
      </c>
    </row>
    <row r="3941" spans="1:2">
      <c r="A3941" s="1" t="s">
        <v>4503</v>
      </c>
      <c r="B3941" t="s">
        <v>10244</v>
      </c>
    </row>
    <row r="3942" spans="1:2">
      <c r="A3942" s="1" t="s">
        <v>4504</v>
      </c>
      <c r="B3942" t="s">
        <v>10387</v>
      </c>
    </row>
    <row r="3943" spans="1:2">
      <c r="A3943" s="1" t="s">
        <v>4505</v>
      </c>
      <c r="B3943" t="s">
        <v>10234</v>
      </c>
    </row>
    <row r="3944" spans="1:2">
      <c r="A3944" s="1" t="s">
        <v>4506</v>
      </c>
      <c r="B3944" t="s">
        <v>10223</v>
      </c>
    </row>
    <row r="3945" spans="1:2">
      <c r="A3945" s="1" t="s">
        <v>4507</v>
      </c>
      <c r="B3945" t="s">
        <v>10231</v>
      </c>
    </row>
    <row r="3946" spans="1:2">
      <c r="A3946" s="1" t="s">
        <v>174</v>
      </c>
      <c r="B3946" t="s">
        <v>10238</v>
      </c>
    </row>
    <row r="3947" spans="1:2">
      <c r="A3947" s="1" t="s">
        <v>4508</v>
      </c>
      <c r="B3947" t="s">
        <v>10266</v>
      </c>
    </row>
    <row r="3948" spans="1:2">
      <c r="A3948" s="1" t="s">
        <v>4509</v>
      </c>
      <c r="B3948" t="s">
        <v>10266</v>
      </c>
    </row>
    <row r="3949" spans="1:2">
      <c r="A3949" s="1" t="s">
        <v>4510</v>
      </c>
      <c r="B3949" t="s">
        <v>10248</v>
      </c>
    </row>
    <row r="3950" spans="1:2">
      <c r="A3950" s="1" t="s">
        <v>4511</v>
      </c>
      <c r="B3950" t="s">
        <v>10261</v>
      </c>
    </row>
    <row r="3951" spans="1:2">
      <c r="A3951" s="1" t="s">
        <v>857</v>
      </c>
      <c r="B3951" t="s">
        <v>10286</v>
      </c>
    </row>
    <row r="3952" spans="1:2">
      <c r="A3952" s="1" t="s">
        <v>4512</v>
      </c>
      <c r="B3952" t="s">
        <v>10266</v>
      </c>
    </row>
    <row r="3953" spans="1:2">
      <c r="A3953" s="1" t="s">
        <v>4513</v>
      </c>
      <c r="B3953" t="s">
        <v>10292</v>
      </c>
    </row>
    <row r="3954" spans="1:2">
      <c r="A3954" s="1" t="s">
        <v>4514</v>
      </c>
      <c r="B3954" t="s">
        <v>10281</v>
      </c>
    </row>
    <row r="3955" spans="1:2">
      <c r="A3955" s="1" t="s">
        <v>4515</v>
      </c>
      <c r="B3955" t="s">
        <v>10280</v>
      </c>
    </row>
    <row r="3956" spans="1:2">
      <c r="A3956" s="1" t="s">
        <v>4516</v>
      </c>
      <c r="B3956" t="s">
        <v>901</v>
      </c>
    </row>
    <row r="3957" spans="1:2">
      <c r="A3957" s="1" t="s">
        <v>4517</v>
      </c>
      <c r="B3957" t="s">
        <v>10403</v>
      </c>
    </row>
    <row r="3958" spans="1:2">
      <c r="A3958" s="1" t="s">
        <v>74</v>
      </c>
      <c r="B3958" t="s">
        <v>10353</v>
      </c>
    </row>
    <row r="3959" spans="1:2">
      <c r="A3959" s="1" t="s">
        <v>4518</v>
      </c>
      <c r="B3959" t="s">
        <v>10230</v>
      </c>
    </row>
    <row r="3960" spans="1:2">
      <c r="A3960" s="1" t="s">
        <v>4519</v>
      </c>
      <c r="B3960" t="s">
        <v>10366</v>
      </c>
    </row>
    <row r="3961" spans="1:2">
      <c r="A3961" s="1" t="s">
        <v>4520</v>
      </c>
      <c r="B3961" t="s">
        <v>10360</v>
      </c>
    </row>
    <row r="3962" spans="1:2">
      <c r="A3962" s="1" t="s">
        <v>4521</v>
      </c>
      <c r="B3962" t="s">
        <v>10364</v>
      </c>
    </row>
    <row r="3963" spans="1:2">
      <c r="A3963" s="1" t="s">
        <v>4522</v>
      </c>
      <c r="B3963" t="s">
        <v>10465</v>
      </c>
    </row>
    <row r="3964" spans="1:2">
      <c r="A3964" s="1" t="s">
        <v>4523</v>
      </c>
      <c r="B3964" t="s">
        <v>10283</v>
      </c>
    </row>
    <row r="3965" spans="1:2">
      <c r="A3965" s="1" t="s">
        <v>4524</v>
      </c>
      <c r="B3965" t="s">
        <v>10317</v>
      </c>
    </row>
    <row r="3966" spans="1:2">
      <c r="A3966" s="1" t="s">
        <v>4525</v>
      </c>
      <c r="B3966" t="s">
        <v>10240</v>
      </c>
    </row>
    <row r="3967" spans="1:2">
      <c r="A3967" s="1" t="s">
        <v>4526</v>
      </c>
      <c r="B3967" t="s">
        <v>10240</v>
      </c>
    </row>
    <row r="3968" spans="1:2">
      <c r="A3968" s="1" t="s">
        <v>4527</v>
      </c>
      <c r="B3968" t="s">
        <v>10357</v>
      </c>
    </row>
    <row r="3969" spans="1:2">
      <c r="A3969" s="1" t="s">
        <v>4528</v>
      </c>
      <c r="B3969" t="s">
        <v>10240</v>
      </c>
    </row>
    <row r="3970" spans="1:2">
      <c r="A3970" s="1" t="s">
        <v>4529</v>
      </c>
      <c r="B3970" t="s">
        <v>10234</v>
      </c>
    </row>
    <row r="3971" spans="1:2">
      <c r="A3971" s="1" t="s">
        <v>69</v>
      </c>
      <c r="B3971" t="s">
        <v>10277</v>
      </c>
    </row>
    <row r="3972" spans="1:2">
      <c r="A3972" s="1" t="s">
        <v>378</v>
      </c>
      <c r="B3972" t="s">
        <v>10261</v>
      </c>
    </row>
    <row r="3973" spans="1:2">
      <c r="A3973" s="1" t="s">
        <v>4530</v>
      </c>
      <c r="B3973" t="s">
        <v>10240</v>
      </c>
    </row>
    <row r="3974" spans="1:2">
      <c r="A3974" s="1" t="s">
        <v>4531</v>
      </c>
      <c r="B3974" t="s">
        <v>10240</v>
      </c>
    </row>
    <row r="3975" spans="1:2">
      <c r="A3975" s="1" t="s">
        <v>4532</v>
      </c>
      <c r="B3975" t="s">
        <v>10229</v>
      </c>
    </row>
    <row r="3976" spans="1:2">
      <c r="A3976" s="1" t="s">
        <v>4533</v>
      </c>
      <c r="B3976" t="s">
        <v>10277</v>
      </c>
    </row>
    <row r="3977" spans="1:2">
      <c r="A3977" s="1" t="s">
        <v>4534</v>
      </c>
      <c r="B3977" t="s">
        <v>10286</v>
      </c>
    </row>
    <row r="3978" spans="1:2">
      <c r="A3978" s="1" t="s">
        <v>4535</v>
      </c>
      <c r="B3978" t="s">
        <v>10223</v>
      </c>
    </row>
    <row r="3979" spans="1:2">
      <c r="A3979" s="1" t="s">
        <v>4536</v>
      </c>
      <c r="B3979" t="s">
        <v>10256</v>
      </c>
    </row>
    <row r="3980" spans="1:2">
      <c r="A3980" s="1" t="s">
        <v>4537</v>
      </c>
      <c r="B3980" t="s">
        <v>10223</v>
      </c>
    </row>
    <row r="3981" spans="1:2">
      <c r="A3981" s="1" t="s">
        <v>4538</v>
      </c>
      <c r="B3981" t="s">
        <v>10440</v>
      </c>
    </row>
    <row r="3982" spans="1:2">
      <c r="A3982" s="1" t="s">
        <v>682</v>
      </c>
      <c r="B3982" t="s">
        <v>10460</v>
      </c>
    </row>
    <row r="3983" spans="1:2">
      <c r="A3983" s="1" t="s">
        <v>805</v>
      </c>
      <c r="B3983" t="s">
        <v>10322</v>
      </c>
    </row>
    <row r="3984" spans="1:2">
      <c r="A3984" s="1" t="s">
        <v>4539</v>
      </c>
      <c r="B3984" t="s">
        <v>10261</v>
      </c>
    </row>
    <row r="3985" spans="1:2">
      <c r="A3985" s="1" t="s">
        <v>4540</v>
      </c>
      <c r="B3985" t="s">
        <v>10234</v>
      </c>
    </row>
    <row r="3986" spans="1:2">
      <c r="A3986" s="1" t="s">
        <v>4541</v>
      </c>
      <c r="B3986" t="s">
        <v>10343</v>
      </c>
    </row>
    <row r="3987" spans="1:2">
      <c r="A3987" s="1" t="s">
        <v>4542</v>
      </c>
      <c r="B3987" t="s">
        <v>10231</v>
      </c>
    </row>
    <row r="3988" spans="1:2">
      <c r="A3988" s="1" t="s">
        <v>4543</v>
      </c>
      <c r="B3988" t="s">
        <v>10230</v>
      </c>
    </row>
    <row r="3989" spans="1:2">
      <c r="A3989" s="1" t="s">
        <v>4544</v>
      </c>
      <c r="B3989" t="s">
        <v>901</v>
      </c>
    </row>
    <row r="3990" spans="1:2">
      <c r="A3990" s="1" t="s">
        <v>4545</v>
      </c>
      <c r="B3990" t="s">
        <v>10416</v>
      </c>
    </row>
    <row r="3991" spans="1:2">
      <c r="A3991" s="1" t="s">
        <v>387</v>
      </c>
      <c r="B3991" t="s">
        <v>10286</v>
      </c>
    </row>
    <row r="3992" spans="1:2">
      <c r="A3992" s="1" t="s">
        <v>4546</v>
      </c>
      <c r="B3992" t="s">
        <v>10319</v>
      </c>
    </row>
    <row r="3993" spans="1:2">
      <c r="A3993" s="1" t="s">
        <v>4547</v>
      </c>
      <c r="B3993" t="s">
        <v>10442</v>
      </c>
    </row>
    <row r="3994" spans="1:2">
      <c r="A3994" s="1" t="s">
        <v>4548</v>
      </c>
      <c r="B3994" t="s">
        <v>10487</v>
      </c>
    </row>
    <row r="3995" spans="1:2">
      <c r="A3995" s="1" t="s">
        <v>4549</v>
      </c>
      <c r="B3995" t="s">
        <v>10224</v>
      </c>
    </row>
    <row r="3996" spans="1:2">
      <c r="A3996" s="1" t="s">
        <v>4550</v>
      </c>
      <c r="B3996" t="s">
        <v>10230</v>
      </c>
    </row>
    <row r="3997" spans="1:2">
      <c r="A3997" s="1" t="s">
        <v>4551</v>
      </c>
      <c r="B3997" t="s">
        <v>10240</v>
      </c>
    </row>
    <row r="3998" spans="1:2">
      <c r="A3998" s="1" t="s">
        <v>4552</v>
      </c>
      <c r="B3998" t="s">
        <v>10403</v>
      </c>
    </row>
    <row r="3999" spans="1:2">
      <c r="A3999" s="1" t="s">
        <v>4553</v>
      </c>
      <c r="B3999" t="s">
        <v>10305</v>
      </c>
    </row>
    <row r="4000" spans="1:2">
      <c r="A4000" s="1" t="s">
        <v>4554</v>
      </c>
      <c r="B4000" t="s">
        <v>10420</v>
      </c>
    </row>
    <row r="4001" spans="1:2">
      <c r="A4001" s="1" t="s">
        <v>4555</v>
      </c>
      <c r="B4001" t="s">
        <v>901</v>
      </c>
    </row>
    <row r="4002" spans="1:2">
      <c r="A4002" s="1" t="s">
        <v>4556</v>
      </c>
      <c r="B4002" t="s">
        <v>901</v>
      </c>
    </row>
    <row r="4003" spans="1:2">
      <c r="A4003" s="1" t="s">
        <v>4557</v>
      </c>
      <c r="B4003" t="s">
        <v>10239</v>
      </c>
    </row>
    <row r="4004" spans="1:2">
      <c r="A4004" s="1" t="s">
        <v>4558</v>
      </c>
      <c r="B4004" t="s">
        <v>901</v>
      </c>
    </row>
    <row r="4005" spans="1:2">
      <c r="A4005" s="1" t="s">
        <v>4559</v>
      </c>
      <c r="B4005" t="s">
        <v>10250</v>
      </c>
    </row>
    <row r="4006" spans="1:2">
      <c r="A4006" s="1" t="s">
        <v>4560</v>
      </c>
      <c r="B4006" t="s">
        <v>901</v>
      </c>
    </row>
    <row r="4007" spans="1:2">
      <c r="A4007" s="1" t="s">
        <v>4561</v>
      </c>
      <c r="B4007" t="s">
        <v>10228</v>
      </c>
    </row>
    <row r="4008" spans="1:2">
      <c r="A4008" s="1" t="s">
        <v>4562</v>
      </c>
      <c r="B4008" t="s">
        <v>10307</v>
      </c>
    </row>
    <row r="4009" spans="1:2">
      <c r="A4009" s="1" t="s">
        <v>885</v>
      </c>
      <c r="B4009" t="s">
        <v>10243</v>
      </c>
    </row>
    <row r="4010" spans="1:2">
      <c r="A4010" s="1" t="s">
        <v>4563</v>
      </c>
      <c r="B4010" t="s">
        <v>10229</v>
      </c>
    </row>
    <row r="4011" spans="1:2">
      <c r="A4011" s="1" t="s">
        <v>118</v>
      </c>
      <c r="B4011" t="s">
        <v>10387</v>
      </c>
    </row>
    <row r="4012" spans="1:2">
      <c r="A4012" s="1" t="s">
        <v>4564</v>
      </c>
      <c r="B4012" t="s">
        <v>10323</v>
      </c>
    </row>
    <row r="4013" spans="1:2">
      <c r="A4013" s="1" t="s">
        <v>4565</v>
      </c>
      <c r="B4013" t="s">
        <v>10266</v>
      </c>
    </row>
    <row r="4014" spans="1:2">
      <c r="A4014" s="1" t="s">
        <v>4566</v>
      </c>
      <c r="B4014" t="s">
        <v>10225</v>
      </c>
    </row>
    <row r="4015" spans="1:2">
      <c r="A4015" s="1" t="s">
        <v>4567</v>
      </c>
      <c r="B4015" t="s">
        <v>10240</v>
      </c>
    </row>
    <row r="4016" spans="1:2">
      <c r="A4016" s="1" t="s">
        <v>822</v>
      </c>
      <c r="B4016" t="s">
        <v>10290</v>
      </c>
    </row>
    <row r="4017" spans="1:2">
      <c r="A4017" s="1" t="s">
        <v>4568</v>
      </c>
      <c r="B4017" t="s">
        <v>10240</v>
      </c>
    </row>
    <row r="4018" spans="1:2">
      <c r="A4018" s="1" t="s">
        <v>337</v>
      </c>
      <c r="B4018" t="s">
        <v>10228</v>
      </c>
    </row>
    <row r="4019" spans="1:2">
      <c r="A4019" s="1" t="s">
        <v>4569</v>
      </c>
      <c r="B4019" t="s">
        <v>10343</v>
      </c>
    </row>
    <row r="4020" spans="1:2">
      <c r="A4020" s="1" t="s">
        <v>4570</v>
      </c>
      <c r="B4020" t="s">
        <v>10240</v>
      </c>
    </row>
    <row r="4021" spans="1:2">
      <c r="A4021" s="1" t="s">
        <v>4571</v>
      </c>
      <c r="B4021" t="s">
        <v>10252</v>
      </c>
    </row>
    <row r="4022" spans="1:2">
      <c r="A4022" s="1" t="s">
        <v>4572</v>
      </c>
      <c r="B4022" t="s">
        <v>10272</v>
      </c>
    </row>
    <row r="4023" spans="1:2">
      <c r="A4023" s="1" t="s">
        <v>4573</v>
      </c>
      <c r="B4023" t="s">
        <v>10400</v>
      </c>
    </row>
    <row r="4024" spans="1:2">
      <c r="A4024" s="1" t="s">
        <v>4574</v>
      </c>
      <c r="B4024" t="s">
        <v>10277</v>
      </c>
    </row>
    <row r="4025" spans="1:2">
      <c r="A4025" s="1" t="s">
        <v>4575</v>
      </c>
      <c r="B4025" t="s">
        <v>10283</v>
      </c>
    </row>
    <row r="4026" spans="1:2">
      <c r="A4026" s="1" t="s">
        <v>4576</v>
      </c>
      <c r="B4026" t="s">
        <v>10344</v>
      </c>
    </row>
    <row r="4027" spans="1:2">
      <c r="A4027" s="1" t="s">
        <v>4577</v>
      </c>
      <c r="B4027" t="s">
        <v>10256</v>
      </c>
    </row>
    <row r="4028" spans="1:2">
      <c r="A4028" s="1" t="s">
        <v>4578</v>
      </c>
      <c r="B4028" t="s">
        <v>10234</v>
      </c>
    </row>
    <row r="4029" spans="1:2">
      <c r="A4029" s="1" t="s">
        <v>447</v>
      </c>
      <c r="B4029" t="s">
        <v>10337</v>
      </c>
    </row>
    <row r="4030" spans="1:2">
      <c r="A4030" s="1" t="s">
        <v>4579</v>
      </c>
      <c r="B4030" t="s">
        <v>10239</v>
      </c>
    </row>
    <row r="4031" spans="1:2">
      <c r="A4031" s="1" t="s">
        <v>4580</v>
      </c>
      <c r="B4031" t="s">
        <v>10283</v>
      </c>
    </row>
    <row r="4032" spans="1:2">
      <c r="A4032" s="1" t="s">
        <v>4581</v>
      </c>
      <c r="B4032" t="s">
        <v>901</v>
      </c>
    </row>
    <row r="4033" spans="1:2">
      <c r="A4033" s="1" t="s">
        <v>892</v>
      </c>
      <c r="B4033" t="s">
        <v>10353</v>
      </c>
    </row>
    <row r="4034" spans="1:2">
      <c r="A4034" s="1" t="s">
        <v>4582</v>
      </c>
      <c r="B4034" t="s">
        <v>10299</v>
      </c>
    </row>
    <row r="4035" spans="1:2">
      <c r="A4035" s="1" t="s">
        <v>4583</v>
      </c>
      <c r="B4035" t="s">
        <v>10240</v>
      </c>
    </row>
    <row r="4036" spans="1:2">
      <c r="A4036" s="1" t="s">
        <v>4584</v>
      </c>
      <c r="B4036" t="s">
        <v>10488</v>
      </c>
    </row>
    <row r="4037" spans="1:2">
      <c r="A4037" s="1" t="s">
        <v>4585</v>
      </c>
      <c r="B4037" t="s">
        <v>10229</v>
      </c>
    </row>
    <row r="4038" spans="1:2">
      <c r="A4038" s="1" t="s">
        <v>502</v>
      </c>
      <c r="B4038" t="s">
        <v>10288</v>
      </c>
    </row>
    <row r="4039" spans="1:2">
      <c r="A4039" s="1" t="s">
        <v>165</v>
      </c>
      <c r="B4039" t="s">
        <v>10234</v>
      </c>
    </row>
    <row r="4040" spans="1:2">
      <c r="A4040" s="1" t="s">
        <v>4586</v>
      </c>
      <c r="B4040" t="s">
        <v>10239</v>
      </c>
    </row>
    <row r="4041" spans="1:2">
      <c r="A4041" s="1" t="s">
        <v>4587</v>
      </c>
      <c r="B4041" t="s">
        <v>10240</v>
      </c>
    </row>
    <row r="4042" spans="1:2">
      <c r="A4042" s="1" t="s">
        <v>4588</v>
      </c>
      <c r="B4042" t="s">
        <v>10276</v>
      </c>
    </row>
    <row r="4043" spans="1:2">
      <c r="A4043" s="1" t="s">
        <v>4589</v>
      </c>
      <c r="B4043" t="s">
        <v>10354</v>
      </c>
    </row>
    <row r="4044" spans="1:2">
      <c r="A4044" s="1" t="s">
        <v>4590</v>
      </c>
      <c r="B4044" t="s">
        <v>901</v>
      </c>
    </row>
    <row r="4045" spans="1:2">
      <c r="A4045" s="1" t="s">
        <v>4591</v>
      </c>
      <c r="B4045" t="s">
        <v>10223</v>
      </c>
    </row>
    <row r="4046" spans="1:2">
      <c r="A4046" s="1" t="s">
        <v>4592</v>
      </c>
      <c r="B4046" t="s">
        <v>10399</v>
      </c>
    </row>
    <row r="4047" spans="1:2">
      <c r="A4047" s="1" t="s">
        <v>4593</v>
      </c>
      <c r="B4047" t="s">
        <v>10415</v>
      </c>
    </row>
    <row r="4048" spans="1:2">
      <c r="A4048" s="1" t="s">
        <v>4594</v>
      </c>
      <c r="B4048" t="s">
        <v>10223</v>
      </c>
    </row>
    <row r="4049" spans="1:2">
      <c r="A4049" s="1" t="s">
        <v>4595</v>
      </c>
      <c r="B4049" t="s">
        <v>10223</v>
      </c>
    </row>
    <row r="4050" spans="1:2">
      <c r="A4050" s="1" t="s">
        <v>4596</v>
      </c>
      <c r="B4050" t="s">
        <v>10489</v>
      </c>
    </row>
    <row r="4051" spans="1:2">
      <c r="A4051" s="1" t="s">
        <v>4597</v>
      </c>
      <c r="B4051" t="s">
        <v>10357</v>
      </c>
    </row>
    <row r="4052" spans="1:2">
      <c r="A4052" s="1" t="s">
        <v>4598</v>
      </c>
      <c r="B4052" t="s">
        <v>10260</v>
      </c>
    </row>
    <row r="4053" spans="1:2">
      <c r="A4053" s="1" t="s">
        <v>270</v>
      </c>
      <c r="B4053" t="s">
        <v>10243</v>
      </c>
    </row>
    <row r="4054" spans="1:2">
      <c r="A4054" s="1" t="s">
        <v>4599</v>
      </c>
      <c r="B4054" t="s">
        <v>10443</v>
      </c>
    </row>
    <row r="4055" spans="1:2">
      <c r="A4055" s="1" t="s">
        <v>4600</v>
      </c>
      <c r="B4055" t="s">
        <v>10269</v>
      </c>
    </row>
    <row r="4056" spans="1:2">
      <c r="A4056" s="1" t="s">
        <v>4601</v>
      </c>
      <c r="B4056" t="s">
        <v>10262</v>
      </c>
    </row>
    <row r="4057" spans="1:2">
      <c r="A4057" s="1" t="s">
        <v>4602</v>
      </c>
      <c r="B4057" t="s">
        <v>10319</v>
      </c>
    </row>
    <row r="4058" spans="1:2">
      <c r="A4058" s="1" t="s">
        <v>4603</v>
      </c>
      <c r="B4058" t="s">
        <v>10287</v>
      </c>
    </row>
    <row r="4059" spans="1:2">
      <c r="A4059" s="1" t="s">
        <v>163</v>
      </c>
      <c r="B4059" t="s">
        <v>10229</v>
      </c>
    </row>
    <row r="4060" spans="1:2">
      <c r="A4060" s="1" t="s">
        <v>4604</v>
      </c>
      <c r="B4060" t="s">
        <v>10234</v>
      </c>
    </row>
    <row r="4061" spans="1:2">
      <c r="A4061" s="1" t="s">
        <v>4605</v>
      </c>
      <c r="B4061" t="s">
        <v>10272</v>
      </c>
    </row>
    <row r="4062" spans="1:2">
      <c r="A4062" s="1" t="s">
        <v>4606</v>
      </c>
      <c r="B4062" t="s">
        <v>10490</v>
      </c>
    </row>
    <row r="4063" spans="1:2">
      <c r="A4063" s="1" t="s">
        <v>4607</v>
      </c>
      <c r="B4063" t="s">
        <v>10491</v>
      </c>
    </row>
    <row r="4064" spans="1:2">
      <c r="A4064" s="1" t="s">
        <v>4608</v>
      </c>
      <c r="B4064" t="s">
        <v>10239</v>
      </c>
    </row>
    <row r="4065" spans="1:2">
      <c r="A4065" s="1" t="s">
        <v>4609</v>
      </c>
      <c r="B4065" t="s">
        <v>10319</v>
      </c>
    </row>
    <row r="4066" spans="1:2">
      <c r="A4066" s="1" t="s">
        <v>4610</v>
      </c>
      <c r="B4066" t="s">
        <v>10434</v>
      </c>
    </row>
    <row r="4067" spans="1:2">
      <c r="A4067" s="1" t="s">
        <v>4611</v>
      </c>
      <c r="B4067" t="s">
        <v>10292</v>
      </c>
    </row>
    <row r="4068" spans="1:2">
      <c r="A4068" s="1" t="s">
        <v>56</v>
      </c>
      <c r="B4068" t="s">
        <v>10366</v>
      </c>
    </row>
    <row r="4069" spans="1:2">
      <c r="A4069" s="1" t="s">
        <v>4612</v>
      </c>
      <c r="B4069" t="s">
        <v>10228</v>
      </c>
    </row>
    <row r="4070" spans="1:2">
      <c r="A4070" s="1" t="s">
        <v>4613</v>
      </c>
      <c r="B4070" t="s">
        <v>10282</v>
      </c>
    </row>
    <row r="4071" spans="1:2">
      <c r="A4071" s="1" t="s">
        <v>4614</v>
      </c>
      <c r="B4071" t="s">
        <v>10240</v>
      </c>
    </row>
    <row r="4072" spans="1:2">
      <c r="A4072" s="1" t="s">
        <v>4615</v>
      </c>
      <c r="B4072" t="s">
        <v>10223</v>
      </c>
    </row>
    <row r="4073" spans="1:2">
      <c r="A4073" s="1" t="s">
        <v>4616</v>
      </c>
      <c r="B4073" t="s">
        <v>10319</v>
      </c>
    </row>
    <row r="4074" spans="1:2">
      <c r="A4074" s="1" t="s">
        <v>4617</v>
      </c>
      <c r="B4074" t="s">
        <v>10256</v>
      </c>
    </row>
    <row r="4075" spans="1:2">
      <c r="A4075" s="1" t="s">
        <v>4618</v>
      </c>
      <c r="B4075" t="s">
        <v>901</v>
      </c>
    </row>
    <row r="4076" spans="1:2">
      <c r="A4076" s="1" t="s">
        <v>4619</v>
      </c>
      <c r="B4076" t="s">
        <v>10286</v>
      </c>
    </row>
    <row r="4077" spans="1:2">
      <c r="A4077" s="1" t="s">
        <v>625</v>
      </c>
      <c r="B4077" t="s">
        <v>10229</v>
      </c>
    </row>
    <row r="4078" spans="1:2">
      <c r="A4078" s="1" t="s">
        <v>485</v>
      </c>
      <c r="B4078" t="s">
        <v>10243</v>
      </c>
    </row>
    <row r="4079" spans="1:2">
      <c r="A4079" s="1" t="s">
        <v>4620</v>
      </c>
      <c r="B4079" t="s">
        <v>10234</v>
      </c>
    </row>
    <row r="4080" spans="1:2">
      <c r="A4080" s="1" t="s">
        <v>4621</v>
      </c>
      <c r="B4080" t="s">
        <v>10238</v>
      </c>
    </row>
    <row r="4081" spans="1:2">
      <c r="A4081" s="1" t="s">
        <v>4622</v>
      </c>
      <c r="B4081" t="s">
        <v>10278</v>
      </c>
    </row>
    <row r="4082" spans="1:2">
      <c r="A4082" s="1" t="s">
        <v>4623</v>
      </c>
      <c r="B4082" t="s">
        <v>10262</v>
      </c>
    </row>
    <row r="4083" spans="1:2">
      <c r="A4083" s="1" t="s">
        <v>4624</v>
      </c>
      <c r="B4083" t="s">
        <v>10234</v>
      </c>
    </row>
    <row r="4084" spans="1:2">
      <c r="A4084" s="1" t="s">
        <v>4625</v>
      </c>
      <c r="B4084" t="s">
        <v>901</v>
      </c>
    </row>
    <row r="4085" spans="1:2">
      <c r="A4085" s="1" t="s">
        <v>4626</v>
      </c>
      <c r="B4085" t="s">
        <v>10263</v>
      </c>
    </row>
    <row r="4086" spans="1:2">
      <c r="A4086" s="1" t="s">
        <v>4627</v>
      </c>
      <c r="B4086" t="s">
        <v>10245</v>
      </c>
    </row>
    <row r="4087" spans="1:2">
      <c r="A4087" s="1" t="s">
        <v>4628</v>
      </c>
      <c r="B4087" t="s">
        <v>10403</v>
      </c>
    </row>
    <row r="4088" spans="1:2">
      <c r="A4088" s="1" t="s">
        <v>88</v>
      </c>
      <c r="B4088" t="s">
        <v>10302</v>
      </c>
    </row>
    <row r="4089" spans="1:2">
      <c r="A4089" s="1" t="s">
        <v>4629</v>
      </c>
      <c r="B4089" t="s">
        <v>10405</v>
      </c>
    </row>
    <row r="4090" spans="1:2">
      <c r="A4090" s="1" t="s">
        <v>110</v>
      </c>
      <c r="B4090" t="s">
        <v>10277</v>
      </c>
    </row>
    <row r="4091" spans="1:2">
      <c r="A4091" s="1" t="s">
        <v>4630</v>
      </c>
      <c r="B4091" t="s">
        <v>10261</v>
      </c>
    </row>
    <row r="4092" spans="1:2">
      <c r="A4092" s="1" t="s">
        <v>4631</v>
      </c>
      <c r="B4092" t="s">
        <v>10234</v>
      </c>
    </row>
    <row r="4093" spans="1:2">
      <c r="A4093" s="1" t="s">
        <v>4632</v>
      </c>
      <c r="B4093" t="s">
        <v>10230</v>
      </c>
    </row>
    <row r="4094" spans="1:2">
      <c r="A4094" s="1" t="s">
        <v>4633</v>
      </c>
      <c r="B4094" t="s">
        <v>10234</v>
      </c>
    </row>
    <row r="4095" spans="1:2">
      <c r="A4095" s="1" t="s">
        <v>4634</v>
      </c>
      <c r="B4095" t="s">
        <v>10240</v>
      </c>
    </row>
    <row r="4096" spans="1:2">
      <c r="A4096" s="1" t="s">
        <v>4635</v>
      </c>
      <c r="B4096" t="s">
        <v>10224</v>
      </c>
    </row>
    <row r="4097" spans="1:2">
      <c r="A4097" s="1" t="s">
        <v>4636</v>
      </c>
      <c r="B4097" t="s">
        <v>10267</v>
      </c>
    </row>
    <row r="4098" spans="1:2">
      <c r="A4098" s="1" t="s">
        <v>4637</v>
      </c>
      <c r="B4098" t="s">
        <v>10281</v>
      </c>
    </row>
    <row r="4099" spans="1:2">
      <c r="A4099" s="1" t="s">
        <v>4638</v>
      </c>
      <c r="B4099" t="s">
        <v>10262</v>
      </c>
    </row>
    <row r="4100" spans="1:2">
      <c r="A4100" s="1" t="s">
        <v>4639</v>
      </c>
      <c r="B4100" t="s">
        <v>10256</v>
      </c>
    </row>
    <row r="4101" spans="1:2">
      <c r="A4101" s="1" t="s">
        <v>4640</v>
      </c>
      <c r="B4101" t="s">
        <v>10413</v>
      </c>
    </row>
    <row r="4102" spans="1:2">
      <c r="A4102" s="1" t="s">
        <v>4641</v>
      </c>
      <c r="B4102" t="s">
        <v>10234</v>
      </c>
    </row>
    <row r="4103" spans="1:2">
      <c r="A4103" s="1" t="s">
        <v>4642</v>
      </c>
      <c r="B4103" t="s">
        <v>10256</v>
      </c>
    </row>
    <row r="4104" spans="1:2">
      <c r="A4104" s="1" t="s">
        <v>4643</v>
      </c>
      <c r="B4104" t="s">
        <v>901</v>
      </c>
    </row>
    <row r="4105" spans="1:2">
      <c r="A4105" s="1" t="s">
        <v>4644</v>
      </c>
      <c r="B4105" t="s">
        <v>10258</v>
      </c>
    </row>
    <row r="4106" spans="1:2">
      <c r="A4106" s="1" t="s">
        <v>4645</v>
      </c>
      <c r="B4106" t="s">
        <v>10234</v>
      </c>
    </row>
    <row r="4107" spans="1:2">
      <c r="A4107" s="1" t="s">
        <v>4646</v>
      </c>
      <c r="B4107" t="s">
        <v>10240</v>
      </c>
    </row>
    <row r="4108" spans="1:2">
      <c r="A4108" s="1" t="s">
        <v>4647</v>
      </c>
      <c r="B4108" t="s">
        <v>10340</v>
      </c>
    </row>
    <row r="4109" spans="1:2">
      <c r="A4109" s="1" t="s">
        <v>4648</v>
      </c>
      <c r="B4109" t="s">
        <v>10266</v>
      </c>
    </row>
    <row r="4110" spans="1:2">
      <c r="A4110" s="1" t="s">
        <v>4649</v>
      </c>
      <c r="B4110" t="s">
        <v>10286</v>
      </c>
    </row>
    <row r="4111" spans="1:2">
      <c r="A4111" s="1" t="s">
        <v>4650</v>
      </c>
      <c r="B4111" t="s">
        <v>10243</v>
      </c>
    </row>
    <row r="4112" spans="1:2">
      <c r="A4112" s="1" t="s">
        <v>734</v>
      </c>
      <c r="B4112" t="s">
        <v>10239</v>
      </c>
    </row>
    <row r="4113" spans="1:2">
      <c r="A4113" s="1" t="s">
        <v>4651</v>
      </c>
      <c r="B4113" t="s">
        <v>10256</v>
      </c>
    </row>
    <row r="4114" spans="1:2">
      <c r="A4114" s="1" t="s">
        <v>4652</v>
      </c>
      <c r="B4114" t="s">
        <v>10266</v>
      </c>
    </row>
    <row r="4115" spans="1:2">
      <c r="A4115" s="1" t="s">
        <v>4653</v>
      </c>
      <c r="B4115" t="s">
        <v>10338</v>
      </c>
    </row>
    <row r="4116" spans="1:2">
      <c r="A4116" s="1" t="s">
        <v>4654</v>
      </c>
      <c r="B4116" t="s">
        <v>10275</v>
      </c>
    </row>
    <row r="4117" spans="1:2">
      <c r="A4117" s="1" t="s">
        <v>4655</v>
      </c>
      <c r="B4117" t="s">
        <v>10225</v>
      </c>
    </row>
    <row r="4118" spans="1:2">
      <c r="A4118" s="1" t="s">
        <v>4656</v>
      </c>
      <c r="B4118" t="s">
        <v>10272</v>
      </c>
    </row>
    <row r="4119" spans="1:2">
      <c r="A4119" s="1" t="s">
        <v>4657</v>
      </c>
      <c r="B4119" t="s">
        <v>10222</v>
      </c>
    </row>
    <row r="4120" spans="1:2">
      <c r="A4120" s="1" t="s">
        <v>67</v>
      </c>
      <c r="B4120" t="s">
        <v>10265</v>
      </c>
    </row>
    <row r="4121" spans="1:2">
      <c r="A4121" s="1" t="s">
        <v>4658</v>
      </c>
      <c r="B4121" t="s">
        <v>10415</v>
      </c>
    </row>
    <row r="4122" spans="1:2">
      <c r="A4122" s="1" t="s">
        <v>4659</v>
      </c>
      <c r="B4122" t="s">
        <v>10266</v>
      </c>
    </row>
    <row r="4123" spans="1:2">
      <c r="A4123" s="1" t="s">
        <v>459</v>
      </c>
      <c r="B4123" t="s">
        <v>10287</v>
      </c>
    </row>
    <row r="4124" spans="1:2">
      <c r="A4124" s="1" t="s">
        <v>4660</v>
      </c>
      <c r="B4124" t="s">
        <v>10467</v>
      </c>
    </row>
    <row r="4125" spans="1:2">
      <c r="A4125" s="1" t="s">
        <v>4661</v>
      </c>
      <c r="B4125" t="s">
        <v>10230</v>
      </c>
    </row>
    <row r="4126" spans="1:2">
      <c r="A4126" s="1" t="s">
        <v>4662</v>
      </c>
      <c r="B4126" t="s">
        <v>901</v>
      </c>
    </row>
    <row r="4127" spans="1:2">
      <c r="A4127" s="1" t="s">
        <v>4663</v>
      </c>
      <c r="B4127" t="s">
        <v>10244</v>
      </c>
    </row>
    <row r="4128" spans="1:2">
      <c r="A4128" s="1" t="s">
        <v>4664</v>
      </c>
      <c r="B4128" t="s">
        <v>10230</v>
      </c>
    </row>
    <row r="4129" spans="1:2">
      <c r="A4129" s="1" t="s">
        <v>4665</v>
      </c>
      <c r="B4129" t="s">
        <v>10283</v>
      </c>
    </row>
    <row r="4130" spans="1:2">
      <c r="A4130" s="1" t="s">
        <v>4666</v>
      </c>
      <c r="B4130" t="s">
        <v>10275</v>
      </c>
    </row>
    <row r="4131" spans="1:2">
      <c r="A4131" s="1" t="s">
        <v>4667</v>
      </c>
      <c r="B4131" t="s">
        <v>10240</v>
      </c>
    </row>
    <row r="4132" spans="1:2">
      <c r="A4132" s="1" t="s">
        <v>26</v>
      </c>
      <c r="B4132" t="s">
        <v>10262</v>
      </c>
    </row>
    <row r="4133" spans="1:2">
      <c r="A4133" s="1" t="s">
        <v>4668</v>
      </c>
      <c r="B4133" t="s">
        <v>10457</v>
      </c>
    </row>
    <row r="4134" spans="1:2">
      <c r="A4134" s="1" t="s">
        <v>4669</v>
      </c>
      <c r="B4134" t="s">
        <v>901</v>
      </c>
    </row>
    <row r="4135" spans="1:2">
      <c r="A4135" s="1" t="s">
        <v>4670</v>
      </c>
      <c r="B4135" t="s">
        <v>10225</v>
      </c>
    </row>
    <row r="4136" spans="1:2">
      <c r="A4136" s="1" t="s">
        <v>4671</v>
      </c>
      <c r="B4136" t="s">
        <v>10366</v>
      </c>
    </row>
    <row r="4137" spans="1:2">
      <c r="A4137" s="1" t="s">
        <v>886</v>
      </c>
      <c r="B4137" t="s">
        <v>10229</v>
      </c>
    </row>
    <row r="4138" spans="1:2">
      <c r="A4138" s="1" t="s">
        <v>4672</v>
      </c>
      <c r="B4138" t="s">
        <v>10288</v>
      </c>
    </row>
    <row r="4139" spans="1:2">
      <c r="A4139" s="1" t="s">
        <v>4673</v>
      </c>
      <c r="B4139" t="s">
        <v>10371</v>
      </c>
    </row>
    <row r="4140" spans="1:2">
      <c r="A4140" s="1" t="s">
        <v>4674</v>
      </c>
      <c r="B4140" t="s">
        <v>10241</v>
      </c>
    </row>
    <row r="4141" spans="1:2">
      <c r="A4141" s="1" t="s">
        <v>4675</v>
      </c>
      <c r="B4141" t="s">
        <v>10273</v>
      </c>
    </row>
    <row r="4142" spans="1:2">
      <c r="A4142" s="1" t="s">
        <v>4676</v>
      </c>
      <c r="B4142" t="s">
        <v>10405</v>
      </c>
    </row>
    <row r="4143" spans="1:2">
      <c r="A4143" s="1" t="s">
        <v>4677</v>
      </c>
      <c r="B4143" t="s">
        <v>10229</v>
      </c>
    </row>
    <row r="4144" spans="1:2">
      <c r="A4144" s="1" t="s">
        <v>4678</v>
      </c>
      <c r="B4144" t="s">
        <v>10223</v>
      </c>
    </row>
    <row r="4145" spans="1:2">
      <c r="A4145" s="1" t="s">
        <v>4679</v>
      </c>
      <c r="B4145" t="s">
        <v>10442</v>
      </c>
    </row>
    <row r="4146" spans="1:2">
      <c r="A4146" s="1" t="s">
        <v>4680</v>
      </c>
      <c r="B4146" t="s">
        <v>10225</v>
      </c>
    </row>
    <row r="4147" spans="1:2">
      <c r="A4147" s="1" t="s">
        <v>4681</v>
      </c>
      <c r="B4147" t="s">
        <v>10343</v>
      </c>
    </row>
    <row r="4148" spans="1:2">
      <c r="A4148" s="1" t="s">
        <v>4682</v>
      </c>
      <c r="B4148" t="s">
        <v>10266</v>
      </c>
    </row>
    <row r="4149" spans="1:2">
      <c r="A4149" s="1" t="s">
        <v>4683</v>
      </c>
      <c r="B4149" t="s">
        <v>10415</v>
      </c>
    </row>
    <row r="4150" spans="1:2">
      <c r="A4150" s="1" t="s">
        <v>365</v>
      </c>
      <c r="B4150" t="s">
        <v>10239</v>
      </c>
    </row>
    <row r="4151" spans="1:2">
      <c r="A4151" s="1" t="s">
        <v>4684</v>
      </c>
      <c r="B4151" t="s">
        <v>10223</v>
      </c>
    </row>
    <row r="4152" spans="1:2">
      <c r="A4152" s="1" t="s">
        <v>4685</v>
      </c>
      <c r="B4152" t="s">
        <v>10229</v>
      </c>
    </row>
    <row r="4153" spans="1:2">
      <c r="A4153" s="1" t="s">
        <v>4686</v>
      </c>
      <c r="B4153" t="s">
        <v>10313</v>
      </c>
    </row>
    <row r="4154" spans="1:2">
      <c r="A4154" s="1" t="s">
        <v>4687</v>
      </c>
      <c r="B4154" t="s">
        <v>10228</v>
      </c>
    </row>
    <row r="4155" spans="1:2">
      <c r="A4155" s="1" t="s">
        <v>4688</v>
      </c>
      <c r="B4155" t="s">
        <v>10366</v>
      </c>
    </row>
    <row r="4156" spans="1:2">
      <c r="A4156" s="1" t="s">
        <v>4689</v>
      </c>
      <c r="B4156" t="s">
        <v>10256</v>
      </c>
    </row>
    <row r="4157" spans="1:2">
      <c r="A4157" s="1" t="s">
        <v>4690</v>
      </c>
      <c r="B4157" t="s">
        <v>10239</v>
      </c>
    </row>
    <row r="4158" spans="1:2">
      <c r="A4158" s="1" t="s">
        <v>4691</v>
      </c>
      <c r="B4158" t="s">
        <v>10319</v>
      </c>
    </row>
    <row r="4159" spans="1:2">
      <c r="A4159" s="1" t="s">
        <v>4692</v>
      </c>
      <c r="B4159" t="s">
        <v>10224</v>
      </c>
    </row>
    <row r="4160" spans="1:2">
      <c r="A4160" s="1" t="s">
        <v>4693</v>
      </c>
      <c r="B4160" t="s">
        <v>10229</v>
      </c>
    </row>
    <row r="4161" spans="1:2">
      <c r="A4161" s="1" t="s">
        <v>4694</v>
      </c>
      <c r="B4161" t="s">
        <v>10245</v>
      </c>
    </row>
    <row r="4162" spans="1:2">
      <c r="A4162" s="1" t="s">
        <v>4695</v>
      </c>
      <c r="B4162" t="s">
        <v>10230</v>
      </c>
    </row>
    <row r="4163" spans="1:2">
      <c r="A4163" s="1" t="s">
        <v>296</v>
      </c>
      <c r="B4163" t="s">
        <v>10442</v>
      </c>
    </row>
    <row r="4164" spans="1:2">
      <c r="A4164" s="1" t="s">
        <v>4696</v>
      </c>
      <c r="B4164" t="s">
        <v>10234</v>
      </c>
    </row>
    <row r="4165" spans="1:2">
      <c r="A4165" s="1" t="s">
        <v>4697</v>
      </c>
      <c r="B4165" t="s">
        <v>10234</v>
      </c>
    </row>
    <row r="4166" spans="1:2">
      <c r="A4166" s="1" t="s">
        <v>4698</v>
      </c>
      <c r="B4166" t="s">
        <v>10234</v>
      </c>
    </row>
    <row r="4167" spans="1:2">
      <c r="A4167" s="1" t="s">
        <v>4699</v>
      </c>
      <c r="B4167" t="s">
        <v>10370</v>
      </c>
    </row>
    <row r="4168" spans="1:2">
      <c r="A4168" s="1" t="s">
        <v>4700</v>
      </c>
      <c r="B4168" t="s">
        <v>10245</v>
      </c>
    </row>
    <row r="4169" spans="1:2">
      <c r="A4169" s="1" t="s">
        <v>4701</v>
      </c>
      <c r="B4169" t="s">
        <v>10240</v>
      </c>
    </row>
    <row r="4170" spans="1:2">
      <c r="A4170" s="1" t="s">
        <v>37</v>
      </c>
      <c r="B4170" t="s">
        <v>10286</v>
      </c>
    </row>
    <row r="4171" spans="1:2">
      <c r="A4171" s="1" t="s">
        <v>234</v>
      </c>
      <c r="B4171" t="s">
        <v>10302</v>
      </c>
    </row>
    <row r="4172" spans="1:2">
      <c r="A4172" s="1" t="s">
        <v>4702</v>
      </c>
      <c r="B4172" t="s">
        <v>10492</v>
      </c>
    </row>
    <row r="4173" spans="1:2">
      <c r="A4173" s="1" t="s">
        <v>4703</v>
      </c>
      <c r="B4173" t="s">
        <v>10286</v>
      </c>
    </row>
    <row r="4174" spans="1:2">
      <c r="A4174" s="1" t="s">
        <v>4704</v>
      </c>
      <c r="B4174" t="s">
        <v>10225</v>
      </c>
    </row>
    <row r="4175" spans="1:2">
      <c r="A4175" s="1" t="s">
        <v>4705</v>
      </c>
      <c r="B4175" t="s">
        <v>10244</v>
      </c>
    </row>
    <row r="4176" spans="1:2">
      <c r="A4176" s="1" t="s">
        <v>4706</v>
      </c>
      <c r="B4176" t="s">
        <v>10240</v>
      </c>
    </row>
    <row r="4177" spans="1:2">
      <c r="A4177" s="1" t="s">
        <v>4707</v>
      </c>
      <c r="B4177" t="s">
        <v>10294</v>
      </c>
    </row>
    <row r="4178" spans="1:2">
      <c r="A4178" s="1" t="s">
        <v>140</v>
      </c>
      <c r="B4178" t="s">
        <v>10332</v>
      </c>
    </row>
    <row r="4179" spans="1:2">
      <c r="A4179" s="1" t="s">
        <v>4708</v>
      </c>
      <c r="B4179" t="s">
        <v>10415</v>
      </c>
    </row>
    <row r="4180" spans="1:2">
      <c r="A4180" s="1" t="s">
        <v>4709</v>
      </c>
      <c r="B4180" t="s">
        <v>10230</v>
      </c>
    </row>
    <row r="4181" spans="1:2">
      <c r="A4181" s="1" t="s">
        <v>4710</v>
      </c>
      <c r="B4181" t="s">
        <v>901</v>
      </c>
    </row>
    <row r="4182" spans="1:2">
      <c r="A4182" s="1" t="s">
        <v>584</v>
      </c>
      <c r="B4182" t="s">
        <v>10493</v>
      </c>
    </row>
    <row r="4183" spans="1:2">
      <c r="A4183" s="1" t="s">
        <v>4711</v>
      </c>
      <c r="B4183" t="s">
        <v>10413</v>
      </c>
    </row>
    <row r="4184" spans="1:2">
      <c r="A4184" s="1" t="s">
        <v>4712</v>
      </c>
      <c r="B4184" t="s">
        <v>10387</v>
      </c>
    </row>
    <row r="4185" spans="1:2">
      <c r="A4185" s="1" t="s">
        <v>4713</v>
      </c>
      <c r="B4185" t="s">
        <v>10262</v>
      </c>
    </row>
    <row r="4186" spans="1:2">
      <c r="A4186" s="1" t="s">
        <v>4714</v>
      </c>
      <c r="B4186" t="s">
        <v>10240</v>
      </c>
    </row>
    <row r="4187" spans="1:2">
      <c r="A4187" s="1" t="s">
        <v>391</v>
      </c>
      <c r="B4187" t="s">
        <v>10243</v>
      </c>
    </row>
    <row r="4188" spans="1:2">
      <c r="A4188" s="1" t="s">
        <v>4715</v>
      </c>
      <c r="B4188" t="s">
        <v>10256</v>
      </c>
    </row>
    <row r="4189" spans="1:2">
      <c r="A4189" s="1" t="s">
        <v>108</v>
      </c>
      <c r="B4189" t="s">
        <v>10238</v>
      </c>
    </row>
    <row r="4190" spans="1:2">
      <c r="A4190" s="1" t="s">
        <v>4716</v>
      </c>
      <c r="B4190" t="s">
        <v>10290</v>
      </c>
    </row>
    <row r="4191" spans="1:2">
      <c r="A4191" s="1" t="s">
        <v>4717</v>
      </c>
      <c r="B4191" t="s">
        <v>10283</v>
      </c>
    </row>
    <row r="4192" spans="1:2">
      <c r="A4192" s="1" t="s">
        <v>4718</v>
      </c>
      <c r="B4192" t="s">
        <v>10224</v>
      </c>
    </row>
    <row r="4193" spans="1:2">
      <c r="A4193" s="1" t="s">
        <v>4719</v>
      </c>
      <c r="B4193" t="s">
        <v>901</v>
      </c>
    </row>
    <row r="4194" spans="1:2">
      <c r="A4194" s="1" t="s">
        <v>276</v>
      </c>
      <c r="B4194" t="s">
        <v>10239</v>
      </c>
    </row>
    <row r="4195" spans="1:2">
      <c r="A4195" s="1" t="s">
        <v>4720</v>
      </c>
      <c r="B4195" t="s">
        <v>10224</v>
      </c>
    </row>
    <row r="4196" spans="1:2">
      <c r="A4196" s="1" t="s">
        <v>4721</v>
      </c>
      <c r="B4196" t="s">
        <v>10325</v>
      </c>
    </row>
    <row r="4197" spans="1:2">
      <c r="A4197" s="1" t="s">
        <v>4722</v>
      </c>
      <c r="B4197" t="s">
        <v>10244</v>
      </c>
    </row>
    <row r="4198" spans="1:2">
      <c r="A4198" s="1" t="s">
        <v>4723</v>
      </c>
      <c r="B4198" t="s">
        <v>10494</v>
      </c>
    </row>
    <row r="4199" spans="1:2">
      <c r="A4199" s="1" t="s">
        <v>4724</v>
      </c>
      <c r="B4199" t="s">
        <v>10302</v>
      </c>
    </row>
    <row r="4200" spans="1:2">
      <c r="A4200" s="1" t="s">
        <v>4725</v>
      </c>
      <c r="B4200" t="s">
        <v>10403</v>
      </c>
    </row>
    <row r="4201" spans="1:2">
      <c r="A4201" s="1" t="s">
        <v>4726</v>
      </c>
      <c r="B4201" t="s">
        <v>10262</v>
      </c>
    </row>
    <row r="4202" spans="1:2">
      <c r="A4202" s="1" t="s">
        <v>690</v>
      </c>
      <c r="B4202" t="s">
        <v>10250</v>
      </c>
    </row>
    <row r="4203" spans="1:2">
      <c r="A4203" s="1" t="s">
        <v>4727</v>
      </c>
      <c r="B4203" t="s">
        <v>10265</v>
      </c>
    </row>
    <row r="4204" spans="1:2">
      <c r="A4204" s="1" t="s">
        <v>4728</v>
      </c>
      <c r="B4204" t="s">
        <v>10398</v>
      </c>
    </row>
    <row r="4205" spans="1:2">
      <c r="A4205" s="1" t="s">
        <v>591</v>
      </c>
      <c r="B4205" t="s">
        <v>10240</v>
      </c>
    </row>
    <row r="4206" spans="1:2">
      <c r="A4206" s="1" t="s">
        <v>4729</v>
      </c>
      <c r="B4206" t="s">
        <v>10230</v>
      </c>
    </row>
    <row r="4207" spans="1:2">
      <c r="A4207" s="1" t="s">
        <v>4730</v>
      </c>
      <c r="B4207" t="s">
        <v>10272</v>
      </c>
    </row>
    <row r="4208" spans="1:2">
      <c r="A4208" s="1" t="s">
        <v>4731</v>
      </c>
      <c r="B4208" t="s">
        <v>10319</v>
      </c>
    </row>
    <row r="4209" spans="1:2">
      <c r="A4209" s="1" t="s">
        <v>4732</v>
      </c>
      <c r="B4209" t="s">
        <v>901</v>
      </c>
    </row>
    <row r="4210" spans="1:2">
      <c r="A4210" s="1" t="s">
        <v>4733</v>
      </c>
      <c r="B4210" t="s">
        <v>10244</v>
      </c>
    </row>
    <row r="4211" spans="1:2">
      <c r="A4211" s="1" t="s">
        <v>4734</v>
      </c>
      <c r="B4211" t="s">
        <v>10357</v>
      </c>
    </row>
    <row r="4212" spans="1:2">
      <c r="A4212" s="1" t="s">
        <v>4735</v>
      </c>
      <c r="B4212" t="s">
        <v>10283</v>
      </c>
    </row>
    <row r="4213" spans="1:2">
      <c r="A4213" s="1" t="s">
        <v>4736</v>
      </c>
      <c r="B4213" t="s">
        <v>10262</v>
      </c>
    </row>
    <row r="4214" spans="1:2">
      <c r="A4214" s="1" t="s">
        <v>4737</v>
      </c>
      <c r="B4214" t="s">
        <v>10326</v>
      </c>
    </row>
    <row r="4215" spans="1:2">
      <c r="A4215" s="1" t="s">
        <v>4738</v>
      </c>
      <c r="B4215" t="s">
        <v>10241</v>
      </c>
    </row>
    <row r="4216" spans="1:2">
      <c r="A4216" s="1" t="s">
        <v>4739</v>
      </c>
      <c r="B4216" t="s">
        <v>10225</v>
      </c>
    </row>
    <row r="4217" spans="1:2">
      <c r="A4217" s="1" t="s">
        <v>4740</v>
      </c>
      <c r="B4217" t="s">
        <v>10276</v>
      </c>
    </row>
    <row r="4218" spans="1:2">
      <c r="A4218" s="1" t="s">
        <v>329</v>
      </c>
      <c r="B4218" t="s">
        <v>10266</v>
      </c>
    </row>
    <row r="4219" spans="1:2">
      <c r="A4219" s="1" t="s">
        <v>4741</v>
      </c>
      <c r="B4219" t="s">
        <v>10225</v>
      </c>
    </row>
    <row r="4220" spans="1:2">
      <c r="A4220" s="1" t="s">
        <v>4742</v>
      </c>
      <c r="B4220" t="s">
        <v>10225</v>
      </c>
    </row>
    <row r="4221" spans="1:2">
      <c r="A4221" s="1" t="s">
        <v>4743</v>
      </c>
      <c r="B4221" t="s">
        <v>10256</v>
      </c>
    </row>
    <row r="4222" spans="1:2">
      <c r="A4222" s="1" t="s">
        <v>4744</v>
      </c>
      <c r="B4222" t="s">
        <v>10298</v>
      </c>
    </row>
    <row r="4223" spans="1:2">
      <c r="A4223" s="1" t="s">
        <v>4745</v>
      </c>
      <c r="B4223" t="s">
        <v>10404</v>
      </c>
    </row>
    <row r="4224" spans="1:2">
      <c r="A4224" s="1" t="s">
        <v>4746</v>
      </c>
      <c r="B4224" t="s">
        <v>10288</v>
      </c>
    </row>
    <row r="4225" spans="1:2">
      <c r="A4225" s="1" t="s">
        <v>4747</v>
      </c>
      <c r="B4225" t="s">
        <v>10480</v>
      </c>
    </row>
    <row r="4226" spans="1:2">
      <c r="A4226" s="1" t="s">
        <v>4748</v>
      </c>
      <c r="B4226" t="s">
        <v>10437</v>
      </c>
    </row>
    <row r="4227" spans="1:2">
      <c r="A4227" s="1" t="s">
        <v>4749</v>
      </c>
      <c r="B4227" t="s">
        <v>10296</v>
      </c>
    </row>
    <row r="4228" spans="1:2">
      <c r="A4228" s="1" t="s">
        <v>51</v>
      </c>
      <c r="B4228" t="s">
        <v>10322</v>
      </c>
    </row>
    <row r="4229" spans="1:2">
      <c r="A4229" s="1" t="s">
        <v>4750</v>
      </c>
      <c r="B4229" t="s">
        <v>10339</v>
      </c>
    </row>
    <row r="4230" spans="1:2">
      <c r="A4230" s="1" t="s">
        <v>4751</v>
      </c>
      <c r="B4230" t="s">
        <v>10234</v>
      </c>
    </row>
    <row r="4231" spans="1:2">
      <c r="A4231" s="1" t="s">
        <v>4752</v>
      </c>
      <c r="B4231" t="s">
        <v>10319</v>
      </c>
    </row>
    <row r="4232" spans="1:2">
      <c r="A4232" s="1" t="s">
        <v>4753</v>
      </c>
      <c r="B4232" t="s">
        <v>10305</v>
      </c>
    </row>
    <row r="4233" spans="1:2">
      <c r="A4233" s="1" t="s">
        <v>146</v>
      </c>
      <c r="B4233" t="s">
        <v>10224</v>
      </c>
    </row>
    <row r="4234" spans="1:2">
      <c r="A4234" s="1" t="s">
        <v>4754</v>
      </c>
      <c r="B4234" t="s">
        <v>10286</v>
      </c>
    </row>
    <row r="4235" spans="1:2">
      <c r="A4235" s="1" t="s">
        <v>389</v>
      </c>
      <c r="B4235" t="s">
        <v>10244</v>
      </c>
    </row>
    <row r="4236" spans="1:2">
      <c r="A4236" s="1" t="s">
        <v>4755</v>
      </c>
      <c r="B4236" t="s">
        <v>10240</v>
      </c>
    </row>
    <row r="4237" spans="1:2">
      <c r="A4237" s="1" t="s">
        <v>4756</v>
      </c>
      <c r="B4237" t="s">
        <v>10353</v>
      </c>
    </row>
    <row r="4238" spans="1:2">
      <c r="A4238" s="1" t="s">
        <v>442</v>
      </c>
      <c r="B4238" t="s">
        <v>10306</v>
      </c>
    </row>
    <row r="4239" spans="1:2">
      <c r="A4239" s="1" t="s">
        <v>4757</v>
      </c>
      <c r="B4239" t="s">
        <v>10287</v>
      </c>
    </row>
    <row r="4240" spans="1:2">
      <c r="A4240" s="1" t="s">
        <v>125</v>
      </c>
      <c r="B4240" t="s">
        <v>10277</v>
      </c>
    </row>
    <row r="4241" spans="1:2">
      <c r="A4241" s="1" t="s">
        <v>4758</v>
      </c>
      <c r="B4241" t="s">
        <v>10256</v>
      </c>
    </row>
    <row r="4242" spans="1:2">
      <c r="A4242" s="1" t="s">
        <v>4759</v>
      </c>
      <c r="B4242" t="s">
        <v>10290</v>
      </c>
    </row>
    <row r="4243" spans="1:2">
      <c r="A4243" s="1" t="s">
        <v>4760</v>
      </c>
      <c r="B4243" t="s">
        <v>901</v>
      </c>
    </row>
    <row r="4244" spans="1:2">
      <c r="A4244" s="1" t="s">
        <v>4761</v>
      </c>
      <c r="B4244" t="s">
        <v>10269</v>
      </c>
    </row>
    <row r="4245" spans="1:2">
      <c r="A4245" s="1" t="s">
        <v>4762</v>
      </c>
      <c r="B4245" t="s">
        <v>10434</v>
      </c>
    </row>
    <row r="4246" spans="1:2">
      <c r="A4246" s="1" t="s">
        <v>4763</v>
      </c>
      <c r="B4246" t="s">
        <v>10256</v>
      </c>
    </row>
    <row r="4247" spans="1:2">
      <c r="A4247" s="1" t="s">
        <v>4764</v>
      </c>
      <c r="B4247" t="s">
        <v>10273</v>
      </c>
    </row>
    <row r="4248" spans="1:2">
      <c r="A4248" s="1" t="s">
        <v>169</v>
      </c>
      <c r="B4248" t="s">
        <v>10287</v>
      </c>
    </row>
    <row r="4249" spans="1:2">
      <c r="A4249" s="1" t="s">
        <v>4765</v>
      </c>
      <c r="B4249" t="s">
        <v>10278</v>
      </c>
    </row>
    <row r="4250" spans="1:2">
      <c r="A4250" s="1" t="s">
        <v>4766</v>
      </c>
      <c r="B4250" t="s">
        <v>10230</v>
      </c>
    </row>
    <row r="4251" spans="1:2">
      <c r="A4251" s="1" t="s">
        <v>4767</v>
      </c>
      <c r="B4251" t="s">
        <v>10230</v>
      </c>
    </row>
    <row r="4252" spans="1:2">
      <c r="A4252" s="1" t="s">
        <v>135</v>
      </c>
      <c r="B4252" t="s">
        <v>10229</v>
      </c>
    </row>
    <row r="4253" spans="1:2">
      <c r="A4253" s="1" t="s">
        <v>4768</v>
      </c>
      <c r="B4253" t="s">
        <v>10225</v>
      </c>
    </row>
    <row r="4254" spans="1:2">
      <c r="A4254" s="1" t="s">
        <v>4769</v>
      </c>
      <c r="B4254" t="s">
        <v>10260</v>
      </c>
    </row>
    <row r="4255" spans="1:2">
      <c r="A4255" s="1" t="s">
        <v>4770</v>
      </c>
      <c r="B4255" t="s">
        <v>10399</v>
      </c>
    </row>
    <row r="4256" spans="1:2">
      <c r="A4256" s="1" t="s">
        <v>484</v>
      </c>
      <c r="B4256" t="s">
        <v>10223</v>
      </c>
    </row>
    <row r="4257" spans="1:2">
      <c r="A4257" s="1" t="s">
        <v>4771</v>
      </c>
      <c r="B4257" t="s">
        <v>10225</v>
      </c>
    </row>
    <row r="4258" spans="1:2">
      <c r="A4258" s="1" t="s">
        <v>4772</v>
      </c>
      <c r="B4258" t="s">
        <v>10308</v>
      </c>
    </row>
    <row r="4259" spans="1:2">
      <c r="A4259" s="1" t="s">
        <v>4773</v>
      </c>
      <c r="B4259" t="s">
        <v>10294</v>
      </c>
    </row>
    <row r="4260" spans="1:2">
      <c r="A4260" s="1" t="s">
        <v>4774</v>
      </c>
      <c r="B4260" t="s">
        <v>10442</v>
      </c>
    </row>
    <row r="4261" spans="1:2">
      <c r="A4261" s="1" t="s">
        <v>4775</v>
      </c>
      <c r="B4261" t="s">
        <v>10262</v>
      </c>
    </row>
    <row r="4262" spans="1:2">
      <c r="A4262" s="1" t="s">
        <v>4776</v>
      </c>
      <c r="B4262" t="s">
        <v>10387</v>
      </c>
    </row>
    <row r="4263" spans="1:2">
      <c r="A4263" s="1" t="s">
        <v>4777</v>
      </c>
      <c r="B4263" t="s">
        <v>10361</v>
      </c>
    </row>
    <row r="4264" spans="1:2">
      <c r="A4264" s="1" t="s">
        <v>4778</v>
      </c>
      <c r="B4264" t="s">
        <v>10343</v>
      </c>
    </row>
    <row r="4265" spans="1:2">
      <c r="A4265" s="1" t="s">
        <v>4779</v>
      </c>
      <c r="B4265" t="s">
        <v>10286</v>
      </c>
    </row>
    <row r="4266" spans="1:2">
      <c r="A4266" s="1" t="s">
        <v>4780</v>
      </c>
      <c r="B4266" t="s">
        <v>10272</v>
      </c>
    </row>
    <row r="4267" spans="1:2">
      <c r="A4267" s="1" t="s">
        <v>154</v>
      </c>
      <c r="B4267" t="s">
        <v>10277</v>
      </c>
    </row>
    <row r="4268" spans="1:2">
      <c r="A4268" s="1" t="s">
        <v>4781</v>
      </c>
      <c r="B4268" t="s">
        <v>10223</v>
      </c>
    </row>
    <row r="4269" spans="1:2">
      <c r="A4269" s="1" t="s">
        <v>4782</v>
      </c>
      <c r="B4269" t="s">
        <v>10460</v>
      </c>
    </row>
    <row r="4270" spans="1:2">
      <c r="A4270" s="1" t="s">
        <v>4783</v>
      </c>
      <c r="B4270" t="s">
        <v>10277</v>
      </c>
    </row>
    <row r="4271" spans="1:2">
      <c r="A4271" s="1" t="s">
        <v>4784</v>
      </c>
      <c r="B4271" t="s">
        <v>10234</v>
      </c>
    </row>
    <row r="4272" spans="1:2">
      <c r="A4272" s="1" t="s">
        <v>4785</v>
      </c>
      <c r="B4272" t="s">
        <v>10414</v>
      </c>
    </row>
    <row r="4273" spans="1:2">
      <c r="A4273" s="1" t="s">
        <v>4786</v>
      </c>
      <c r="B4273" t="s">
        <v>901</v>
      </c>
    </row>
    <row r="4274" spans="1:2">
      <c r="A4274" s="1" t="s">
        <v>257</v>
      </c>
      <c r="B4274" t="s">
        <v>10244</v>
      </c>
    </row>
    <row r="4275" spans="1:2">
      <c r="A4275" s="1" t="s">
        <v>4787</v>
      </c>
      <c r="B4275" t="s">
        <v>10259</v>
      </c>
    </row>
    <row r="4276" spans="1:2">
      <c r="A4276" s="1" t="s">
        <v>4788</v>
      </c>
      <c r="B4276" t="s">
        <v>10411</v>
      </c>
    </row>
    <row r="4277" spans="1:2">
      <c r="A4277" s="1" t="s">
        <v>4789</v>
      </c>
      <c r="B4277" t="s">
        <v>901</v>
      </c>
    </row>
    <row r="4278" spans="1:2">
      <c r="A4278" s="1" t="s">
        <v>4790</v>
      </c>
      <c r="B4278" t="s">
        <v>10245</v>
      </c>
    </row>
    <row r="4279" spans="1:2">
      <c r="A4279" s="1" t="s">
        <v>373</v>
      </c>
      <c r="B4279" t="s">
        <v>10240</v>
      </c>
    </row>
    <row r="4280" spans="1:2">
      <c r="A4280" s="1" t="s">
        <v>4791</v>
      </c>
      <c r="B4280" t="s">
        <v>10283</v>
      </c>
    </row>
    <row r="4281" spans="1:2">
      <c r="A4281" s="1" t="s">
        <v>4792</v>
      </c>
      <c r="B4281" t="s">
        <v>10256</v>
      </c>
    </row>
    <row r="4282" spans="1:2">
      <c r="A4282" s="1" t="s">
        <v>4793</v>
      </c>
      <c r="B4282" t="s">
        <v>10324</v>
      </c>
    </row>
    <row r="4283" spans="1:2">
      <c r="A4283" s="1" t="s">
        <v>4794</v>
      </c>
      <c r="B4283" t="s">
        <v>10234</v>
      </c>
    </row>
    <row r="4284" spans="1:2">
      <c r="A4284" s="1" t="s">
        <v>4795</v>
      </c>
      <c r="B4284" t="s">
        <v>10229</v>
      </c>
    </row>
    <row r="4285" spans="1:2">
      <c r="A4285" s="1" t="s">
        <v>4796</v>
      </c>
      <c r="B4285" t="s">
        <v>10223</v>
      </c>
    </row>
    <row r="4286" spans="1:2">
      <c r="A4286" s="1" t="s">
        <v>4797</v>
      </c>
      <c r="B4286" t="s">
        <v>10240</v>
      </c>
    </row>
    <row r="4287" spans="1:2">
      <c r="A4287" s="1" t="s">
        <v>4798</v>
      </c>
      <c r="B4287" t="s">
        <v>10229</v>
      </c>
    </row>
    <row r="4288" spans="1:2">
      <c r="A4288" s="1" t="s">
        <v>4799</v>
      </c>
      <c r="B4288" t="s">
        <v>10369</v>
      </c>
    </row>
    <row r="4289" spans="1:2">
      <c r="A4289" s="1" t="s">
        <v>4800</v>
      </c>
      <c r="B4289" t="s">
        <v>10272</v>
      </c>
    </row>
    <row r="4290" spans="1:2">
      <c r="A4290" s="1" t="s">
        <v>4801</v>
      </c>
      <c r="B4290" t="s">
        <v>10232</v>
      </c>
    </row>
    <row r="4291" spans="1:2">
      <c r="A4291" s="1" t="s">
        <v>4802</v>
      </c>
      <c r="B4291" t="s">
        <v>10260</v>
      </c>
    </row>
    <row r="4292" spans="1:2">
      <c r="A4292" s="1" t="s">
        <v>4803</v>
      </c>
      <c r="B4292" t="s">
        <v>10328</v>
      </c>
    </row>
    <row r="4293" spans="1:2">
      <c r="A4293" s="1" t="s">
        <v>4804</v>
      </c>
      <c r="B4293" t="s">
        <v>10263</v>
      </c>
    </row>
    <row r="4294" spans="1:2">
      <c r="A4294" s="1" t="s">
        <v>4805</v>
      </c>
      <c r="B4294" t="s">
        <v>10277</v>
      </c>
    </row>
    <row r="4295" spans="1:2">
      <c r="A4295" s="1" t="s">
        <v>4806</v>
      </c>
      <c r="B4295" t="s">
        <v>10266</v>
      </c>
    </row>
    <row r="4296" spans="1:2">
      <c r="A4296" s="1" t="s">
        <v>4807</v>
      </c>
      <c r="B4296" t="s">
        <v>10394</v>
      </c>
    </row>
    <row r="4297" spans="1:2">
      <c r="A4297" s="1" t="s">
        <v>4808</v>
      </c>
      <c r="B4297" t="s">
        <v>10267</v>
      </c>
    </row>
    <row r="4298" spans="1:2">
      <c r="A4298" s="1" t="s">
        <v>4809</v>
      </c>
      <c r="B4298" t="s">
        <v>10309</v>
      </c>
    </row>
    <row r="4299" spans="1:2">
      <c r="A4299" s="1" t="s">
        <v>4810</v>
      </c>
      <c r="B4299" t="s">
        <v>10244</v>
      </c>
    </row>
    <row r="4300" spans="1:2">
      <c r="A4300" s="1" t="s">
        <v>4811</v>
      </c>
      <c r="B4300" t="s">
        <v>10369</v>
      </c>
    </row>
    <row r="4301" spans="1:2">
      <c r="A4301" s="1" t="s">
        <v>4812</v>
      </c>
      <c r="B4301" t="s">
        <v>10240</v>
      </c>
    </row>
    <row r="4302" spans="1:2">
      <c r="A4302" s="1" t="s">
        <v>503</v>
      </c>
      <c r="B4302" t="s">
        <v>10240</v>
      </c>
    </row>
    <row r="4303" spans="1:2">
      <c r="A4303" s="1" t="s">
        <v>4813</v>
      </c>
      <c r="B4303" t="s">
        <v>10245</v>
      </c>
    </row>
    <row r="4304" spans="1:2">
      <c r="A4304" s="1" t="s">
        <v>355</v>
      </c>
      <c r="B4304" t="s">
        <v>10322</v>
      </c>
    </row>
    <row r="4305" spans="1:2">
      <c r="A4305" s="1" t="s">
        <v>4814</v>
      </c>
      <c r="B4305" t="s">
        <v>10357</v>
      </c>
    </row>
    <row r="4306" spans="1:2">
      <c r="A4306" s="1" t="s">
        <v>4815</v>
      </c>
      <c r="B4306" t="s">
        <v>10284</v>
      </c>
    </row>
    <row r="4307" spans="1:2">
      <c r="A4307" s="1" t="s">
        <v>4816</v>
      </c>
      <c r="B4307" t="s">
        <v>10269</v>
      </c>
    </row>
    <row r="4308" spans="1:2">
      <c r="A4308" s="1" t="s">
        <v>4817</v>
      </c>
      <c r="B4308" t="s">
        <v>10234</v>
      </c>
    </row>
    <row r="4309" spans="1:2">
      <c r="A4309" s="1" t="s">
        <v>4818</v>
      </c>
      <c r="B4309" t="s">
        <v>901</v>
      </c>
    </row>
    <row r="4310" spans="1:2">
      <c r="A4310" s="1" t="s">
        <v>4819</v>
      </c>
      <c r="B4310" t="s">
        <v>10234</v>
      </c>
    </row>
    <row r="4311" spans="1:2">
      <c r="A4311" s="1" t="s">
        <v>4820</v>
      </c>
      <c r="B4311" t="s">
        <v>10357</v>
      </c>
    </row>
    <row r="4312" spans="1:2">
      <c r="A4312" s="1" t="s">
        <v>4821</v>
      </c>
      <c r="B4312" t="s">
        <v>10242</v>
      </c>
    </row>
    <row r="4313" spans="1:2">
      <c r="A4313" s="1" t="s">
        <v>242</v>
      </c>
      <c r="B4313" t="s">
        <v>10286</v>
      </c>
    </row>
    <row r="4314" spans="1:2">
      <c r="A4314" s="1" t="s">
        <v>172</v>
      </c>
      <c r="B4314" t="s">
        <v>10250</v>
      </c>
    </row>
    <row r="4315" spans="1:2">
      <c r="A4315" s="1" t="s">
        <v>4822</v>
      </c>
      <c r="B4315" t="s">
        <v>10240</v>
      </c>
    </row>
    <row r="4316" spans="1:2">
      <c r="A4316" s="1" t="s">
        <v>4823</v>
      </c>
      <c r="B4316" t="s">
        <v>10348</v>
      </c>
    </row>
    <row r="4317" spans="1:2">
      <c r="A4317" s="1" t="s">
        <v>4824</v>
      </c>
      <c r="B4317" t="s">
        <v>10246</v>
      </c>
    </row>
    <row r="4318" spans="1:2">
      <c r="A4318" s="1" t="s">
        <v>4825</v>
      </c>
      <c r="B4318" t="s">
        <v>10357</v>
      </c>
    </row>
    <row r="4319" spans="1:2">
      <c r="A4319" s="1" t="s">
        <v>4826</v>
      </c>
      <c r="B4319" t="s">
        <v>10224</v>
      </c>
    </row>
    <row r="4320" spans="1:2">
      <c r="A4320" s="1" t="s">
        <v>4827</v>
      </c>
      <c r="B4320" t="s">
        <v>10240</v>
      </c>
    </row>
    <row r="4321" spans="1:2">
      <c r="A4321" s="1" t="s">
        <v>4828</v>
      </c>
      <c r="B4321" t="s">
        <v>10272</v>
      </c>
    </row>
    <row r="4322" spans="1:2">
      <c r="A4322" s="1" t="s">
        <v>4829</v>
      </c>
      <c r="B4322" t="s">
        <v>10240</v>
      </c>
    </row>
    <row r="4323" spans="1:2">
      <c r="A4323" s="1" t="s">
        <v>351</v>
      </c>
      <c r="B4323" t="s">
        <v>10495</v>
      </c>
    </row>
    <row r="4324" spans="1:2">
      <c r="A4324" s="1" t="s">
        <v>4830</v>
      </c>
      <c r="B4324" t="s">
        <v>10230</v>
      </c>
    </row>
    <row r="4325" spans="1:2">
      <c r="A4325" s="1" t="s">
        <v>4831</v>
      </c>
      <c r="B4325" t="s">
        <v>10230</v>
      </c>
    </row>
    <row r="4326" spans="1:2">
      <c r="A4326" s="1" t="s">
        <v>4832</v>
      </c>
      <c r="B4326" t="s">
        <v>10256</v>
      </c>
    </row>
    <row r="4327" spans="1:2">
      <c r="A4327" s="1" t="s">
        <v>4833</v>
      </c>
      <c r="B4327" t="s">
        <v>10370</v>
      </c>
    </row>
    <row r="4328" spans="1:2">
      <c r="A4328" s="1" t="s">
        <v>4834</v>
      </c>
      <c r="B4328" t="s">
        <v>901</v>
      </c>
    </row>
    <row r="4329" spans="1:2">
      <c r="A4329" s="1" t="s">
        <v>4835</v>
      </c>
      <c r="B4329" t="s">
        <v>10434</v>
      </c>
    </row>
    <row r="4330" spans="1:2">
      <c r="A4330" s="1" t="s">
        <v>4836</v>
      </c>
      <c r="B4330" t="s">
        <v>10240</v>
      </c>
    </row>
    <row r="4331" spans="1:2">
      <c r="A4331" s="1" t="s">
        <v>4837</v>
      </c>
      <c r="B4331" t="s">
        <v>10225</v>
      </c>
    </row>
    <row r="4332" spans="1:2">
      <c r="A4332" s="1" t="s">
        <v>4838</v>
      </c>
      <c r="B4332" t="s">
        <v>10400</v>
      </c>
    </row>
    <row r="4333" spans="1:2">
      <c r="A4333" s="1" t="s">
        <v>297</v>
      </c>
      <c r="B4333" t="s">
        <v>10263</v>
      </c>
    </row>
    <row r="4334" spans="1:2">
      <c r="A4334" s="1" t="s">
        <v>4839</v>
      </c>
      <c r="B4334" t="s">
        <v>10225</v>
      </c>
    </row>
    <row r="4335" spans="1:2">
      <c r="A4335" s="1" t="s">
        <v>354</v>
      </c>
      <c r="B4335" t="s">
        <v>10239</v>
      </c>
    </row>
    <row r="4336" spans="1:2">
      <c r="A4336" s="1" t="s">
        <v>4840</v>
      </c>
      <c r="B4336" t="s">
        <v>10230</v>
      </c>
    </row>
    <row r="4337" spans="1:2">
      <c r="A4337" s="1" t="s">
        <v>4841</v>
      </c>
      <c r="B4337" t="s">
        <v>10322</v>
      </c>
    </row>
    <row r="4338" spans="1:2">
      <c r="A4338" s="1" t="s">
        <v>523</v>
      </c>
      <c r="B4338" t="s">
        <v>10313</v>
      </c>
    </row>
    <row r="4339" spans="1:2">
      <c r="A4339" s="1" t="s">
        <v>4842</v>
      </c>
      <c r="B4339" t="s">
        <v>10230</v>
      </c>
    </row>
    <row r="4340" spans="1:2">
      <c r="A4340" s="1" t="s">
        <v>264</v>
      </c>
      <c r="B4340" t="s">
        <v>10322</v>
      </c>
    </row>
    <row r="4341" spans="1:2">
      <c r="A4341" s="1" t="s">
        <v>4843</v>
      </c>
      <c r="B4341" t="s">
        <v>10388</v>
      </c>
    </row>
    <row r="4342" spans="1:2">
      <c r="A4342" s="1" t="s">
        <v>4844</v>
      </c>
      <c r="B4342" t="s">
        <v>10250</v>
      </c>
    </row>
    <row r="4343" spans="1:2">
      <c r="A4343" s="1" t="s">
        <v>390</v>
      </c>
      <c r="B4343" t="s">
        <v>10262</v>
      </c>
    </row>
    <row r="4344" spans="1:2">
      <c r="A4344" s="1" t="s">
        <v>4845</v>
      </c>
      <c r="B4344" t="s">
        <v>10234</v>
      </c>
    </row>
    <row r="4345" spans="1:2">
      <c r="A4345" s="1" t="s">
        <v>4846</v>
      </c>
      <c r="B4345" t="s">
        <v>10234</v>
      </c>
    </row>
    <row r="4346" spans="1:2">
      <c r="A4346" s="1" t="s">
        <v>284</v>
      </c>
      <c r="B4346" t="s">
        <v>10496</v>
      </c>
    </row>
    <row r="4347" spans="1:2">
      <c r="A4347" s="1" t="s">
        <v>4847</v>
      </c>
      <c r="B4347" t="s">
        <v>10224</v>
      </c>
    </row>
    <row r="4348" spans="1:2">
      <c r="A4348" s="1" t="s">
        <v>4848</v>
      </c>
      <c r="B4348" t="s">
        <v>10240</v>
      </c>
    </row>
    <row r="4349" spans="1:2">
      <c r="A4349" s="1" t="s">
        <v>47</v>
      </c>
      <c r="B4349" t="s">
        <v>10258</v>
      </c>
    </row>
    <row r="4350" spans="1:2">
      <c r="A4350" s="1" t="s">
        <v>4849</v>
      </c>
      <c r="B4350" t="s">
        <v>901</v>
      </c>
    </row>
    <row r="4351" spans="1:2">
      <c r="A4351" s="1" t="s">
        <v>4850</v>
      </c>
      <c r="B4351" t="s">
        <v>10256</v>
      </c>
    </row>
    <row r="4352" spans="1:2">
      <c r="A4352" s="1" t="s">
        <v>4851</v>
      </c>
      <c r="B4352" t="s">
        <v>10277</v>
      </c>
    </row>
    <row r="4353" spans="1:2">
      <c r="A4353" s="1" t="s">
        <v>4852</v>
      </c>
      <c r="B4353" t="s">
        <v>10234</v>
      </c>
    </row>
    <row r="4354" spans="1:2">
      <c r="A4354" s="1" t="s">
        <v>4853</v>
      </c>
      <c r="B4354" t="s">
        <v>901</v>
      </c>
    </row>
    <row r="4355" spans="1:2">
      <c r="A4355" s="1" t="s">
        <v>4854</v>
      </c>
      <c r="B4355" t="s">
        <v>10234</v>
      </c>
    </row>
    <row r="4356" spans="1:2">
      <c r="A4356" s="1" t="s">
        <v>4855</v>
      </c>
      <c r="B4356" t="s">
        <v>10458</v>
      </c>
    </row>
    <row r="4357" spans="1:2">
      <c r="A4357" s="1" t="s">
        <v>4856</v>
      </c>
      <c r="B4357" t="s">
        <v>10266</v>
      </c>
    </row>
    <row r="4358" spans="1:2">
      <c r="A4358" s="1" t="s">
        <v>4857</v>
      </c>
      <c r="B4358" t="s">
        <v>10243</v>
      </c>
    </row>
    <row r="4359" spans="1:2">
      <c r="A4359" s="1" t="s">
        <v>4858</v>
      </c>
      <c r="B4359" t="s">
        <v>10245</v>
      </c>
    </row>
    <row r="4360" spans="1:2">
      <c r="A4360" s="1" t="s">
        <v>4859</v>
      </c>
      <c r="B4360" t="s">
        <v>10418</v>
      </c>
    </row>
    <row r="4361" spans="1:2">
      <c r="A4361" s="1" t="s">
        <v>4860</v>
      </c>
      <c r="B4361" t="s">
        <v>10288</v>
      </c>
    </row>
    <row r="4362" spans="1:2">
      <c r="A4362" s="1" t="s">
        <v>4861</v>
      </c>
      <c r="B4362" t="s">
        <v>10230</v>
      </c>
    </row>
    <row r="4363" spans="1:2">
      <c r="A4363" s="1" t="s">
        <v>4862</v>
      </c>
      <c r="B4363" t="s">
        <v>10287</v>
      </c>
    </row>
    <row r="4364" spans="1:2">
      <c r="A4364" s="1" t="s">
        <v>4863</v>
      </c>
      <c r="B4364" t="s">
        <v>10256</v>
      </c>
    </row>
    <row r="4365" spans="1:2">
      <c r="A4365" s="1" t="s">
        <v>4864</v>
      </c>
      <c r="B4365" t="s">
        <v>10234</v>
      </c>
    </row>
    <row r="4366" spans="1:2">
      <c r="A4366" s="1" t="s">
        <v>4865</v>
      </c>
      <c r="B4366" t="s">
        <v>10248</v>
      </c>
    </row>
    <row r="4367" spans="1:2">
      <c r="A4367" s="1" t="s">
        <v>4866</v>
      </c>
      <c r="B4367" t="s">
        <v>10292</v>
      </c>
    </row>
    <row r="4368" spans="1:2">
      <c r="A4368" s="1" t="s">
        <v>4867</v>
      </c>
      <c r="B4368" t="s">
        <v>901</v>
      </c>
    </row>
    <row r="4369" spans="1:2">
      <c r="A4369" s="1" t="s">
        <v>4868</v>
      </c>
      <c r="B4369" t="s">
        <v>901</v>
      </c>
    </row>
    <row r="4370" spans="1:2">
      <c r="A4370" s="1" t="s">
        <v>4869</v>
      </c>
      <c r="B4370" t="s">
        <v>10233</v>
      </c>
    </row>
    <row r="4371" spans="1:2">
      <c r="A4371" s="1" t="s">
        <v>4870</v>
      </c>
      <c r="B4371" t="s">
        <v>10403</v>
      </c>
    </row>
    <row r="4372" spans="1:2">
      <c r="A4372" s="1" t="s">
        <v>231</v>
      </c>
      <c r="B4372" t="s">
        <v>10313</v>
      </c>
    </row>
    <row r="4373" spans="1:2">
      <c r="A4373" s="1" t="s">
        <v>4871</v>
      </c>
      <c r="B4373" t="s">
        <v>901</v>
      </c>
    </row>
    <row r="4374" spans="1:2">
      <c r="A4374" s="1" t="s">
        <v>4872</v>
      </c>
      <c r="B4374" t="s">
        <v>10260</v>
      </c>
    </row>
    <row r="4375" spans="1:2">
      <c r="A4375" s="1" t="s">
        <v>4873</v>
      </c>
      <c r="B4375" t="s">
        <v>10260</v>
      </c>
    </row>
    <row r="4376" spans="1:2">
      <c r="A4376" s="1" t="s">
        <v>4874</v>
      </c>
      <c r="B4376" t="s">
        <v>10230</v>
      </c>
    </row>
    <row r="4377" spans="1:2">
      <c r="A4377" s="1" t="s">
        <v>4875</v>
      </c>
      <c r="B4377" t="s">
        <v>10224</v>
      </c>
    </row>
    <row r="4378" spans="1:2">
      <c r="A4378" s="1" t="s">
        <v>4876</v>
      </c>
      <c r="B4378" t="s">
        <v>10245</v>
      </c>
    </row>
    <row r="4379" spans="1:2">
      <c r="A4379" s="1" t="s">
        <v>4877</v>
      </c>
      <c r="B4379" t="s">
        <v>10225</v>
      </c>
    </row>
    <row r="4380" spans="1:2">
      <c r="A4380" s="1" t="s">
        <v>160</v>
      </c>
      <c r="B4380" t="s">
        <v>10278</v>
      </c>
    </row>
    <row r="4381" spans="1:2">
      <c r="A4381" s="1" t="s">
        <v>479</v>
      </c>
      <c r="B4381" t="s">
        <v>10290</v>
      </c>
    </row>
    <row r="4382" spans="1:2">
      <c r="A4382" s="1" t="s">
        <v>4878</v>
      </c>
      <c r="B4382" t="s">
        <v>10239</v>
      </c>
    </row>
    <row r="4383" spans="1:2">
      <c r="A4383" s="1" t="s">
        <v>4879</v>
      </c>
      <c r="B4383" t="s">
        <v>10409</v>
      </c>
    </row>
    <row r="4384" spans="1:2">
      <c r="A4384" s="1" t="s">
        <v>4880</v>
      </c>
      <c r="B4384" t="s">
        <v>901</v>
      </c>
    </row>
    <row r="4385" spans="1:2">
      <c r="A4385" s="1" t="s">
        <v>4881</v>
      </c>
      <c r="B4385" t="s">
        <v>10230</v>
      </c>
    </row>
    <row r="4386" spans="1:2">
      <c r="A4386" s="1" t="s">
        <v>4882</v>
      </c>
      <c r="B4386" t="s">
        <v>10369</v>
      </c>
    </row>
    <row r="4387" spans="1:2">
      <c r="A4387" s="1" t="s">
        <v>4883</v>
      </c>
      <c r="B4387" t="s">
        <v>10343</v>
      </c>
    </row>
    <row r="4388" spans="1:2">
      <c r="A4388" s="1" t="s">
        <v>4884</v>
      </c>
      <c r="B4388" t="s">
        <v>10231</v>
      </c>
    </row>
    <row r="4389" spans="1:2">
      <c r="A4389" s="1" t="s">
        <v>4885</v>
      </c>
      <c r="B4389" t="s">
        <v>10488</v>
      </c>
    </row>
    <row r="4390" spans="1:2">
      <c r="A4390" s="1" t="s">
        <v>4886</v>
      </c>
      <c r="B4390" t="s">
        <v>10286</v>
      </c>
    </row>
    <row r="4391" spans="1:2">
      <c r="A4391" s="1" t="s">
        <v>4887</v>
      </c>
      <c r="B4391" t="s">
        <v>10245</v>
      </c>
    </row>
    <row r="4392" spans="1:2">
      <c r="A4392" s="1" t="s">
        <v>4888</v>
      </c>
      <c r="B4392" t="s">
        <v>10280</v>
      </c>
    </row>
    <row r="4393" spans="1:2">
      <c r="A4393" s="1" t="s">
        <v>4889</v>
      </c>
      <c r="B4393" t="s">
        <v>10245</v>
      </c>
    </row>
    <row r="4394" spans="1:2">
      <c r="A4394" s="1" t="s">
        <v>4890</v>
      </c>
      <c r="B4394" t="s">
        <v>10288</v>
      </c>
    </row>
    <row r="4395" spans="1:2">
      <c r="A4395" s="1" t="s">
        <v>4891</v>
      </c>
      <c r="B4395" t="s">
        <v>10245</v>
      </c>
    </row>
    <row r="4396" spans="1:2">
      <c r="A4396" s="1" t="s">
        <v>4892</v>
      </c>
      <c r="B4396" t="s">
        <v>10231</v>
      </c>
    </row>
    <row r="4397" spans="1:2">
      <c r="A4397" s="1" t="s">
        <v>481</v>
      </c>
      <c r="B4397" t="s">
        <v>10266</v>
      </c>
    </row>
    <row r="4398" spans="1:2">
      <c r="A4398" s="1" t="s">
        <v>4893</v>
      </c>
      <c r="B4398" t="s">
        <v>901</v>
      </c>
    </row>
    <row r="4399" spans="1:2">
      <c r="A4399" s="1" t="s">
        <v>4894</v>
      </c>
      <c r="B4399" t="s">
        <v>10377</v>
      </c>
    </row>
    <row r="4400" spans="1:2">
      <c r="A4400" s="1" t="s">
        <v>4895</v>
      </c>
      <c r="B4400" t="s">
        <v>901</v>
      </c>
    </row>
    <row r="4401" spans="1:2">
      <c r="A4401" s="1" t="s">
        <v>4896</v>
      </c>
      <c r="B4401" t="s">
        <v>10319</v>
      </c>
    </row>
    <row r="4402" spans="1:2">
      <c r="A4402" s="1" t="s">
        <v>716</v>
      </c>
      <c r="B4402" t="s">
        <v>10239</v>
      </c>
    </row>
    <row r="4403" spans="1:2">
      <c r="A4403" s="1" t="s">
        <v>4897</v>
      </c>
      <c r="B4403" t="s">
        <v>10225</v>
      </c>
    </row>
    <row r="4404" spans="1:2">
      <c r="A4404" s="1" t="s">
        <v>4898</v>
      </c>
      <c r="B4404" t="s">
        <v>10230</v>
      </c>
    </row>
    <row r="4405" spans="1:2">
      <c r="A4405" s="1" t="s">
        <v>4899</v>
      </c>
      <c r="B4405" t="s">
        <v>10366</v>
      </c>
    </row>
    <row r="4406" spans="1:2">
      <c r="A4406" s="1" t="s">
        <v>4900</v>
      </c>
      <c r="B4406" t="s">
        <v>10228</v>
      </c>
    </row>
    <row r="4407" spans="1:2">
      <c r="A4407" s="1" t="s">
        <v>4901</v>
      </c>
      <c r="B4407" t="s">
        <v>10342</v>
      </c>
    </row>
    <row r="4408" spans="1:2">
      <c r="A4408" s="1" t="s">
        <v>4902</v>
      </c>
      <c r="B4408" t="s">
        <v>10243</v>
      </c>
    </row>
    <row r="4409" spans="1:2">
      <c r="A4409" s="1" t="s">
        <v>4903</v>
      </c>
      <c r="B4409" t="s">
        <v>10240</v>
      </c>
    </row>
    <row r="4410" spans="1:2">
      <c r="A4410" s="1" t="s">
        <v>4904</v>
      </c>
      <c r="B4410" t="s">
        <v>10256</v>
      </c>
    </row>
    <row r="4411" spans="1:2">
      <c r="A4411" s="1" t="s">
        <v>4905</v>
      </c>
      <c r="B4411" t="s">
        <v>10260</v>
      </c>
    </row>
    <row r="4412" spans="1:2">
      <c r="A4412" s="1" t="s">
        <v>4906</v>
      </c>
      <c r="B4412" t="s">
        <v>10266</v>
      </c>
    </row>
    <row r="4413" spans="1:2">
      <c r="A4413" s="1" t="s">
        <v>4907</v>
      </c>
      <c r="B4413" t="s">
        <v>10234</v>
      </c>
    </row>
    <row r="4414" spans="1:2">
      <c r="A4414" s="1" t="s">
        <v>4908</v>
      </c>
      <c r="B4414" t="s">
        <v>10224</v>
      </c>
    </row>
    <row r="4415" spans="1:2">
      <c r="A4415" s="1" t="s">
        <v>4909</v>
      </c>
      <c r="B4415" t="s">
        <v>10224</v>
      </c>
    </row>
    <row r="4416" spans="1:2">
      <c r="A4416" s="1" t="s">
        <v>4910</v>
      </c>
      <c r="B4416" t="s">
        <v>10292</v>
      </c>
    </row>
    <row r="4417" spans="1:2">
      <c r="A4417" s="1" t="s">
        <v>178</v>
      </c>
      <c r="B4417" t="s">
        <v>10287</v>
      </c>
    </row>
    <row r="4418" spans="1:2">
      <c r="A4418" s="1" t="s">
        <v>39</v>
      </c>
      <c r="B4418" t="s">
        <v>10239</v>
      </c>
    </row>
    <row r="4419" spans="1:2">
      <c r="A4419" s="1" t="s">
        <v>144</v>
      </c>
      <c r="B4419" t="s">
        <v>10248</v>
      </c>
    </row>
    <row r="4420" spans="1:2">
      <c r="A4420" s="1" t="s">
        <v>4911</v>
      </c>
      <c r="B4420" t="s">
        <v>10323</v>
      </c>
    </row>
    <row r="4421" spans="1:2">
      <c r="A4421" s="1" t="s">
        <v>4912</v>
      </c>
      <c r="B4421" t="s">
        <v>901</v>
      </c>
    </row>
    <row r="4422" spans="1:2">
      <c r="A4422" s="1" t="s">
        <v>4913</v>
      </c>
      <c r="B4422" t="s">
        <v>10281</v>
      </c>
    </row>
    <row r="4423" spans="1:2">
      <c r="A4423" s="1" t="s">
        <v>4914</v>
      </c>
      <c r="B4423" t="s">
        <v>901</v>
      </c>
    </row>
    <row r="4424" spans="1:2">
      <c r="A4424" s="1" t="s">
        <v>42</v>
      </c>
      <c r="B4424" t="s">
        <v>10287</v>
      </c>
    </row>
    <row r="4425" spans="1:2">
      <c r="A4425" s="1" t="s">
        <v>4915</v>
      </c>
      <c r="B4425" t="s">
        <v>10365</v>
      </c>
    </row>
    <row r="4426" spans="1:2">
      <c r="A4426" s="1" t="s">
        <v>4916</v>
      </c>
      <c r="B4426" t="s">
        <v>10256</v>
      </c>
    </row>
    <row r="4427" spans="1:2">
      <c r="A4427" s="1" t="s">
        <v>4917</v>
      </c>
      <c r="B4427" t="s">
        <v>901</v>
      </c>
    </row>
    <row r="4428" spans="1:2">
      <c r="A4428" s="1" t="s">
        <v>4918</v>
      </c>
      <c r="B4428" t="s">
        <v>10338</v>
      </c>
    </row>
    <row r="4429" spans="1:2">
      <c r="A4429" s="1" t="s">
        <v>4919</v>
      </c>
      <c r="B4429" t="s">
        <v>10225</v>
      </c>
    </row>
    <row r="4430" spans="1:2">
      <c r="A4430" s="1" t="s">
        <v>4920</v>
      </c>
      <c r="B4430" t="s">
        <v>10343</v>
      </c>
    </row>
    <row r="4431" spans="1:2">
      <c r="A4431" s="1" t="s">
        <v>4921</v>
      </c>
      <c r="B4431" t="s">
        <v>10323</v>
      </c>
    </row>
    <row r="4432" spans="1:2">
      <c r="A4432" s="1" t="s">
        <v>4922</v>
      </c>
      <c r="B4432" t="s">
        <v>10272</v>
      </c>
    </row>
    <row r="4433" spans="1:2">
      <c r="A4433" s="1" t="s">
        <v>4923</v>
      </c>
      <c r="B4433" t="s">
        <v>10225</v>
      </c>
    </row>
    <row r="4434" spans="1:2">
      <c r="A4434" s="1" t="s">
        <v>4924</v>
      </c>
      <c r="B4434" t="s">
        <v>10424</v>
      </c>
    </row>
    <row r="4435" spans="1:2">
      <c r="A4435" s="1" t="s">
        <v>4925</v>
      </c>
      <c r="B4435" t="s">
        <v>10266</v>
      </c>
    </row>
    <row r="4436" spans="1:2">
      <c r="A4436" s="1" t="s">
        <v>4926</v>
      </c>
      <c r="B4436" t="s">
        <v>10256</v>
      </c>
    </row>
    <row r="4437" spans="1:2">
      <c r="A4437" s="1" t="s">
        <v>4927</v>
      </c>
      <c r="B4437" t="s">
        <v>10240</v>
      </c>
    </row>
    <row r="4438" spans="1:2">
      <c r="A4438" s="1" t="s">
        <v>4928</v>
      </c>
      <c r="B4438" t="s">
        <v>10288</v>
      </c>
    </row>
    <row r="4439" spans="1:2">
      <c r="A4439" s="1" t="s">
        <v>4929</v>
      </c>
      <c r="B4439" t="s">
        <v>10283</v>
      </c>
    </row>
    <row r="4440" spans="1:2">
      <c r="A4440" s="1" t="s">
        <v>4930</v>
      </c>
      <c r="B4440" t="s">
        <v>10434</v>
      </c>
    </row>
    <row r="4441" spans="1:2">
      <c r="A4441" s="1" t="s">
        <v>4931</v>
      </c>
      <c r="B4441" t="s">
        <v>10292</v>
      </c>
    </row>
    <row r="4442" spans="1:2">
      <c r="A4442" s="1" t="s">
        <v>4932</v>
      </c>
      <c r="B4442" t="s">
        <v>10272</v>
      </c>
    </row>
    <row r="4443" spans="1:2">
      <c r="A4443" s="1" t="s">
        <v>4933</v>
      </c>
      <c r="B4443" t="s">
        <v>10391</v>
      </c>
    </row>
    <row r="4444" spans="1:2">
      <c r="A4444" s="1" t="s">
        <v>4934</v>
      </c>
      <c r="B4444" t="s">
        <v>10269</v>
      </c>
    </row>
    <row r="4445" spans="1:2">
      <c r="A4445" s="1" t="s">
        <v>4935</v>
      </c>
      <c r="B4445" t="s">
        <v>10286</v>
      </c>
    </row>
    <row r="4446" spans="1:2">
      <c r="A4446" s="1" t="s">
        <v>4936</v>
      </c>
      <c r="B4446" t="s">
        <v>10263</v>
      </c>
    </row>
    <row r="4447" spans="1:2">
      <c r="A4447" s="1" t="s">
        <v>4937</v>
      </c>
      <c r="B4447" t="s">
        <v>10240</v>
      </c>
    </row>
    <row r="4448" spans="1:2">
      <c r="A4448" s="1" t="s">
        <v>4938</v>
      </c>
      <c r="B4448" t="s">
        <v>10497</v>
      </c>
    </row>
    <row r="4449" spans="1:2">
      <c r="A4449" s="1" t="s">
        <v>4939</v>
      </c>
      <c r="B4449" t="s">
        <v>901</v>
      </c>
    </row>
    <row r="4450" spans="1:2">
      <c r="A4450" s="1" t="s">
        <v>627</v>
      </c>
      <c r="B4450" t="s">
        <v>10239</v>
      </c>
    </row>
    <row r="4451" spans="1:2">
      <c r="A4451" s="1" t="s">
        <v>4940</v>
      </c>
      <c r="B4451" t="s">
        <v>10286</v>
      </c>
    </row>
    <row r="4452" spans="1:2">
      <c r="A4452" s="1" t="s">
        <v>4941</v>
      </c>
      <c r="B4452" t="s">
        <v>10229</v>
      </c>
    </row>
    <row r="4453" spans="1:2">
      <c r="A4453" s="1" t="s">
        <v>4942</v>
      </c>
      <c r="B4453" t="s">
        <v>10405</v>
      </c>
    </row>
    <row r="4454" spans="1:2">
      <c r="A4454" s="1" t="s">
        <v>4943</v>
      </c>
      <c r="B4454" t="s">
        <v>10256</v>
      </c>
    </row>
    <row r="4455" spans="1:2">
      <c r="A4455" s="1" t="s">
        <v>94</v>
      </c>
      <c r="B4455" t="s">
        <v>10302</v>
      </c>
    </row>
    <row r="4456" spans="1:2">
      <c r="A4456" s="1" t="s">
        <v>4944</v>
      </c>
      <c r="B4456" t="s">
        <v>10256</v>
      </c>
    </row>
    <row r="4457" spans="1:2">
      <c r="A4457" s="1" t="s">
        <v>4945</v>
      </c>
      <c r="B4457" t="s">
        <v>10225</v>
      </c>
    </row>
    <row r="4458" spans="1:2">
      <c r="A4458" s="1" t="s">
        <v>4946</v>
      </c>
      <c r="B4458" t="s">
        <v>10248</v>
      </c>
    </row>
    <row r="4459" spans="1:2">
      <c r="A4459" s="1" t="s">
        <v>4947</v>
      </c>
      <c r="B4459" t="s">
        <v>10322</v>
      </c>
    </row>
    <row r="4460" spans="1:2">
      <c r="A4460" s="1" t="s">
        <v>4948</v>
      </c>
      <c r="B4460" t="s">
        <v>10434</v>
      </c>
    </row>
    <row r="4461" spans="1:2">
      <c r="A4461" s="1" t="s">
        <v>4949</v>
      </c>
      <c r="B4461" t="s">
        <v>10309</v>
      </c>
    </row>
    <row r="4462" spans="1:2">
      <c r="A4462" s="1" t="s">
        <v>4950</v>
      </c>
      <c r="B4462" t="s">
        <v>10357</v>
      </c>
    </row>
    <row r="4463" spans="1:2">
      <c r="A4463" s="1" t="s">
        <v>611</v>
      </c>
      <c r="B4463" t="s">
        <v>10244</v>
      </c>
    </row>
    <row r="4464" spans="1:2">
      <c r="A4464" s="1" t="s">
        <v>4951</v>
      </c>
      <c r="B4464" t="s">
        <v>10266</v>
      </c>
    </row>
    <row r="4465" spans="1:2">
      <c r="A4465" s="1" t="s">
        <v>4952</v>
      </c>
      <c r="B4465" t="s">
        <v>10240</v>
      </c>
    </row>
    <row r="4466" spans="1:2">
      <c r="A4466" s="1" t="s">
        <v>4953</v>
      </c>
      <c r="B4466" t="s">
        <v>10234</v>
      </c>
    </row>
    <row r="4467" spans="1:2">
      <c r="A4467" s="1" t="s">
        <v>4954</v>
      </c>
      <c r="B4467" t="s">
        <v>10311</v>
      </c>
    </row>
    <row r="4468" spans="1:2">
      <c r="A4468" s="1" t="s">
        <v>4955</v>
      </c>
      <c r="B4468" t="s">
        <v>10275</v>
      </c>
    </row>
    <row r="4469" spans="1:2">
      <c r="A4469" s="1" t="s">
        <v>4956</v>
      </c>
      <c r="B4469" t="s">
        <v>10225</v>
      </c>
    </row>
    <row r="4470" spans="1:2">
      <c r="A4470" s="1" t="s">
        <v>4957</v>
      </c>
      <c r="B4470" t="s">
        <v>10240</v>
      </c>
    </row>
    <row r="4471" spans="1:2">
      <c r="A4471" s="1" t="s">
        <v>4958</v>
      </c>
      <c r="B4471" t="s">
        <v>10362</v>
      </c>
    </row>
    <row r="4472" spans="1:2">
      <c r="A4472" s="1" t="s">
        <v>632</v>
      </c>
      <c r="B4472" t="s">
        <v>10286</v>
      </c>
    </row>
    <row r="4473" spans="1:2">
      <c r="A4473" s="1" t="s">
        <v>4959</v>
      </c>
      <c r="B4473" t="s">
        <v>10240</v>
      </c>
    </row>
    <row r="4474" spans="1:2">
      <c r="A4474" s="1" t="s">
        <v>4960</v>
      </c>
      <c r="B4474" t="s">
        <v>10277</v>
      </c>
    </row>
    <row r="4475" spans="1:2">
      <c r="A4475" s="1" t="s">
        <v>4961</v>
      </c>
      <c r="B4475" t="s">
        <v>10319</v>
      </c>
    </row>
    <row r="4476" spans="1:2">
      <c r="A4476" s="1" t="s">
        <v>4962</v>
      </c>
      <c r="B4476" t="s">
        <v>10240</v>
      </c>
    </row>
    <row r="4477" spans="1:2">
      <c r="A4477" s="1" t="s">
        <v>4963</v>
      </c>
      <c r="B4477" t="s">
        <v>10370</v>
      </c>
    </row>
    <row r="4478" spans="1:2">
      <c r="A4478" s="1" t="s">
        <v>4964</v>
      </c>
      <c r="B4478" t="s">
        <v>10261</v>
      </c>
    </row>
    <row r="4479" spans="1:2">
      <c r="A4479" s="1" t="s">
        <v>874</v>
      </c>
      <c r="B4479" t="s">
        <v>10277</v>
      </c>
    </row>
    <row r="4480" spans="1:2">
      <c r="A4480" s="1" t="s">
        <v>4965</v>
      </c>
      <c r="B4480" t="s">
        <v>10249</v>
      </c>
    </row>
    <row r="4481" spans="1:2">
      <c r="A4481" s="1" t="s">
        <v>4966</v>
      </c>
      <c r="B4481" t="s">
        <v>10240</v>
      </c>
    </row>
    <row r="4482" spans="1:2">
      <c r="A4482" s="1" t="s">
        <v>4967</v>
      </c>
      <c r="B4482" t="s">
        <v>10472</v>
      </c>
    </row>
    <row r="4483" spans="1:2">
      <c r="A4483" s="1" t="s">
        <v>4968</v>
      </c>
      <c r="B4483" t="s">
        <v>10417</v>
      </c>
    </row>
    <row r="4484" spans="1:2">
      <c r="A4484" s="1" t="s">
        <v>77</v>
      </c>
      <c r="B4484" t="s">
        <v>10224</v>
      </c>
    </row>
    <row r="4485" spans="1:2">
      <c r="A4485" s="1" t="s">
        <v>4969</v>
      </c>
      <c r="B4485" t="s">
        <v>10272</v>
      </c>
    </row>
    <row r="4486" spans="1:2">
      <c r="A4486" s="1" t="s">
        <v>4970</v>
      </c>
      <c r="B4486" t="s">
        <v>10240</v>
      </c>
    </row>
    <row r="4487" spans="1:2">
      <c r="A4487" s="1" t="s">
        <v>4971</v>
      </c>
      <c r="B4487" t="s">
        <v>10288</v>
      </c>
    </row>
    <row r="4488" spans="1:2">
      <c r="A4488" s="1" t="s">
        <v>4972</v>
      </c>
      <c r="B4488" t="s">
        <v>10273</v>
      </c>
    </row>
    <row r="4489" spans="1:2">
      <c r="A4489" s="1" t="s">
        <v>4973</v>
      </c>
      <c r="B4489" t="s">
        <v>10229</v>
      </c>
    </row>
    <row r="4490" spans="1:2">
      <c r="A4490" s="1" t="s">
        <v>4974</v>
      </c>
      <c r="B4490" t="s">
        <v>10234</v>
      </c>
    </row>
    <row r="4491" spans="1:2">
      <c r="A4491" s="1" t="s">
        <v>4975</v>
      </c>
      <c r="B4491" t="s">
        <v>10224</v>
      </c>
    </row>
    <row r="4492" spans="1:2">
      <c r="A4492" s="1" t="s">
        <v>4976</v>
      </c>
      <c r="B4492" t="s">
        <v>10286</v>
      </c>
    </row>
    <row r="4493" spans="1:2">
      <c r="A4493" s="1" t="s">
        <v>4977</v>
      </c>
      <c r="B4493" t="s">
        <v>10256</v>
      </c>
    </row>
    <row r="4494" spans="1:2">
      <c r="A4494" s="1" t="s">
        <v>4978</v>
      </c>
      <c r="B4494" t="s">
        <v>10241</v>
      </c>
    </row>
    <row r="4495" spans="1:2">
      <c r="A4495" s="1" t="s">
        <v>4979</v>
      </c>
      <c r="B4495" t="s">
        <v>10343</v>
      </c>
    </row>
    <row r="4496" spans="1:2">
      <c r="A4496" s="1" t="s">
        <v>4980</v>
      </c>
      <c r="B4496" t="s">
        <v>10256</v>
      </c>
    </row>
    <row r="4497" spans="1:2">
      <c r="A4497" s="1" t="s">
        <v>4981</v>
      </c>
      <c r="B4497" t="s">
        <v>10275</v>
      </c>
    </row>
    <row r="4498" spans="1:2">
      <c r="A4498" s="1" t="s">
        <v>4982</v>
      </c>
      <c r="B4498" t="s">
        <v>10286</v>
      </c>
    </row>
    <row r="4499" spans="1:2">
      <c r="A4499" s="1" t="s">
        <v>201</v>
      </c>
      <c r="B4499" t="s">
        <v>10286</v>
      </c>
    </row>
    <row r="4500" spans="1:2">
      <c r="A4500" s="1" t="s">
        <v>4983</v>
      </c>
      <c r="B4500" t="s">
        <v>10472</v>
      </c>
    </row>
    <row r="4501" spans="1:2">
      <c r="A4501" s="1" t="s">
        <v>444</v>
      </c>
      <c r="B4501" t="s">
        <v>10224</v>
      </c>
    </row>
    <row r="4502" spans="1:2">
      <c r="A4502" s="1" t="s">
        <v>4984</v>
      </c>
      <c r="B4502" t="s">
        <v>10230</v>
      </c>
    </row>
    <row r="4503" spans="1:2">
      <c r="A4503" s="1" t="s">
        <v>4985</v>
      </c>
      <c r="B4503" t="s">
        <v>10224</v>
      </c>
    </row>
    <row r="4504" spans="1:2">
      <c r="A4504" s="1" t="s">
        <v>229</v>
      </c>
      <c r="B4504" t="s">
        <v>10498</v>
      </c>
    </row>
    <row r="4505" spans="1:2">
      <c r="A4505" s="1" t="s">
        <v>4986</v>
      </c>
      <c r="B4505" t="s">
        <v>901</v>
      </c>
    </row>
    <row r="4506" spans="1:2">
      <c r="A4506" s="1" t="s">
        <v>4987</v>
      </c>
      <c r="B4506" t="s">
        <v>10238</v>
      </c>
    </row>
    <row r="4507" spans="1:2">
      <c r="A4507" s="1" t="s">
        <v>4988</v>
      </c>
      <c r="B4507" t="s">
        <v>901</v>
      </c>
    </row>
    <row r="4508" spans="1:2">
      <c r="A4508" s="1" t="s">
        <v>412</v>
      </c>
      <c r="B4508" t="s">
        <v>10442</v>
      </c>
    </row>
    <row r="4509" spans="1:2">
      <c r="A4509" s="1" t="s">
        <v>4989</v>
      </c>
      <c r="B4509" t="s">
        <v>10240</v>
      </c>
    </row>
    <row r="4510" spans="1:2">
      <c r="A4510" s="1" t="s">
        <v>4990</v>
      </c>
      <c r="B4510" t="s">
        <v>10240</v>
      </c>
    </row>
    <row r="4511" spans="1:2">
      <c r="A4511" s="1" t="s">
        <v>4991</v>
      </c>
      <c r="B4511" t="s">
        <v>10226</v>
      </c>
    </row>
    <row r="4512" spans="1:2">
      <c r="A4512" s="1" t="s">
        <v>4992</v>
      </c>
      <c r="B4512" t="s">
        <v>10286</v>
      </c>
    </row>
    <row r="4513" spans="1:2">
      <c r="A4513" s="1" t="s">
        <v>4993</v>
      </c>
      <c r="B4513" t="s">
        <v>10470</v>
      </c>
    </row>
    <row r="4514" spans="1:2">
      <c r="A4514" s="1" t="s">
        <v>4994</v>
      </c>
      <c r="B4514" t="s">
        <v>10303</v>
      </c>
    </row>
    <row r="4515" spans="1:2">
      <c r="A4515" s="1" t="s">
        <v>247</v>
      </c>
      <c r="B4515" t="s">
        <v>10288</v>
      </c>
    </row>
    <row r="4516" spans="1:2">
      <c r="A4516" s="1" t="s">
        <v>4995</v>
      </c>
      <c r="B4516" t="s">
        <v>10291</v>
      </c>
    </row>
    <row r="4517" spans="1:2">
      <c r="A4517" s="1" t="s">
        <v>4996</v>
      </c>
      <c r="B4517" t="s">
        <v>10499</v>
      </c>
    </row>
    <row r="4518" spans="1:2">
      <c r="A4518" s="1" t="s">
        <v>605</v>
      </c>
      <c r="B4518" t="s">
        <v>10286</v>
      </c>
    </row>
    <row r="4519" spans="1:2">
      <c r="A4519" s="1" t="s">
        <v>4997</v>
      </c>
      <c r="B4519" t="s">
        <v>10240</v>
      </c>
    </row>
    <row r="4520" spans="1:2">
      <c r="A4520" s="1" t="s">
        <v>73</v>
      </c>
      <c r="B4520" t="s">
        <v>10357</v>
      </c>
    </row>
    <row r="4521" spans="1:2">
      <c r="A4521" s="1" t="s">
        <v>4998</v>
      </c>
      <c r="B4521" t="s">
        <v>10302</v>
      </c>
    </row>
    <row r="4522" spans="1:2">
      <c r="A4522" s="1" t="s">
        <v>4999</v>
      </c>
      <c r="B4522" t="s">
        <v>10272</v>
      </c>
    </row>
    <row r="4523" spans="1:2">
      <c r="A4523" s="1" t="s">
        <v>5000</v>
      </c>
      <c r="B4523" t="s">
        <v>10230</v>
      </c>
    </row>
    <row r="4524" spans="1:2">
      <c r="A4524" s="1" t="s">
        <v>52</v>
      </c>
      <c r="B4524" t="s">
        <v>10451</v>
      </c>
    </row>
    <row r="4525" spans="1:2">
      <c r="A4525" s="1" t="s">
        <v>5001</v>
      </c>
      <c r="B4525" t="s">
        <v>10230</v>
      </c>
    </row>
    <row r="4526" spans="1:2">
      <c r="A4526" s="1" t="s">
        <v>5002</v>
      </c>
      <c r="B4526" t="s">
        <v>10286</v>
      </c>
    </row>
    <row r="4527" spans="1:2">
      <c r="A4527" s="1" t="s">
        <v>5003</v>
      </c>
      <c r="B4527" t="s">
        <v>901</v>
      </c>
    </row>
    <row r="4528" spans="1:2">
      <c r="A4528" s="1" t="s">
        <v>5004</v>
      </c>
      <c r="B4528" t="s">
        <v>10239</v>
      </c>
    </row>
    <row r="4529" spans="1:2">
      <c r="A4529" s="1" t="s">
        <v>5005</v>
      </c>
      <c r="B4529" t="s">
        <v>10224</v>
      </c>
    </row>
    <row r="4530" spans="1:2">
      <c r="A4530" s="1" t="s">
        <v>5006</v>
      </c>
      <c r="B4530" t="s">
        <v>901</v>
      </c>
    </row>
    <row r="4531" spans="1:2">
      <c r="A4531" s="1" t="s">
        <v>63</v>
      </c>
      <c r="B4531" t="s">
        <v>10262</v>
      </c>
    </row>
    <row r="4532" spans="1:2">
      <c r="A4532" s="1" t="s">
        <v>5007</v>
      </c>
      <c r="B4532" t="s">
        <v>10293</v>
      </c>
    </row>
    <row r="4533" spans="1:2">
      <c r="A4533" s="1" t="s">
        <v>5008</v>
      </c>
      <c r="B4533" t="s">
        <v>10240</v>
      </c>
    </row>
    <row r="4534" spans="1:2">
      <c r="A4534" s="1" t="s">
        <v>5009</v>
      </c>
      <c r="B4534" t="s">
        <v>10238</v>
      </c>
    </row>
    <row r="4535" spans="1:2">
      <c r="A4535" s="1" t="s">
        <v>5010</v>
      </c>
      <c r="B4535" t="s">
        <v>10389</v>
      </c>
    </row>
    <row r="4536" spans="1:2">
      <c r="A4536" s="1" t="s">
        <v>5011</v>
      </c>
      <c r="B4536" t="s">
        <v>10467</v>
      </c>
    </row>
    <row r="4537" spans="1:2">
      <c r="A4537" s="1" t="s">
        <v>5012</v>
      </c>
      <c r="B4537" t="s">
        <v>10225</v>
      </c>
    </row>
    <row r="4538" spans="1:2">
      <c r="A4538" s="1" t="s">
        <v>5013</v>
      </c>
      <c r="B4538" t="s">
        <v>10272</v>
      </c>
    </row>
    <row r="4539" spans="1:2">
      <c r="A4539" s="1" t="s">
        <v>5014</v>
      </c>
      <c r="B4539" t="s">
        <v>10399</v>
      </c>
    </row>
    <row r="4540" spans="1:2">
      <c r="A4540" s="1" t="s">
        <v>5015</v>
      </c>
      <c r="B4540" t="s">
        <v>10224</v>
      </c>
    </row>
    <row r="4541" spans="1:2">
      <c r="A4541" s="1" t="s">
        <v>5016</v>
      </c>
      <c r="B4541" t="s">
        <v>10280</v>
      </c>
    </row>
    <row r="4542" spans="1:2">
      <c r="A4542" s="1" t="s">
        <v>5017</v>
      </c>
      <c r="B4542" t="s">
        <v>10336</v>
      </c>
    </row>
    <row r="4543" spans="1:2">
      <c r="A4543" s="1" t="s">
        <v>5018</v>
      </c>
      <c r="B4543" t="s">
        <v>10238</v>
      </c>
    </row>
    <row r="4544" spans="1:2">
      <c r="A4544" s="1" t="s">
        <v>5019</v>
      </c>
      <c r="B4544" t="s">
        <v>10323</v>
      </c>
    </row>
    <row r="4545" spans="1:2">
      <c r="A4545" s="1" t="s">
        <v>5020</v>
      </c>
      <c r="B4545" t="s">
        <v>10343</v>
      </c>
    </row>
    <row r="4546" spans="1:2">
      <c r="A4546" s="1" t="s">
        <v>5021</v>
      </c>
      <c r="B4546" t="s">
        <v>10292</v>
      </c>
    </row>
    <row r="4547" spans="1:2">
      <c r="A4547" s="1" t="s">
        <v>5022</v>
      </c>
      <c r="B4547" t="s">
        <v>10325</v>
      </c>
    </row>
    <row r="4548" spans="1:2">
      <c r="A4548" s="1" t="s">
        <v>5023</v>
      </c>
      <c r="B4548" t="s">
        <v>10283</v>
      </c>
    </row>
    <row r="4549" spans="1:2">
      <c r="A4549" s="1" t="s">
        <v>5024</v>
      </c>
      <c r="B4549" t="s">
        <v>10413</v>
      </c>
    </row>
    <row r="4550" spans="1:2">
      <c r="A4550" s="1" t="s">
        <v>5025</v>
      </c>
      <c r="B4550" t="s">
        <v>10278</v>
      </c>
    </row>
    <row r="4551" spans="1:2">
      <c r="A4551" s="1" t="s">
        <v>5026</v>
      </c>
      <c r="B4551" t="s">
        <v>10272</v>
      </c>
    </row>
    <row r="4552" spans="1:2">
      <c r="A4552" s="1" t="s">
        <v>5027</v>
      </c>
      <c r="B4552" t="s">
        <v>10364</v>
      </c>
    </row>
    <row r="4553" spans="1:2">
      <c r="A4553" s="1" t="s">
        <v>5028</v>
      </c>
      <c r="B4553" t="s">
        <v>10234</v>
      </c>
    </row>
    <row r="4554" spans="1:2">
      <c r="A4554" s="1" t="s">
        <v>5029</v>
      </c>
      <c r="B4554" t="s">
        <v>10232</v>
      </c>
    </row>
    <row r="4555" spans="1:2">
      <c r="A4555" s="1" t="s">
        <v>5030</v>
      </c>
      <c r="B4555" t="s">
        <v>10319</v>
      </c>
    </row>
    <row r="4556" spans="1:2">
      <c r="A4556" s="1" t="s">
        <v>5031</v>
      </c>
      <c r="B4556" t="s">
        <v>10283</v>
      </c>
    </row>
    <row r="4557" spans="1:2">
      <c r="A4557" s="1" t="s">
        <v>851</v>
      </c>
      <c r="B4557" t="s">
        <v>10262</v>
      </c>
    </row>
    <row r="4558" spans="1:2">
      <c r="A4558" s="1" t="s">
        <v>5032</v>
      </c>
      <c r="B4558" t="s">
        <v>10387</v>
      </c>
    </row>
    <row r="4559" spans="1:2">
      <c r="A4559" s="1" t="s">
        <v>5033</v>
      </c>
      <c r="B4559" t="s">
        <v>10343</v>
      </c>
    </row>
    <row r="4560" spans="1:2">
      <c r="A4560" s="1" t="s">
        <v>212</v>
      </c>
      <c r="B4560" t="s">
        <v>10269</v>
      </c>
    </row>
    <row r="4561" spans="1:2">
      <c r="A4561" s="1" t="s">
        <v>5034</v>
      </c>
      <c r="B4561" t="s">
        <v>901</v>
      </c>
    </row>
    <row r="4562" spans="1:2">
      <c r="A4562" s="1" t="s">
        <v>66</v>
      </c>
      <c r="B4562" t="s">
        <v>10240</v>
      </c>
    </row>
    <row r="4563" spans="1:2">
      <c r="A4563" s="1" t="s">
        <v>5035</v>
      </c>
      <c r="B4563" t="s">
        <v>10414</v>
      </c>
    </row>
    <row r="4564" spans="1:2">
      <c r="A4564" s="1" t="s">
        <v>5036</v>
      </c>
      <c r="B4564" t="s">
        <v>10387</v>
      </c>
    </row>
    <row r="4565" spans="1:2">
      <c r="A4565" s="1" t="s">
        <v>5037</v>
      </c>
      <c r="B4565" t="s">
        <v>10287</v>
      </c>
    </row>
    <row r="4566" spans="1:2">
      <c r="A4566" s="1" t="s">
        <v>5038</v>
      </c>
      <c r="B4566" t="s">
        <v>10286</v>
      </c>
    </row>
    <row r="4567" spans="1:2">
      <c r="A4567" s="1" t="s">
        <v>5039</v>
      </c>
      <c r="B4567" t="s">
        <v>10240</v>
      </c>
    </row>
    <row r="4568" spans="1:2">
      <c r="A4568" s="1" t="s">
        <v>5040</v>
      </c>
      <c r="B4568" t="s">
        <v>10273</v>
      </c>
    </row>
    <row r="4569" spans="1:2">
      <c r="A4569" s="1" t="s">
        <v>5041</v>
      </c>
      <c r="B4569" t="s">
        <v>901</v>
      </c>
    </row>
    <row r="4570" spans="1:2">
      <c r="A4570" s="1" t="s">
        <v>535</v>
      </c>
      <c r="B4570" t="s">
        <v>10266</v>
      </c>
    </row>
    <row r="4571" spans="1:2">
      <c r="A4571" s="1" t="s">
        <v>361</v>
      </c>
      <c r="B4571" t="s">
        <v>10298</v>
      </c>
    </row>
    <row r="4572" spans="1:2">
      <c r="A4572" s="1" t="s">
        <v>5042</v>
      </c>
      <c r="B4572" t="s">
        <v>10319</v>
      </c>
    </row>
    <row r="4573" spans="1:2">
      <c r="A4573" s="1" t="s">
        <v>5043</v>
      </c>
      <c r="B4573" t="s">
        <v>10234</v>
      </c>
    </row>
    <row r="4574" spans="1:2">
      <c r="A4574" s="1" t="s">
        <v>349</v>
      </c>
      <c r="B4574" t="s">
        <v>10240</v>
      </c>
    </row>
    <row r="4575" spans="1:2">
      <c r="A4575" s="1" t="s">
        <v>5044</v>
      </c>
      <c r="B4575" t="s">
        <v>10245</v>
      </c>
    </row>
    <row r="4576" spans="1:2">
      <c r="A4576" s="1" t="s">
        <v>5045</v>
      </c>
      <c r="B4576" t="s">
        <v>10343</v>
      </c>
    </row>
    <row r="4577" spans="1:2">
      <c r="A4577" s="1" t="s">
        <v>5046</v>
      </c>
      <c r="B4577" t="s">
        <v>10500</v>
      </c>
    </row>
    <row r="4578" spans="1:2">
      <c r="A4578" s="1" t="s">
        <v>5047</v>
      </c>
      <c r="B4578" t="s">
        <v>10283</v>
      </c>
    </row>
    <row r="4579" spans="1:2">
      <c r="A4579" s="1" t="s">
        <v>5048</v>
      </c>
      <c r="B4579" t="s">
        <v>10230</v>
      </c>
    </row>
    <row r="4580" spans="1:2">
      <c r="A4580" s="1" t="s">
        <v>5049</v>
      </c>
      <c r="B4580" t="s">
        <v>10240</v>
      </c>
    </row>
    <row r="4581" spans="1:2">
      <c r="A4581" s="1" t="s">
        <v>5050</v>
      </c>
      <c r="B4581" t="s">
        <v>10319</v>
      </c>
    </row>
    <row r="4582" spans="1:2">
      <c r="A4582" s="1" t="s">
        <v>5051</v>
      </c>
      <c r="B4582" t="s">
        <v>901</v>
      </c>
    </row>
    <row r="4583" spans="1:2">
      <c r="A4583" s="1" t="s">
        <v>5052</v>
      </c>
      <c r="B4583" t="s">
        <v>10230</v>
      </c>
    </row>
    <row r="4584" spans="1:2">
      <c r="A4584" s="1" t="s">
        <v>5053</v>
      </c>
      <c r="B4584" t="s">
        <v>10244</v>
      </c>
    </row>
    <row r="4585" spans="1:2">
      <c r="A4585" s="1" t="s">
        <v>5054</v>
      </c>
      <c r="B4585" t="s">
        <v>10230</v>
      </c>
    </row>
    <row r="4586" spans="1:2">
      <c r="A4586" s="1" t="s">
        <v>5055</v>
      </c>
      <c r="B4586" t="s">
        <v>10372</v>
      </c>
    </row>
    <row r="4587" spans="1:2">
      <c r="A4587" s="1" t="s">
        <v>5056</v>
      </c>
      <c r="B4587" t="s">
        <v>10266</v>
      </c>
    </row>
    <row r="4588" spans="1:2">
      <c r="A4588" s="1" t="s">
        <v>5057</v>
      </c>
      <c r="B4588" t="s">
        <v>10439</v>
      </c>
    </row>
    <row r="4589" spans="1:2">
      <c r="A4589" s="1" t="s">
        <v>5058</v>
      </c>
      <c r="B4589" t="s">
        <v>10286</v>
      </c>
    </row>
    <row r="4590" spans="1:2">
      <c r="A4590" s="1" t="s">
        <v>5059</v>
      </c>
      <c r="B4590" t="s">
        <v>10386</v>
      </c>
    </row>
    <row r="4591" spans="1:2">
      <c r="A4591" s="1" t="s">
        <v>319</v>
      </c>
      <c r="B4591" t="s">
        <v>10277</v>
      </c>
    </row>
    <row r="4592" spans="1:2">
      <c r="A4592" s="1" t="s">
        <v>5060</v>
      </c>
      <c r="B4592" t="s">
        <v>10224</v>
      </c>
    </row>
    <row r="4593" spans="1:2">
      <c r="A4593" s="1" t="s">
        <v>5061</v>
      </c>
      <c r="B4593" t="s">
        <v>10240</v>
      </c>
    </row>
    <row r="4594" spans="1:2">
      <c r="A4594" s="1" t="s">
        <v>5062</v>
      </c>
      <c r="B4594" t="s">
        <v>10260</v>
      </c>
    </row>
    <row r="4595" spans="1:2">
      <c r="A4595" s="1" t="s">
        <v>862</v>
      </c>
      <c r="B4595" t="s">
        <v>10282</v>
      </c>
    </row>
    <row r="4596" spans="1:2">
      <c r="A4596" s="1" t="s">
        <v>5063</v>
      </c>
      <c r="B4596" t="s">
        <v>10248</v>
      </c>
    </row>
    <row r="4597" spans="1:2">
      <c r="A4597" s="1" t="s">
        <v>717</v>
      </c>
      <c r="B4597" t="s">
        <v>10326</v>
      </c>
    </row>
    <row r="4598" spans="1:2">
      <c r="A4598" s="1" t="s">
        <v>5064</v>
      </c>
      <c r="B4598" t="s">
        <v>10245</v>
      </c>
    </row>
    <row r="4599" spans="1:2">
      <c r="A4599" s="1" t="s">
        <v>368</v>
      </c>
      <c r="B4599" t="s">
        <v>10260</v>
      </c>
    </row>
    <row r="4600" spans="1:2">
      <c r="A4600" s="1" t="s">
        <v>5065</v>
      </c>
      <c r="B4600" t="s">
        <v>10424</v>
      </c>
    </row>
    <row r="4601" spans="1:2">
      <c r="A4601" s="1" t="s">
        <v>5066</v>
      </c>
      <c r="B4601" t="s">
        <v>10282</v>
      </c>
    </row>
    <row r="4602" spans="1:2">
      <c r="A4602" s="1" t="s">
        <v>5067</v>
      </c>
      <c r="B4602" t="s">
        <v>10238</v>
      </c>
    </row>
    <row r="4603" spans="1:2">
      <c r="A4603" s="1" t="s">
        <v>5068</v>
      </c>
      <c r="B4603" t="s">
        <v>10250</v>
      </c>
    </row>
    <row r="4604" spans="1:2">
      <c r="A4604" s="1" t="s">
        <v>5069</v>
      </c>
      <c r="B4604" t="s">
        <v>10266</v>
      </c>
    </row>
    <row r="4605" spans="1:2">
      <c r="A4605" s="1" t="s">
        <v>5070</v>
      </c>
      <c r="B4605" t="s">
        <v>901</v>
      </c>
    </row>
    <row r="4606" spans="1:2">
      <c r="A4606" s="1" t="s">
        <v>5071</v>
      </c>
      <c r="B4606" t="s">
        <v>10410</v>
      </c>
    </row>
    <row r="4607" spans="1:2">
      <c r="A4607" s="1" t="s">
        <v>5072</v>
      </c>
      <c r="B4607" t="s">
        <v>10231</v>
      </c>
    </row>
    <row r="4608" spans="1:2">
      <c r="A4608" s="1" t="s">
        <v>5073</v>
      </c>
      <c r="B4608" t="s">
        <v>10240</v>
      </c>
    </row>
    <row r="4609" spans="1:2">
      <c r="A4609" s="1" t="s">
        <v>5074</v>
      </c>
      <c r="B4609" t="s">
        <v>10240</v>
      </c>
    </row>
    <row r="4610" spans="1:2">
      <c r="A4610" s="1" t="s">
        <v>5075</v>
      </c>
      <c r="B4610" t="s">
        <v>10230</v>
      </c>
    </row>
    <row r="4611" spans="1:2">
      <c r="A4611" s="1" t="s">
        <v>5076</v>
      </c>
      <c r="B4611" t="s">
        <v>10283</v>
      </c>
    </row>
    <row r="4612" spans="1:2">
      <c r="A4612" s="1" t="s">
        <v>715</v>
      </c>
      <c r="B4612" t="s">
        <v>10470</v>
      </c>
    </row>
    <row r="4613" spans="1:2">
      <c r="A4613" s="1" t="s">
        <v>5077</v>
      </c>
      <c r="B4613" t="s">
        <v>10286</v>
      </c>
    </row>
    <row r="4614" spans="1:2">
      <c r="A4614" s="1" t="s">
        <v>5078</v>
      </c>
      <c r="B4614" t="s">
        <v>10359</v>
      </c>
    </row>
    <row r="4615" spans="1:2">
      <c r="A4615" s="1" t="s">
        <v>5079</v>
      </c>
      <c r="B4615" t="s">
        <v>10240</v>
      </c>
    </row>
    <row r="4616" spans="1:2">
      <c r="A4616" s="1" t="s">
        <v>5080</v>
      </c>
      <c r="B4616" t="s">
        <v>10262</v>
      </c>
    </row>
    <row r="4617" spans="1:2">
      <c r="A4617" s="1" t="s">
        <v>5081</v>
      </c>
      <c r="B4617" t="s">
        <v>901</v>
      </c>
    </row>
    <row r="4618" spans="1:2">
      <c r="A4618" s="1" t="s">
        <v>5082</v>
      </c>
      <c r="B4618" t="s">
        <v>10359</v>
      </c>
    </row>
    <row r="4619" spans="1:2">
      <c r="A4619" s="1" t="s">
        <v>441</v>
      </c>
      <c r="B4619" t="s">
        <v>10288</v>
      </c>
    </row>
    <row r="4620" spans="1:2">
      <c r="A4620" s="1" t="s">
        <v>5083</v>
      </c>
      <c r="B4620" t="s">
        <v>10225</v>
      </c>
    </row>
    <row r="4621" spans="1:2">
      <c r="A4621" s="1" t="s">
        <v>671</v>
      </c>
      <c r="B4621" t="s">
        <v>10278</v>
      </c>
    </row>
    <row r="4622" spans="1:2">
      <c r="A4622" s="1" t="s">
        <v>5084</v>
      </c>
      <c r="B4622" t="s">
        <v>10223</v>
      </c>
    </row>
    <row r="4623" spans="1:2">
      <c r="A4623" s="1" t="s">
        <v>145</v>
      </c>
      <c r="B4623" t="s">
        <v>10242</v>
      </c>
    </row>
    <row r="4624" spans="1:2">
      <c r="A4624" s="1" t="s">
        <v>175</v>
      </c>
      <c r="B4624" t="s">
        <v>10234</v>
      </c>
    </row>
    <row r="4625" spans="1:2">
      <c r="A4625" s="1" t="s">
        <v>5085</v>
      </c>
      <c r="B4625" t="s">
        <v>10501</v>
      </c>
    </row>
    <row r="4626" spans="1:2">
      <c r="A4626" s="1" t="s">
        <v>5086</v>
      </c>
      <c r="B4626" t="s">
        <v>10283</v>
      </c>
    </row>
    <row r="4627" spans="1:2">
      <c r="A4627" s="1" t="s">
        <v>123</v>
      </c>
      <c r="B4627" t="s">
        <v>10243</v>
      </c>
    </row>
    <row r="4628" spans="1:2">
      <c r="A4628" s="1" t="s">
        <v>5087</v>
      </c>
      <c r="B4628" t="s">
        <v>10245</v>
      </c>
    </row>
    <row r="4629" spans="1:2">
      <c r="A4629" s="1" t="s">
        <v>5088</v>
      </c>
      <c r="B4629" t="s">
        <v>10323</v>
      </c>
    </row>
    <row r="4630" spans="1:2">
      <c r="A4630" s="1" t="s">
        <v>5089</v>
      </c>
      <c r="B4630" t="s">
        <v>10366</v>
      </c>
    </row>
    <row r="4631" spans="1:2">
      <c r="A4631" s="1" t="s">
        <v>5090</v>
      </c>
      <c r="B4631" t="s">
        <v>10233</v>
      </c>
    </row>
    <row r="4632" spans="1:2">
      <c r="A4632" s="1" t="s">
        <v>5091</v>
      </c>
      <c r="B4632" t="s">
        <v>10234</v>
      </c>
    </row>
    <row r="4633" spans="1:2">
      <c r="A4633" s="1" t="s">
        <v>5092</v>
      </c>
      <c r="B4633" t="s">
        <v>10343</v>
      </c>
    </row>
    <row r="4634" spans="1:2">
      <c r="A4634" s="1" t="s">
        <v>246</v>
      </c>
      <c r="B4634" t="s">
        <v>10262</v>
      </c>
    </row>
    <row r="4635" spans="1:2">
      <c r="A4635" s="1" t="s">
        <v>5093</v>
      </c>
      <c r="B4635" t="s">
        <v>10319</v>
      </c>
    </row>
    <row r="4636" spans="1:2">
      <c r="A4636" s="1" t="s">
        <v>283</v>
      </c>
      <c r="B4636" t="s">
        <v>10244</v>
      </c>
    </row>
    <row r="4637" spans="1:2">
      <c r="A4637" s="1" t="s">
        <v>5094</v>
      </c>
      <c r="B4637" t="s">
        <v>10245</v>
      </c>
    </row>
    <row r="4638" spans="1:2">
      <c r="A4638" s="1" t="s">
        <v>5095</v>
      </c>
      <c r="B4638" t="s">
        <v>10245</v>
      </c>
    </row>
    <row r="4639" spans="1:2">
      <c r="A4639" s="1" t="s">
        <v>5096</v>
      </c>
      <c r="B4639" t="s">
        <v>10319</v>
      </c>
    </row>
    <row r="4640" spans="1:2">
      <c r="A4640" s="1" t="s">
        <v>5097</v>
      </c>
      <c r="B4640" t="s">
        <v>901</v>
      </c>
    </row>
    <row r="4641" spans="1:2">
      <c r="A4641" s="1" t="s">
        <v>5098</v>
      </c>
      <c r="B4641" t="s">
        <v>10256</v>
      </c>
    </row>
    <row r="4642" spans="1:2">
      <c r="A4642" s="1" t="s">
        <v>5099</v>
      </c>
      <c r="B4642" t="s">
        <v>10343</v>
      </c>
    </row>
    <row r="4643" spans="1:2">
      <c r="A4643" s="1" t="s">
        <v>5100</v>
      </c>
      <c r="B4643" t="s">
        <v>10322</v>
      </c>
    </row>
    <row r="4644" spans="1:2">
      <c r="A4644" s="1" t="s">
        <v>5101</v>
      </c>
      <c r="B4644" t="s">
        <v>10414</v>
      </c>
    </row>
    <row r="4645" spans="1:2">
      <c r="A4645" s="1" t="s">
        <v>260</v>
      </c>
      <c r="B4645" t="s">
        <v>10262</v>
      </c>
    </row>
    <row r="4646" spans="1:2">
      <c r="A4646" s="1" t="s">
        <v>5102</v>
      </c>
      <c r="B4646" t="s">
        <v>10277</v>
      </c>
    </row>
    <row r="4647" spans="1:2">
      <c r="A4647" s="1" t="s">
        <v>5103</v>
      </c>
      <c r="B4647" t="s">
        <v>901</v>
      </c>
    </row>
    <row r="4648" spans="1:2">
      <c r="A4648" s="1" t="s">
        <v>5104</v>
      </c>
      <c r="B4648" t="s">
        <v>10313</v>
      </c>
    </row>
    <row r="4649" spans="1:2">
      <c r="A4649" s="1" t="s">
        <v>5105</v>
      </c>
      <c r="B4649" t="s">
        <v>901</v>
      </c>
    </row>
    <row r="4650" spans="1:2">
      <c r="A4650" s="1" t="s">
        <v>5106</v>
      </c>
      <c r="B4650" t="s">
        <v>10398</v>
      </c>
    </row>
    <row r="4651" spans="1:2">
      <c r="A4651" s="1" t="s">
        <v>5107</v>
      </c>
      <c r="B4651" t="s">
        <v>10276</v>
      </c>
    </row>
    <row r="4652" spans="1:2">
      <c r="A4652" s="1" t="s">
        <v>5108</v>
      </c>
      <c r="B4652" t="s">
        <v>10230</v>
      </c>
    </row>
    <row r="4653" spans="1:2">
      <c r="A4653" s="1" t="s">
        <v>5109</v>
      </c>
      <c r="B4653" t="s">
        <v>10256</v>
      </c>
    </row>
    <row r="4654" spans="1:2">
      <c r="A4654" s="1" t="s">
        <v>691</v>
      </c>
      <c r="B4654" t="s">
        <v>10289</v>
      </c>
    </row>
    <row r="4655" spans="1:2">
      <c r="A4655" s="1" t="s">
        <v>5110</v>
      </c>
      <c r="B4655" t="s">
        <v>10424</v>
      </c>
    </row>
    <row r="4656" spans="1:2">
      <c r="A4656" s="1" t="s">
        <v>5111</v>
      </c>
      <c r="B4656" t="s">
        <v>10453</v>
      </c>
    </row>
    <row r="4657" spans="1:2">
      <c r="A4657" s="1" t="s">
        <v>5112</v>
      </c>
      <c r="B4657" t="s">
        <v>10266</v>
      </c>
    </row>
    <row r="4658" spans="1:2">
      <c r="A4658" s="1" t="s">
        <v>5113</v>
      </c>
      <c r="B4658" t="s">
        <v>10250</v>
      </c>
    </row>
    <row r="4659" spans="1:2">
      <c r="A4659" s="1" t="s">
        <v>5114</v>
      </c>
      <c r="B4659" t="s">
        <v>10323</v>
      </c>
    </row>
    <row r="4660" spans="1:2">
      <c r="A4660" s="1" t="s">
        <v>5115</v>
      </c>
      <c r="B4660" t="s">
        <v>10348</v>
      </c>
    </row>
    <row r="4661" spans="1:2">
      <c r="A4661" s="1" t="s">
        <v>98</v>
      </c>
      <c r="B4661" t="s">
        <v>10495</v>
      </c>
    </row>
    <row r="4662" spans="1:2">
      <c r="A4662" s="1" t="s">
        <v>5116</v>
      </c>
      <c r="B4662" t="s">
        <v>901</v>
      </c>
    </row>
    <row r="4663" spans="1:2">
      <c r="A4663" s="1" t="s">
        <v>5117</v>
      </c>
      <c r="B4663" t="s">
        <v>10229</v>
      </c>
    </row>
    <row r="4664" spans="1:2">
      <c r="A4664" s="1" t="s">
        <v>5118</v>
      </c>
      <c r="B4664" t="s">
        <v>10265</v>
      </c>
    </row>
    <row r="4665" spans="1:2">
      <c r="A4665" s="1" t="s">
        <v>5119</v>
      </c>
      <c r="B4665" t="s">
        <v>10229</v>
      </c>
    </row>
    <row r="4666" spans="1:2">
      <c r="A4666" s="1" t="s">
        <v>5120</v>
      </c>
      <c r="B4666" t="s">
        <v>10239</v>
      </c>
    </row>
    <row r="4667" spans="1:2">
      <c r="A4667" s="1" t="s">
        <v>5121</v>
      </c>
      <c r="B4667" t="s">
        <v>10234</v>
      </c>
    </row>
    <row r="4668" spans="1:2">
      <c r="A4668" s="1" t="s">
        <v>5122</v>
      </c>
      <c r="B4668" t="s">
        <v>10283</v>
      </c>
    </row>
    <row r="4669" spans="1:2">
      <c r="A4669" s="1" t="s">
        <v>5123</v>
      </c>
      <c r="B4669" t="s">
        <v>10240</v>
      </c>
    </row>
    <row r="4670" spans="1:2">
      <c r="A4670" s="1" t="s">
        <v>79</v>
      </c>
      <c r="B4670" t="s">
        <v>10502</v>
      </c>
    </row>
    <row r="4671" spans="1:2">
      <c r="A4671" s="1" t="s">
        <v>5124</v>
      </c>
      <c r="B4671" t="s">
        <v>10287</v>
      </c>
    </row>
    <row r="4672" spans="1:2">
      <c r="A4672" s="1" t="s">
        <v>5125</v>
      </c>
      <c r="B4672" t="s">
        <v>10239</v>
      </c>
    </row>
    <row r="4673" spans="1:2">
      <c r="A4673" s="1" t="s">
        <v>5126</v>
      </c>
      <c r="B4673" t="s">
        <v>10445</v>
      </c>
    </row>
    <row r="4674" spans="1:2">
      <c r="A4674" s="1" t="s">
        <v>5127</v>
      </c>
      <c r="B4674" t="s">
        <v>10239</v>
      </c>
    </row>
    <row r="4675" spans="1:2">
      <c r="A4675" s="1" t="s">
        <v>5128</v>
      </c>
      <c r="B4675" t="s">
        <v>10336</v>
      </c>
    </row>
    <row r="4676" spans="1:2">
      <c r="A4676" s="1" t="s">
        <v>5129</v>
      </c>
      <c r="B4676" t="s">
        <v>901</v>
      </c>
    </row>
    <row r="4677" spans="1:2">
      <c r="A4677" s="1" t="s">
        <v>5130</v>
      </c>
      <c r="B4677" t="s">
        <v>10272</v>
      </c>
    </row>
    <row r="4678" spans="1:2">
      <c r="A4678" s="1" t="s">
        <v>5131</v>
      </c>
      <c r="B4678" t="s">
        <v>901</v>
      </c>
    </row>
    <row r="4679" spans="1:2">
      <c r="A4679" s="1" t="s">
        <v>5132</v>
      </c>
      <c r="B4679" t="s">
        <v>10348</v>
      </c>
    </row>
    <row r="4680" spans="1:2">
      <c r="A4680" s="1" t="s">
        <v>5133</v>
      </c>
      <c r="B4680" t="s">
        <v>10245</v>
      </c>
    </row>
    <row r="4681" spans="1:2">
      <c r="A4681" s="1" t="s">
        <v>5134</v>
      </c>
      <c r="B4681" t="s">
        <v>10245</v>
      </c>
    </row>
    <row r="4682" spans="1:2">
      <c r="A4682" s="1" t="s">
        <v>5135</v>
      </c>
      <c r="B4682" t="s">
        <v>10230</v>
      </c>
    </row>
    <row r="4683" spans="1:2">
      <c r="A4683" s="1" t="s">
        <v>5136</v>
      </c>
      <c r="B4683" t="s">
        <v>10503</v>
      </c>
    </row>
    <row r="4684" spans="1:2">
      <c r="A4684" s="1" t="s">
        <v>143</v>
      </c>
      <c r="B4684" t="s">
        <v>10262</v>
      </c>
    </row>
    <row r="4685" spans="1:2">
      <c r="A4685" s="1" t="s">
        <v>5137</v>
      </c>
      <c r="B4685" t="s">
        <v>10224</v>
      </c>
    </row>
    <row r="4686" spans="1:2">
      <c r="A4686" s="1" t="s">
        <v>5138</v>
      </c>
      <c r="B4686" t="s">
        <v>10230</v>
      </c>
    </row>
    <row r="4687" spans="1:2">
      <c r="A4687" s="1" t="s">
        <v>286</v>
      </c>
      <c r="B4687" t="s">
        <v>10280</v>
      </c>
    </row>
    <row r="4688" spans="1:2">
      <c r="A4688" s="1" t="s">
        <v>5139</v>
      </c>
      <c r="B4688" t="s">
        <v>10230</v>
      </c>
    </row>
    <row r="4689" spans="1:2">
      <c r="A4689" s="1" t="s">
        <v>5140</v>
      </c>
      <c r="B4689" t="s">
        <v>10269</v>
      </c>
    </row>
    <row r="4690" spans="1:2">
      <c r="A4690" s="1" t="s">
        <v>5141</v>
      </c>
      <c r="B4690" t="s">
        <v>10434</v>
      </c>
    </row>
    <row r="4691" spans="1:2">
      <c r="A4691" s="1" t="s">
        <v>5142</v>
      </c>
      <c r="B4691" t="s">
        <v>10240</v>
      </c>
    </row>
    <row r="4692" spans="1:2">
      <c r="A4692" s="1" t="s">
        <v>494</v>
      </c>
      <c r="B4692" t="s">
        <v>10324</v>
      </c>
    </row>
    <row r="4693" spans="1:2">
      <c r="A4693" s="1" t="s">
        <v>5143</v>
      </c>
      <c r="B4693" t="s">
        <v>10231</v>
      </c>
    </row>
    <row r="4694" spans="1:2">
      <c r="A4694" s="1" t="s">
        <v>287</v>
      </c>
      <c r="B4694" t="s">
        <v>10361</v>
      </c>
    </row>
    <row r="4695" spans="1:2">
      <c r="A4695" s="1" t="s">
        <v>5144</v>
      </c>
      <c r="B4695" t="s">
        <v>10286</v>
      </c>
    </row>
    <row r="4696" spans="1:2">
      <c r="A4696" s="1" t="s">
        <v>5145</v>
      </c>
      <c r="B4696" t="s">
        <v>10224</v>
      </c>
    </row>
    <row r="4697" spans="1:2">
      <c r="A4697" s="1" t="s">
        <v>5146</v>
      </c>
      <c r="B4697" t="s">
        <v>10287</v>
      </c>
    </row>
    <row r="4698" spans="1:2">
      <c r="A4698" s="1" t="s">
        <v>5147</v>
      </c>
      <c r="B4698" t="s">
        <v>10283</v>
      </c>
    </row>
    <row r="4699" spans="1:2">
      <c r="A4699" s="1" t="s">
        <v>5148</v>
      </c>
      <c r="B4699" t="s">
        <v>10278</v>
      </c>
    </row>
    <row r="4700" spans="1:2">
      <c r="A4700" s="1" t="s">
        <v>5149</v>
      </c>
      <c r="B4700" t="s">
        <v>10272</v>
      </c>
    </row>
    <row r="4701" spans="1:2">
      <c r="A4701" s="1" t="s">
        <v>5150</v>
      </c>
      <c r="B4701" t="s">
        <v>10240</v>
      </c>
    </row>
    <row r="4702" spans="1:2">
      <c r="A4702" s="1" t="s">
        <v>5151</v>
      </c>
      <c r="B4702" t="s">
        <v>10225</v>
      </c>
    </row>
    <row r="4703" spans="1:2">
      <c r="A4703" s="1" t="s">
        <v>5152</v>
      </c>
      <c r="B4703" t="s">
        <v>10223</v>
      </c>
    </row>
    <row r="4704" spans="1:2">
      <c r="A4704" s="1" t="s">
        <v>161</v>
      </c>
      <c r="B4704" t="s">
        <v>10353</v>
      </c>
    </row>
    <row r="4705" spans="1:2">
      <c r="A4705" s="1" t="s">
        <v>5153</v>
      </c>
      <c r="B4705" t="s">
        <v>10248</v>
      </c>
    </row>
    <row r="4706" spans="1:2">
      <c r="A4706" s="1" t="s">
        <v>5154</v>
      </c>
      <c r="B4706" t="s">
        <v>10257</v>
      </c>
    </row>
    <row r="4707" spans="1:2">
      <c r="A4707" s="1" t="s">
        <v>5155</v>
      </c>
      <c r="B4707" t="s">
        <v>10261</v>
      </c>
    </row>
    <row r="4708" spans="1:2">
      <c r="A4708" s="1" t="s">
        <v>5156</v>
      </c>
      <c r="B4708" t="s">
        <v>10284</v>
      </c>
    </row>
    <row r="4709" spans="1:2">
      <c r="A4709" s="1" t="s">
        <v>5157</v>
      </c>
      <c r="B4709" t="s">
        <v>10272</v>
      </c>
    </row>
    <row r="4710" spans="1:2">
      <c r="A4710" s="1" t="s">
        <v>114</v>
      </c>
      <c r="B4710" t="s">
        <v>10266</v>
      </c>
    </row>
    <row r="4711" spans="1:2">
      <c r="A4711" s="1" t="s">
        <v>5158</v>
      </c>
      <c r="B4711" t="s">
        <v>10277</v>
      </c>
    </row>
    <row r="4712" spans="1:2">
      <c r="A4712" s="1" t="s">
        <v>5159</v>
      </c>
      <c r="B4712" t="s">
        <v>10266</v>
      </c>
    </row>
    <row r="4713" spans="1:2">
      <c r="A4713" s="1" t="s">
        <v>5160</v>
      </c>
      <c r="B4713" t="s">
        <v>10240</v>
      </c>
    </row>
    <row r="4714" spans="1:2">
      <c r="A4714" s="1" t="s">
        <v>5161</v>
      </c>
      <c r="B4714" t="s">
        <v>10459</v>
      </c>
    </row>
    <row r="4715" spans="1:2">
      <c r="A4715" s="1" t="s">
        <v>76</v>
      </c>
      <c r="B4715" t="s">
        <v>10239</v>
      </c>
    </row>
    <row r="4716" spans="1:2">
      <c r="A4716" s="1" t="s">
        <v>5162</v>
      </c>
      <c r="B4716" t="s">
        <v>10224</v>
      </c>
    </row>
    <row r="4717" spans="1:2">
      <c r="A4717" s="1" t="s">
        <v>5163</v>
      </c>
      <c r="B4717" t="s">
        <v>10399</v>
      </c>
    </row>
    <row r="4718" spans="1:2">
      <c r="A4718" s="1" t="s">
        <v>5164</v>
      </c>
      <c r="B4718" t="s">
        <v>10272</v>
      </c>
    </row>
    <row r="4719" spans="1:2">
      <c r="A4719" s="1" t="s">
        <v>5165</v>
      </c>
      <c r="B4719" t="s">
        <v>10326</v>
      </c>
    </row>
    <row r="4720" spans="1:2">
      <c r="A4720" s="1" t="s">
        <v>153</v>
      </c>
      <c r="B4720" t="s">
        <v>10287</v>
      </c>
    </row>
    <row r="4721" spans="1:2">
      <c r="A4721" s="1" t="s">
        <v>5166</v>
      </c>
      <c r="B4721" t="s">
        <v>10369</v>
      </c>
    </row>
    <row r="4722" spans="1:2">
      <c r="A4722" s="1" t="s">
        <v>5167</v>
      </c>
      <c r="B4722" t="s">
        <v>901</v>
      </c>
    </row>
    <row r="4723" spans="1:2">
      <c r="A4723" s="1" t="s">
        <v>5168</v>
      </c>
      <c r="B4723" t="s">
        <v>901</v>
      </c>
    </row>
    <row r="4724" spans="1:2">
      <c r="A4724" s="1" t="s">
        <v>5169</v>
      </c>
      <c r="B4724" t="s">
        <v>10416</v>
      </c>
    </row>
    <row r="4725" spans="1:2">
      <c r="A4725" s="1" t="s">
        <v>5170</v>
      </c>
      <c r="B4725" t="s">
        <v>10256</v>
      </c>
    </row>
    <row r="4726" spans="1:2">
      <c r="A4726" s="1" t="s">
        <v>5171</v>
      </c>
      <c r="B4726" t="s">
        <v>10225</v>
      </c>
    </row>
    <row r="4727" spans="1:2">
      <c r="A4727" s="1" t="s">
        <v>5172</v>
      </c>
      <c r="B4727" t="s">
        <v>10283</v>
      </c>
    </row>
    <row r="4728" spans="1:2">
      <c r="A4728" s="1" t="s">
        <v>5173</v>
      </c>
      <c r="B4728" t="s">
        <v>10232</v>
      </c>
    </row>
    <row r="4729" spans="1:2">
      <c r="A4729" s="1" t="s">
        <v>5174</v>
      </c>
      <c r="B4729" t="s">
        <v>10234</v>
      </c>
    </row>
    <row r="4730" spans="1:2">
      <c r="A4730" s="1" t="s">
        <v>5175</v>
      </c>
      <c r="B4730" t="s">
        <v>901</v>
      </c>
    </row>
    <row r="4731" spans="1:2">
      <c r="A4731" s="1" t="s">
        <v>5176</v>
      </c>
      <c r="B4731" t="s">
        <v>10292</v>
      </c>
    </row>
    <row r="4732" spans="1:2">
      <c r="A4732" s="1" t="s">
        <v>5177</v>
      </c>
      <c r="B4732" t="s">
        <v>10231</v>
      </c>
    </row>
    <row r="4733" spans="1:2">
      <c r="A4733" s="1" t="s">
        <v>5178</v>
      </c>
      <c r="B4733" t="s">
        <v>10239</v>
      </c>
    </row>
    <row r="4734" spans="1:2">
      <c r="A4734" s="1" t="s">
        <v>5179</v>
      </c>
      <c r="B4734" t="s">
        <v>10230</v>
      </c>
    </row>
    <row r="4735" spans="1:2">
      <c r="A4735" s="1" t="s">
        <v>5180</v>
      </c>
      <c r="B4735" t="s">
        <v>10266</v>
      </c>
    </row>
    <row r="4736" spans="1:2">
      <c r="A4736" s="1" t="s">
        <v>5181</v>
      </c>
      <c r="B4736" t="s">
        <v>10262</v>
      </c>
    </row>
    <row r="4737" spans="1:2">
      <c r="A4737" s="1" t="s">
        <v>5182</v>
      </c>
      <c r="B4737" t="s">
        <v>10231</v>
      </c>
    </row>
    <row r="4738" spans="1:2">
      <c r="A4738" s="1" t="s">
        <v>5183</v>
      </c>
      <c r="B4738" t="s">
        <v>10256</v>
      </c>
    </row>
    <row r="4739" spans="1:2">
      <c r="A4739" s="1" t="s">
        <v>5184</v>
      </c>
      <c r="B4739" t="s">
        <v>10286</v>
      </c>
    </row>
    <row r="4740" spans="1:2">
      <c r="A4740" s="1" t="s">
        <v>5185</v>
      </c>
      <c r="B4740" t="s">
        <v>10305</v>
      </c>
    </row>
    <row r="4741" spans="1:2">
      <c r="A4741" s="1" t="s">
        <v>5186</v>
      </c>
      <c r="B4741" t="s">
        <v>10256</v>
      </c>
    </row>
    <row r="4742" spans="1:2">
      <c r="A4742" s="1" t="s">
        <v>5187</v>
      </c>
      <c r="B4742" t="s">
        <v>901</v>
      </c>
    </row>
    <row r="4743" spans="1:2">
      <c r="A4743" s="1" t="s">
        <v>5188</v>
      </c>
      <c r="B4743" t="s">
        <v>10312</v>
      </c>
    </row>
    <row r="4744" spans="1:2">
      <c r="A4744" s="1" t="s">
        <v>407</v>
      </c>
      <c r="B4744" t="s">
        <v>10275</v>
      </c>
    </row>
    <row r="4745" spans="1:2">
      <c r="A4745" s="1" t="s">
        <v>5189</v>
      </c>
      <c r="B4745" t="s">
        <v>10240</v>
      </c>
    </row>
    <row r="4746" spans="1:2">
      <c r="A4746" s="1" t="s">
        <v>5190</v>
      </c>
      <c r="B4746" t="s">
        <v>10288</v>
      </c>
    </row>
    <row r="4747" spans="1:2">
      <c r="A4747" s="1" t="s">
        <v>5191</v>
      </c>
      <c r="B4747" t="s">
        <v>10245</v>
      </c>
    </row>
    <row r="4748" spans="1:2">
      <c r="A4748" s="1" t="s">
        <v>5192</v>
      </c>
      <c r="B4748" t="s">
        <v>10234</v>
      </c>
    </row>
    <row r="4749" spans="1:2">
      <c r="A4749" s="1" t="s">
        <v>5193</v>
      </c>
      <c r="B4749" t="s">
        <v>10225</v>
      </c>
    </row>
    <row r="4750" spans="1:2">
      <c r="A4750" s="1" t="s">
        <v>5194</v>
      </c>
      <c r="B4750" t="s">
        <v>901</v>
      </c>
    </row>
    <row r="4751" spans="1:2">
      <c r="A4751" s="1" t="s">
        <v>5195</v>
      </c>
      <c r="B4751" t="s">
        <v>10457</v>
      </c>
    </row>
    <row r="4752" spans="1:2">
      <c r="A4752" s="1" t="s">
        <v>5196</v>
      </c>
      <c r="B4752" t="s">
        <v>10369</v>
      </c>
    </row>
    <row r="4753" spans="1:2">
      <c r="A4753" s="1" t="s">
        <v>5197</v>
      </c>
      <c r="B4753" t="s">
        <v>10280</v>
      </c>
    </row>
    <row r="4754" spans="1:2">
      <c r="A4754" s="1" t="s">
        <v>5198</v>
      </c>
      <c r="B4754" t="s">
        <v>10414</v>
      </c>
    </row>
    <row r="4755" spans="1:2">
      <c r="A4755" s="1" t="s">
        <v>5199</v>
      </c>
      <c r="B4755" t="s">
        <v>10234</v>
      </c>
    </row>
    <row r="4756" spans="1:2">
      <c r="A4756" s="1" t="s">
        <v>5200</v>
      </c>
      <c r="B4756" t="s">
        <v>10334</v>
      </c>
    </row>
    <row r="4757" spans="1:2">
      <c r="A4757" s="1" t="s">
        <v>5201</v>
      </c>
      <c r="B4757" t="s">
        <v>901</v>
      </c>
    </row>
    <row r="4758" spans="1:2">
      <c r="A4758" s="1" t="s">
        <v>5202</v>
      </c>
      <c r="B4758" t="s">
        <v>10230</v>
      </c>
    </row>
    <row r="4759" spans="1:2">
      <c r="A4759" s="1" t="s">
        <v>5203</v>
      </c>
      <c r="B4759" t="s">
        <v>10246</v>
      </c>
    </row>
    <row r="4760" spans="1:2">
      <c r="A4760" s="1" t="s">
        <v>764</v>
      </c>
      <c r="B4760" t="s">
        <v>10375</v>
      </c>
    </row>
    <row r="4761" spans="1:2">
      <c r="A4761" s="1" t="s">
        <v>5204</v>
      </c>
      <c r="B4761" t="s">
        <v>901</v>
      </c>
    </row>
    <row r="4762" spans="1:2">
      <c r="A4762" s="1" t="s">
        <v>5205</v>
      </c>
      <c r="B4762" t="s">
        <v>10225</v>
      </c>
    </row>
    <row r="4763" spans="1:2">
      <c r="A4763" s="1" t="s">
        <v>5206</v>
      </c>
      <c r="B4763" t="s">
        <v>10243</v>
      </c>
    </row>
    <row r="4764" spans="1:2">
      <c r="A4764" s="1" t="s">
        <v>5207</v>
      </c>
      <c r="B4764" t="s">
        <v>10243</v>
      </c>
    </row>
    <row r="4765" spans="1:2">
      <c r="A4765" s="1" t="s">
        <v>5208</v>
      </c>
      <c r="B4765" t="s">
        <v>10230</v>
      </c>
    </row>
    <row r="4766" spans="1:2">
      <c r="A4766" s="1" t="s">
        <v>278</v>
      </c>
      <c r="B4766" t="s">
        <v>10266</v>
      </c>
    </row>
    <row r="4767" spans="1:2">
      <c r="A4767" s="1" t="s">
        <v>5209</v>
      </c>
      <c r="B4767" t="s">
        <v>10403</v>
      </c>
    </row>
    <row r="4768" spans="1:2">
      <c r="A4768" s="1" t="s">
        <v>5210</v>
      </c>
      <c r="B4768" t="s">
        <v>10241</v>
      </c>
    </row>
    <row r="4769" spans="1:2">
      <c r="A4769" s="1" t="s">
        <v>5211</v>
      </c>
      <c r="B4769" t="s">
        <v>10372</v>
      </c>
    </row>
    <row r="4770" spans="1:2">
      <c r="A4770" s="1" t="s">
        <v>5212</v>
      </c>
      <c r="B4770" t="s">
        <v>901</v>
      </c>
    </row>
    <row r="4771" spans="1:2">
      <c r="A4771" s="1" t="s">
        <v>5213</v>
      </c>
      <c r="B4771" t="s">
        <v>10278</v>
      </c>
    </row>
    <row r="4772" spans="1:2">
      <c r="A4772" s="1" t="s">
        <v>5214</v>
      </c>
      <c r="B4772" t="s">
        <v>10234</v>
      </c>
    </row>
    <row r="4773" spans="1:2">
      <c r="A4773" s="1" t="s">
        <v>182</v>
      </c>
      <c r="B4773" t="s">
        <v>10357</v>
      </c>
    </row>
    <row r="4774" spans="1:2">
      <c r="A4774" s="1" t="s">
        <v>5215</v>
      </c>
      <c r="B4774" t="s">
        <v>10399</v>
      </c>
    </row>
    <row r="4775" spans="1:2">
      <c r="A4775" s="1" t="s">
        <v>5216</v>
      </c>
      <c r="B4775" t="s">
        <v>10319</v>
      </c>
    </row>
    <row r="4776" spans="1:2">
      <c r="A4776" s="1" t="s">
        <v>5217</v>
      </c>
      <c r="B4776" t="s">
        <v>10245</v>
      </c>
    </row>
    <row r="4777" spans="1:2">
      <c r="A4777" s="1" t="s">
        <v>5218</v>
      </c>
      <c r="B4777" t="s">
        <v>10244</v>
      </c>
    </row>
    <row r="4778" spans="1:2">
      <c r="A4778" s="1" t="s">
        <v>130</v>
      </c>
      <c r="B4778" t="s">
        <v>10389</v>
      </c>
    </row>
    <row r="4779" spans="1:2">
      <c r="A4779" s="1" t="s">
        <v>5219</v>
      </c>
      <c r="B4779" t="s">
        <v>10277</v>
      </c>
    </row>
    <row r="4780" spans="1:2">
      <c r="A4780" s="1" t="s">
        <v>46</v>
      </c>
      <c r="B4780" t="s">
        <v>10357</v>
      </c>
    </row>
    <row r="4781" spans="1:2">
      <c r="A4781" s="1" t="s">
        <v>433</v>
      </c>
      <c r="B4781" t="s">
        <v>10290</v>
      </c>
    </row>
    <row r="4782" spans="1:2">
      <c r="A4782" s="1" t="s">
        <v>5220</v>
      </c>
      <c r="B4782" t="s">
        <v>10504</v>
      </c>
    </row>
    <row r="4783" spans="1:2">
      <c r="A4783" s="1" t="s">
        <v>5221</v>
      </c>
      <c r="B4783" t="s">
        <v>10452</v>
      </c>
    </row>
    <row r="4784" spans="1:2">
      <c r="A4784" s="1" t="s">
        <v>5222</v>
      </c>
      <c r="B4784" t="s">
        <v>10240</v>
      </c>
    </row>
    <row r="4785" spans="1:2">
      <c r="A4785" s="1" t="s">
        <v>5223</v>
      </c>
      <c r="B4785" t="s">
        <v>901</v>
      </c>
    </row>
    <row r="4786" spans="1:2">
      <c r="A4786" s="1" t="s">
        <v>5224</v>
      </c>
      <c r="B4786" t="s">
        <v>10278</v>
      </c>
    </row>
    <row r="4787" spans="1:2">
      <c r="A4787" s="1" t="s">
        <v>5225</v>
      </c>
      <c r="B4787" t="s">
        <v>10234</v>
      </c>
    </row>
    <row r="4788" spans="1:2">
      <c r="A4788" s="1" t="s">
        <v>5226</v>
      </c>
      <c r="B4788" t="s">
        <v>10238</v>
      </c>
    </row>
    <row r="4789" spans="1:2">
      <c r="A4789" s="1" t="s">
        <v>363</v>
      </c>
      <c r="B4789" t="s">
        <v>10312</v>
      </c>
    </row>
    <row r="4790" spans="1:2">
      <c r="A4790" s="1" t="s">
        <v>5227</v>
      </c>
      <c r="B4790" t="s">
        <v>10241</v>
      </c>
    </row>
    <row r="4791" spans="1:2">
      <c r="A4791" s="1" t="s">
        <v>5228</v>
      </c>
      <c r="B4791" t="s">
        <v>10286</v>
      </c>
    </row>
    <row r="4792" spans="1:2">
      <c r="A4792" s="1" t="s">
        <v>5229</v>
      </c>
      <c r="B4792" t="s">
        <v>901</v>
      </c>
    </row>
    <row r="4793" spans="1:2">
      <c r="A4793" s="1" t="s">
        <v>5230</v>
      </c>
      <c r="B4793" t="s">
        <v>10284</v>
      </c>
    </row>
    <row r="4794" spans="1:2">
      <c r="A4794" s="1" t="s">
        <v>5231</v>
      </c>
      <c r="B4794" t="s">
        <v>10244</v>
      </c>
    </row>
    <row r="4795" spans="1:2">
      <c r="A4795" s="1" t="s">
        <v>5232</v>
      </c>
      <c r="B4795" t="s">
        <v>901</v>
      </c>
    </row>
    <row r="4796" spans="1:2">
      <c r="A4796" s="1" t="s">
        <v>5233</v>
      </c>
      <c r="B4796" t="s">
        <v>10415</v>
      </c>
    </row>
    <row r="4797" spans="1:2">
      <c r="A4797" s="1" t="s">
        <v>5234</v>
      </c>
      <c r="B4797" t="s">
        <v>10266</v>
      </c>
    </row>
    <row r="4798" spans="1:2">
      <c r="A4798" s="1" t="s">
        <v>5235</v>
      </c>
      <c r="B4798" t="s">
        <v>10233</v>
      </c>
    </row>
    <row r="4799" spans="1:2">
      <c r="A4799" s="1" t="s">
        <v>5236</v>
      </c>
      <c r="B4799" t="s">
        <v>10240</v>
      </c>
    </row>
    <row r="4800" spans="1:2">
      <c r="A4800" s="1" t="s">
        <v>5237</v>
      </c>
      <c r="B4800" t="s">
        <v>10394</v>
      </c>
    </row>
    <row r="4801" spans="1:2">
      <c r="A4801" s="1" t="s">
        <v>176</v>
      </c>
      <c r="B4801" t="s">
        <v>10314</v>
      </c>
    </row>
    <row r="4802" spans="1:2">
      <c r="A4802" s="1" t="s">
        <v>5238</v>
      </c>
      <c r="B4802" t="s">
        <v>10223</v>
      </c>
    </row>
    <row r="4803" spans="1:2">
      <c r="A4803" s="1" t="s">
        <v>5239</v>
      </c>
      <c r="B4803" t="s">
        <v>10316</v>
      </c>
    </row>
    <row r="4804" spans="1:2">
      <c r="A4804" s="1" t="s">
        <v>5240</v>
      </c>
      <c r="B4804" t="s">
        <v>10326</v>
      </c>
    </row>
    <row r="4805" spans="1:2">
      <c r="A4805" s="1" t="s">
        <v>321</v>
      </c>
      <c r="B4805" t="s">
        <v>10505</v>
      </c>
    </row>
    <row r="4806" spans="1:2">
      <c r="A4806" s="1" t="s">
        <v>5241</v>
      </c>
      <c r="B4806" t="s">
        <v>10277</v>
      </c>
    </row>
    <row r="4807" spans="1:2">
      <c r="A4807" s="1" t="s">
        <v>5242</v>
      </c>
      <c r="B4807" t="s">
        <v>10234</v>
      </c>
    </row>
    <row r="4808" spans="1:2">
      <c r="A4808" s="1" t="s">
        <v>5243</v>
      </c>
      <c r="B4808" t="s">
        <v>10230</v>
      </c>
    </row>
    <row r="4809" spans="1:2">
      <c r="A4809" s="1" t="s">
        <v>5244</v>
      </c>
      <c r="B4809" t="s">
        <v>10245</v>
      </c>
    </row>
    <row r="4810" spans="1:2">
      <c r="A4810" s="1" t="s">
        <v>5245</v>
      </c>
      <c r="B4810" t="s">
        <v>10319</v>
      </c>
    </row>
    <row r="4811" spans="1:2">
      <c r="A4811" s="1" t="s">
        <v>5246</v>
      </c>
      <c r="B4811" t="s">
        <v>10246</v>
      </c>
    </row>
    <row r="4812" spans="1:2">
      <c r="A4812" s="1" t="s">
        <v>5247</v>
      </c>
      <c r="B4812" t="s">
        <v>10292</v>
      </c>
    </row>
    <row r="4813" spans="1:2">
      <c r="A4813" s="1" t="s">
        <v>5248</v>
      </c>
      <c r="B4813" t="s">
        <v>10240</v>
      </c>
    </row>
    <row r="4814" spans="1:2">
      <c r="A4814" s="1" t="s">
        <v>5249</v>
      </c>
      <c r="B4814" t="s">
        <v>10304</v>
      </c>
    </row>
    <row r="4815" spans="1:2">
      <c r="A4815" s="1" t="s">
        <v>5250</v>
      </c>
      <c r="B4815" t="s">
        <v>10230</v>
      </c>
    </row>
    <row r="4816" spans="1:2">
      <c r="A4816" s="1" t="s">
        <v>461</v>
      </c>
      <c r="B4816" t="s">
        <v>10261</v>
      </c>
    </row>
    <row r="4817" spans="1:2">
      <c r="A4817" s="1" t="s">
        <v>5251</v>
      </c>
      <c r="B4817" t="s">
        <v>10240</v>
      </c>
    </row>
    <row r="4818" spans="1:2">
      <c r="A4818" s="1" t="s">
        <v>476</v>
      </c>
      <c r="B4818" t="s">
        <v>10261</v>
      </c>
    </row>
    <row r="4819" spans="1:2">
      <c r="A4819" s="1" t="s">
        <v>5252</v>
      </c>
      <c r="B4819" t="s">
        <v>901</v>
      </c>
    </row>
    <row r="4820" spans="1:2">
      <c r="A4820" s="1" t="s">
        <v>336</v>
      </c>
      <c r="B4820" t="s">
        <v>10286</v>
      </c>
    </row>
    <row r="4821" spans="1:2">
      <c r="A4821" s="1" t="s">
        <v>5253</v>
      </c>
      <c r="B4821" t="s">
        <v>10234</v>
      </c>
    </row>
    <row r="4822" spans="1:2">
      <c r="A4822" s="1" t="s">
        <v>5254</v>
      </c>
      <c r="B4822" t="s">
        <v>10266</v>
      </c>
    </row>
    <row r="4823" spans="1:2">
      <c r="A4823" s="1" t="s">
        <v>5255</v>
      </c>
      <c r="B4823" t="s">
        <v>10411</v>
      </c>
    </row>
    <row r="4824" spans="1:2">
      <c r="A4824" s="1" t="s">
        <v>5256</v>
      </c>
      <c r="B4824" t="s">
        <v>10232</v>
      </c>
    </row>
    <row r="4825" spans="1:2">
      <c r="A4825" s="1" t="s">
        <v>5257</v>
      </c>
      <c r="B4825" t="s">
        <v>10277</v>
      </c>
    </row>
    <row r="4826" spans="1:2">
      <c r="A4826" s="1" t="s">
        <v>5258</v>
      </c>
      <c r="B4826" t="s">
        <v>10229</v>
      </c>
    </row>
    <row r="4827" spans="1:2">
      <c r="A4827" s="1" t="s">
        <v>5259</v>
      </c>
      <c r="B4827" t="s">
        <v>10225</v>
      </c>
    </row>
    <row r="4828" spans="1:2">
      <c r="A4828" s="1" t="s">
        <v>5260</v>
      </c>
      <c r="B4828" t="s">
        <v>10245</v>
      </c>
    </row>
    <row r="4829" spans="1:2">
      <c r="A4829" s="1" t="s">
        <v>5261</v>
      </c>
      <c r="B4829" t="s">
        <v>10424</v>
      </c>
    </row>
    <row r="4830" spans="1:2">
      <c r="A4830" s="1" t="s">
        <v>5262</v>
      </c>
      <c r="B4830" t="s">
        <v>10375</v>
      </c>
    </row>
    <row r="4831" spans="1:2">
      <c r="A4831" s="1" t="s">
        <v>5263</v>
      </c>
      <c r="B4831" t="s">
        <v>10403</v>
      </c>
    </row>
    <row r="4832" spans="1:2">
      <c r="A4832" s="1" t="s">
        <v>5264</v>
      </c>
      <c r="B4832" t="s">
        <v>901</v>
      </c>
    </row>
    <row r="4833" spans="1:2">
      <c r="A4833" s="1" t="s">
        <v>41</v>
      </c>
      <c r="B4833" t="s">
        <v>10267</v>
      </c>
    </row>
    <row r="4834" spans="1:2">
      <c r="A4834" s="1" t="s">
        <v>492</v>
      </c>
      <c r="B4834" t="s">
        <v>10229</v>
      </c>
    </row>
    <row r="4835" spans="1:2">
      <c r="A4835" s="1" t="s">
        <v>5265</v>
      </c>
      <c r="B4835" t="s">
        <v>10291</v>
      </c>
    </row>
    <row r="4836" spans="1:2">
      <c r="A4836" s="1" t="s">
        <v>5266</v>
      </c>
      <c r="B4836" t="s">
        <v>10276</v>
      </c>
    </row>
    <row r="4837" spans="1:2">
      <c r="A4837" s="1" t="s">
        <v>5267</v>
      </c>
      <c r="B4837" t="s">
        <v>10240</v>
      </c>
    </row>
    <row r="4838" spans="1:2">
      <c r="A4838" s="1" t="s">
        <v>5268</v>
      </c>
      <c r="B4838" t="s">
        <v>10272</v>
      </c>
    </row>
    <row r="4839" spans="1:2">
      <c r="A4839" s="1" t="s">
        <v>164</v>
      </c>
      <c r="B4839" t="s">
        <v>10287</v>
      </c>
    </row>
    <row r="4840" spans="1:2">
      <c r="A4840" s="1" t="s">
        <v>53</v>
      </c>
      <c r="B4840" t="s">
        <v>10311</v>
      </c>
    </row>
    <row r="4841" spans="1:2">
      <c r="A4841" s="1" t="s">
        <v>561</v>
      </c>
      <c r="B4841" t="s">
        <v>10305</v>
      </c>
    </row>
    <row r="4842" spans="1:2">
      <c r="A4842" s="1" t="s">
        <v>5269</v>
      </c>
      <c r="B4842" t="s">
        <v>10240</v>
      </c>
    </row>
    <row r="4843" spans="1:2">
      <c r="A4843" s="1" t="s">
        <v>5270</v>
      </c>
      <c r="B4843" t="s">
        <v>901</v>
      </c>
    </row>
    <row r="4844" spans="1:2">
      <c r="A4844" s="1" t="s">
        <v>5271</v>
      </c>
      <c r="B4844" t="s">
        <v>10345</v>
      </c>
    </row>
    <row r="4845" spans="1:2">
      <c r="A4845" s="1" t="s">
        <v>5272</v>
      </c>
      <c r="B4845" t="s">
        <v>10343</v>
      </c>
    </row>
    <row r="4846" spans="1:2">
      <c r="A4846" s="1" t="s">
        <v>5273</v>
      </c>
      <c r="B4846" t="s">
        <v>10281</v>
      </c>
    </row>
    <row r="4847" spans="1:2">
      <c r="A4847" s="1" t="s">
        <v>5274</v>
      </c>
      <c r="B4847" t="s">
        <v>10504</v>
      </c>
    </row>
    <row r="4848" spans="1:2">
      <c r="A4848" s="1" t="s">
        <v>5275</v>
      </c>
      <c r="B4848" t="s">
        <v>10267</v>
      </c>
    </row>
    <row r="4849" spans="1:2">
      <c r="A4849" s="1" t="s">
        <v>424</v>
      </c>
      <c r="B4849" t="s">
        <v>10286</v>
      </c>
    </row>
    <row r="4850" spans="1:2">
      <c r="A4850" s="1" t="s">
        <v>5276</v>
      </c>
      <c r="B4850" t="s">
        <v>10338</v>
      </c>
    </row>
    <row r="4851" spans="1:2">
      <c r="A4851" s="1" t="s">
        <v>5277</v>
      </c>
      <c r="B4851" t="s">
        <v>10374</v>
      </c>
    </row>
    <row r="4852" spans="1:2">
      <c r="A4852" s="1" t="s">
        <v>5278</v>
      </c>
      <c r="B4852" t="s">
        <v>10223</v>
      </c>
    </row>
    <row r="4853" spans="1:2">
      <c r="A4853" s="1" t="s">
        <v>5279</v>
      </c>
      <c r="B4853" t="s">
        <v>10407</v>
      </c>
    </row>
    <row r="4854" spans="1:2">
      <c r="A4854" s="1" t="s">
        <v>5280</v>
      </c>
      <c r="B4854" t="s">
        <v>10230</v>
      </c>
    </row>
    <row r="4855" spans="1:2">
      <c r="A4855" s="1" t="s">
        <v>5281</v>
      </c>
      <c r="B4855" t="s">
        <v>10225</v>
      </c>
    </row>
    <row r="4856" spans="1:2">
      <c r="A4856" s="1" t="s">
        <v>5282</v>
      </c>
      <c r="B4856" t="s">
        <v>10343</v>
      </c>
    </row>
    <row r="4857" spans="1:2">
      <c r="A4857" s="1" t="s">
        <v>5283</v>
      </c>
      <c r="B4857" t="s">
        <v>10224</v>
      </c>
    </row>
    <row r="4858" spans="1:2">
      <c r="A4858" s="1" t="s">
        <v>5284</v>
      </c>
      <c r="B4858" t="s">
        <v>10345</v>
      </c>
    </row>
    <row r="4859" spans="1:2">
      <c r="A4859" s="1" t="s">
        <v>5285</v>
      </c>
      <c r="B4859" t="s">
        <v>10240</v>
      </c>
    </row>
    <row r="4860" spans="1:2">
      <c r="A4860" s="1" t="s">
        <v>5286</v>
      </c>
      <c r="B4860" t="s">
        <v>10223</v>
      </c>
    </row>
    <row r="4861" spans="1:2">
      <c r="A4861" s="1" t="s">
        <v>5287</v>
      </c>
      <c r="B4861" t="s">
        <v>10272</v>
      </c>
    </row>
    <row r="4862" spans="1:2">
      <c r="A4862" s="1" t="s">
        <v>5288</v>
      </c>
      <c r="B4862" t="s">
        <v>10240</v>
      </c>
    </row>
    <row r="4863" spans="1:2">
      <c r="A4863" s="1" t="s">
        <v>5289</v>
      </c>
      <c r="B4863" t="s">
        <v>10230</v>
      </c>
    </row>
    <row r="4864" spans="1:2">
      <c r="A4864" s="1" t="s">
        <v>5290</v>
      </c>
      <c r="B4864" t="s">
        <v>10283</v>
      </c>
    </row>
    <row r="4865" spans="1:2">
      <c r="A4865" s="1" t="s">
        <v>5291</v>
      </c>
      <c r="B4865" t="s">
        <v>10234</v>
      </c>
    </row>
    <row r="4866" spans="1:2">
      <c r="A4866" s="1" t="s">
        <v>5292</v>
      </c>
      <c r="B4866" t="s">
        <v>10278</v>
      </c>
    </row>
    <row r="4867" spans="1:2">
      <c r="A4867" s="1" t="s">
        <v>5293</v>
      </c>
      <c r="B4867" t="s">
        <v>10286</v>
      </c>
    </row>
    <row r="4868" spans="1:2">
      <c r="A4868" s="1" t="s">
        <v>471</v>
      </c>
      <c r="B4868" t="s">
        <v>10283</v>
      </c>
    </row>
    <row r="4869" spans="1:2">
      <c r="A4869" s="1" t="s">
        <v>5294</v>
      </c>
      <c r="B4869" t="s">
        <v>10345</v>
      </c>
    </row>
    <row r="4870" spans="1:2">
      <c r="A4870" s="1" t="s">
        <v>524</v>
      </c>
      <c r="B4870" t="s">
        <v>10222</v>
      </c>
    </row>
    <row r="4871" spans="1:2">
      <c r="A4871" s="1" t="s">
        <v>279</v>
      </c>
      <c r="B4871" t="s">
        <v>10398</v>
      </c>
    </row>
    <row r="4872" spans="1:2">
      <c r="A4872" s="1" t="s">
        <v>5295</v>
      </c>
      <c r="B4872" t="s">
        <v>10239</v>
      </c>
    </row>
    <row r="4873" spans="1:2">
      <c r="A4873" s="1" t="s">
        <v>5296</v>
      </c>
      <c r="B4873" t="s">
        <v>901</v>
      </c>
    </row>
    <row r="4874" spans="1:2">
      <c r="A4874" s="1" t="s">
        <v>5297</v>
      </c>
      <c r="B4874" t="s">
        <v>10238</v>
      </c>
    </row>
    <row r="4875" spans="1:2">
      <c r="A4875" s="1" t="s">
        <v>5298</v>
      </c>
      <c r="B4875" t="s">
        <v>10234</v>
      </c>
    </row>
    <row r="4876" spans="1:2">
      <c r="A4876" s="1" t="s">
        <v>5299</v>
      </c>
      <c r="B4876" t="s">
        <v>10334</v>
      </c>
    </row>
    <row r="4877" spans="1:2">
      <c r="A4877" s="1" t="s">
        <v>5300</v>
      </c>
      <c r="B4877" t="s">
        <v>10272</v>
      </c>
    </row>
    <row r="4878" spans="1:2">
      <c r="A4878" s="1" t="s">
        <v>5301</v>
      </c>
      <c r="B4878" t="s">
        <v>10277</v>
      </c>
    </row>
    <row r="4879" spans="1:2">
      <c r="A4879" s="1" t="s">
        <v>5302</v>
      </c>
      <c r="B4879" t="s">
        <v>901</v>
      </c>
    </row>
    <row r="4880" spans="1:2">
      <c r="A4880" s="1" t="s">
        <v>5303</v>
      </c>
      <c r="B4880" t="s">
        <v>10252</v>
      </c>
    </row>
    <row r="4881" spans="1:2">
      <c r="A4881" s="1" t="s">
        <v>5304</v>
      </c>
      <c r="B4881" t="s">
        <v>10399</v>
      </c>
    </row>
    <row r="4882" spans="1:2">
      <c r="A4882" s="1" t="s">
        <v>5305</v>
      </c>
      <c r="B4882" t="s">
        <v>10405</v>
      </c>
    </row>
    <row r="4883" spans="1:2">
      <c r="A4883" s="1" t="s">
        <v>5306</v>
      </c>
      <c r="B4883" t="s">
        <v>10472</v>
      </c>
    </row>
    <row r="4884" spans="1:2">
      <c r="A4884" s="1" t="s">
        <v>5307</v>
      </c>
      <c r="B4884" t="s">
        <v>10319</v>
      </c>
    </row>
    <row r="4885" spans="1:2">
      <c r="A4885" s="1" t="s">
        <v>5308</v>
      </c>
      <c r="B4885" t="s">
        <v>10248</v>
      </c>
    </row>
    <row r="4886" spans="1:2">
      <c r="A4886" s="1" t="s">
        <v>5309</v>
      </c>
      <c r="B4886" t="s">
        <v>901</v>
      </c>
    </row>
    <row r="4887" spans="1:2">
      <c r="A4887" s="1" t="s">
        <v>5310</v>
      </c>
      <c r="B4887" t="s">
        <v>10224</v>
      </c>
    </row>
    <row r="4888" spans="1:2">
      <c r="A4888" s="1" t="s">
        <v>5311</v>
      </c>
      <c r="B4888" t="s">
        <v>10232</v>
      </c>
    </row>
    <row r="4889" spans="1:2">
      <c r="A4889" s="1" t="s">
        <v>5312</v>
      </c>
      <c r="B4889" t="s">
        <v>10261</v>
      </c>
    </row>
    <row r="4890" spans="1:2">
      <c r="A4890" s="1" t="s">
        <v>5313</v>
      </c>
      <c r="B4890" t="s">
        <v>10277</v>
      </c>
    </row>
    <row r="4891" spans="1:2">
      <c r="A4891" s="1" t="s">
        <v>5314</v>
      </c>
      <c r="B4891" t="s">
        <v>10276</v>
      </c>
    </row>
    <row r="4892" spans="1:2">
      <c r="A4892" s="1" t="s">
        <v>5315</v>
      </c>
      <c r="B4892" t="s">
        <v>10283</v>
      </c>
    </row>
    <row r="4893" spans="1:2">
      <c r="A4893" s="1" t="s">
        <v>5316</v>
      </c>
      <c r="B4893" t="s">
        <v>10241</v>
      </c>
    </row>
    <row r="4894" spans="1:2">
      <c r="A4894" s="1" t="s">
        <v>5317</v>
      </c>
      <c r="B4894" t="s">
        <v>10242</v>
      </c>
    </row>
    <row r="4895" spans="1:2">
      <c r="A4895" s="1" t="s">
        <v>5318</v>
      </c>
      <c r="B4895" t="s">
        <v>10272</v>
      </c>
    </row>
    <row r="4896" spans="1:2">
      <c r="A4896" s="1" t="s">
        <v>5319</v>
      </c>
      <c r="B4896" t="s">
        <v>10224</v>
      </c>
    </row>
    <row r="4897" spans="1:2">
      <c r="A4897" s="1" t="s">
        <v>5320</v>
      </c>
      <c r="B4897" t="s">
        <v>10287</v>
      </c>
    </row>
    <row r="4898" spans="1:2">
      <c r="A4898" s="1" t="s">
        <v>599</v>
      </c>
      <c r="B4898" t="s">
        <v>10265</v>
      </c>
    </row>
    <row r="4899" spans="1:2">
      <c r="A4899" s="1" t="s">
        <v>5321</v>
      </c>
      <c r="B4899" t="s">
        <v>10455</v>
      </c>
    </row>
    <row r="4900" spans="1:2">
      <c r="A4900" s="1" t="s">
        <v>272</v>
      </c>
      <c r="B4900" t="s">
        <v>10234</v>
      </c>
    </row>
    <row r="4901" spans="1:2">
      <c r="A4901" s="1" t="s">
        <v>5322</v>
      </c>
      <c r="B4901" t="s">
        <v>10401</v>
      </c>
    </row>
    <row r="4902" spans="1:2">
      <c r="A4902" s="1" t="s">
        <v>5323</v>
      </c>
      <c r="B4902" t="s">
        <v>10414</v>
      </c>
    </row>
    <row r="4903" spans="1:2">
      <c r="A4903" s="1" t="s">
        <v>5324</v>
      </c>
      <c r="B4903" t="s">
        <v>901</v>
      </c>
    </row>
    <row r="4904" spans="1:2">
      <c r="A4904" s="1" t="s">
        <v>5325</v>
      </c>
      <c r="B4904" t="s">
        <v>901</v>
      </c>
    </row>
    <row r="4905" spans="1:2">
      <c r="A4905" s="1" t="s">
        <v>620</v>
      </c>
      <c r="B4905" t="s">
        <v>10419</v>
      </c>
    </row>
    <row r="4906" spans="1:2">
      <c r="A4906" s="1" t="s">
        <v>5326</v>
      </c>
      <c r="B4906" t="s">
        <v>10234</v>
      </c>
    </row>
    <row r="4907" spans="1:2">
      <c r="A4907" s="1" t="s">
        <v>5327</v>
      </c>
      <c r="B4907" t="s">
        <v>10403</v>
      </c>
    </row>
    <row r="4908" spans="1:2">
      <c r="A4908" s="1" t="s">
        <v>5328</v>
      </c>
      <c r="B4908" t="s">
        <v>10256</v>
      </c>
    </row>
    <row r="4909" spans="1:2">
      <c r="A4909" s="1" t="s">
        <v>5329</v>
      </c>
      <c r="B4909" t="s">
        <v>10239</v>
      </c>
    </row>
    <row r="4910" spans="1:2">
      <c r="A4910" s="1" t="s">
        <v>5330</v>
      </c>
      <c r="B4910" t="s">
        <v>10234</v>
      </c>
    </row>
    <row r="4911" spans="1:2">
      <c r="A4911" s="1" t="s">
        <v>5331</v>
      </c>
      <c r="B4911" t="s">
        <v>10272</v>
      </c>
    </row>
    <row r="4912" spans="1:2">
      <c r="A4912" s="1" t="s">
        <v>256</v>
      </c>
      <c r="B4912" t="s">
        <v>10240</v>
      </c>
    </row>
    <row r="4913" spans="1:2">
      <c r="A4913" s="1" t="s">
        <v>5332</v>
      </c>
      <c r="B4913" t="s">
        <v>10343</v>
      </c>
    </row>
    <row r="4914" spans="1:2">
      <c r="A4914" s="1" t="s">
        <v>5333</v>
      </c>
      <c r="B4914" t="s">
        <v>10224</v>
      </c>
    </row>
    <row r="4915" spans="1:2">
      <c r="A4915" s="1" t="s">
        <v>5334</v>
      </c>
      <c r="B4915" t="s">
        <v>10292</v>
      </c>
    </row>
    <row r="4916" spans="1:2">
      <c r="A4916" s="1" t="s">
        <v>353</v>
      </c>
      <c r="B4916" t="s">
        <v>10286</v>
      </c>
    </row>
    <row r="4917" spans="1:2">
      <c r="A4917" s="1" t="s">
        <v>5335</v>
      </c>
      <c r="B4917" t="s">
        <v>10292</v>
      </c>
    </row>
    <row r="4918" spans="1:2">
      <c r="A4918" s="1" t="s">
        <v>5336</v>
      </c>
      <c r="B4918" t="s">
        <v>10230</v>
      </c>
    </row>
    <row r="4919" spans="1:2">
      <c r="A4919" s="1" t="s">
        <v>5337</v>
      </c>
      <c r="B4919" t="s">
        <v>10284</v>
      </c>
    </row>
    <row r="4920" spans="1:2">
      <c r="A4920" s="1" t="s">
        <v>5338</v>
      </c>
      <c r="B4920" t="s">
        <v>10240</v>
      </c>
    </row>
    <row r="4921" spans="1:2">
      <c r="A4921" s="1" t="s">
        <v>5339</v>
      </c>
      <c r="B4921" t="s">
        <v>10225</v>
      </c>
    </row>
    <row r="4922" spans="1:2">
      <c r="A4922" s="1" t="s">
        <v>5340</v>
      </c>
      <c r="B4922" t="s">
        <v>10319</v>
      </c>
    </row>
    <row r="4923" spans="1:2">
      <c r="A4923" s="1" t="s">
        <v>5341</v>
      </c>
      <c r="B4923" t="s">
        <v>10294</v>
      </c>
    </row>
    <row r="4924" spans="1:2">
      <c r="A4924" s="1" t="s">
        <v>5342</v>
      </c>
      <c r="B4924" t="s">
        <v>10245</v>
      </c>
    </row>
    <row r="4925" spans="1:2">
      <c r="A4925" s="1" t="s">
        <v>5343</v>
      </c>
      <c r="B4925" t="s">
        <v>10230</v>
      </c>
    </row>
    <row r="4926" spans="1:2">
      <c r="A4926" s="1" t="s">
        <v>5344</v>
      </c>
      <c r="B4926" t="s">
        <v>10387</v>
      </c>
    </row>
    <row r="4927" spans="1:2">
      <c r="A4927" s="1" t="s">
        <v>5345</v>
      </c>
      <c r="B4927" t="s">
        <v>10320</v>
      </c>
    </row>
    <row r="4928" spans="1:2">
      <c r="A4928" s="1" t="s">
        <v>5346</v>
      </c>
      <c r="B4928" t="s">
        <v>10278</v>
      </c>
    </row>
    <row r="4929" spans="1:2">
      <c r="A4929" s="1" t="s">
        <v>5347</v>
      </c>
      <c r="B4929" t="s">
        <v>10284</v>
      </c>
    </row>
    <row r="4930" spans="1:2">
      <c r="A4930" s="1" t="s">
        <v>5348</v>
      </c>
      <c r="B4930" t="s">
        <v>10223</v>
      </c>
    </row>
    <row r="4931" spans="1:2">
      <c r="A4931" s="1" t="s">
        <v>5349</v>
      </c>
      <c r="B4931" t="s">
        <v>10319</v>
      </c>
    </row>
    <row r="4932" spans="1:2">
      <c r="A4932" s="1" t="s">
        <v>5350</v>
      </c>
      <c r="B4932" t="s">
        <v>10360</v>
      </c>
    </row>
    <row r="4933" spans="1:2">
      <c r="A4933" s="1" t="s">
        <v>5351</v>
      </c>
      <c r="B4933" t="s">
        <v>10283</v>
      </c>
    </row>
    <row r="4934" spans="1:2">
      <c r="A4934" s="1" t="s">
        <v>5352</v>
      </c>
      <c r="B4934" t="s">
        <v>10242</v>
      </c>
    </row>
    <row r="4935" spans="1:2">
      <c r="A4935" s="1" t="s">
        <v>5353</v>
      </c>
      <c r="B4935" t="s">
        <v>10343</v>
      </c>
    </row>
    <row r="4936" spans="1:2">
      <c r="A4936" s="1" t="s">
        <v>5354</v>
      </c>
      <c r="B4936" t="s">
        <v>10224</v>
      </c>
    </row>
    <row r="4937" spans="1:2">
      <c r="A4937" s="1" t="s">
        <v>652</v>
      </c>
      <c r="B4937" t="s">
        <v>10468</v>
      </c>
    </row>
    <row r="4938" spans="1:2">
      <c r="A4938" s="1" t="s">
        <v>527</v>
      </c>
      <c r="B4938" t="s">
        <v>10262</v>
      </c>
    </row>
    <row r="4939" spans="1:2">
      <c r="A4939" s="1" t="s">
        <v>5355</v>
      </c>
      <c r="B4939" t="s">
        <v>10319</v>
      </c>
    </row>
    <row r="4940" spans="1:2">
      <c r="A4940" s="1" t="s">
        <v>292</v>
      </c>
      <c r="B4940" t="s">
        <v>10387</v>
      </c>
    </row>
    <row r="4941" spans="1:2">
      <c r="A4941" s="1" t="s">
        <v>244</v>
      </c>
      <c r="B4941" t="s">
        <v>10357</v>
      </c>
    </row>
    <row r="4942" spans="1:2">
      <c r="A4942" s="1" t="s">
        <v>5356</v>
      </c>
      <c r="B4942" t="s">
        <v>10286</v>
      </c>
    </row>
    <row r="4943" spans="1:2">
      <c r="A4943" s="1" t="s">
        <v>5357</v>
      </c>
      <c r="B4943" t="s">
        <v>10224</v>
      </c>
    </row>
    <row r="4944" spans="1:2">
      <c r="A4944" s="1" t="s">
        <v>5358</v>
      </c>
      <c r="B4944" t="s">
        <v>10385</v>
      </c>
    </row>
    <row r="4945" spans="1:2">
      <c r="A4945" s="1" t="s">
        <v>474</v>
      </c>
      <c r="B4945" t="s">
        <v>10277</v>
      </c>
    </row>
    <row r="4946" spans="1:2">
      <c r="A4946" s="1" t="s">
        <v>5359</v>
      </c>
      <c r="B4946" t="s">
        <v>10272</v>
      </c>
    </row>
    <row r="4947" spans="1:2">
      <c r="A4947" s="1" t="s">
        <v>5360</v>
      </c>
      <c r="B4947" t="s">
        <v>10395</v>
      </c>
    </row>
    <row r="4948" spans="1:2">
      <c r="A4948" s="1" t="s">
        <v>5361</v>
      </c>
      <c r="B4948" t="s">
        <v>10240</v>
      </c>
    </row>
    <row r="4949" spans="1:2">
      <c r="A4949" s="1" t="s">
        <v>5362</v>
      </c>
      <c r="B4949" t="s">
        <v>10319</v>
      </c>
    </row>
    <row r="4950" spans="1:2">
      <c r="A4950" s="1" t="s">
        <v>5363</v>
      </c>
      <c r="B4950" t="s">
        <v>10239</v>
      </c>
    </row>
    <row r="4951" spans="1:2">
      <c r="A4951" s="1" t="s">
        <v>5364</v>
      </c>
      <c r="B4951" t="s">
        <v>10455</v>
      </c>
    </row>
    <row r="4952" spans="1:2">
      <c r="A4952" s="1" t="s">
        <v>316</v>
      </c>
      <c r="B4952" t="s">
        <v>10287</v>
      </c>
    </row>
    <row r="4953" spans="1:2">
      <c r="A4953" s="1" t="s">
        <v>5365</v>
      </c>
      <c r="B4953" t="s">
        <v>10244</v>
      </c>
    </row>
    <row r="4954" spans="1:2">
      <c r="A4954" s="1" t="s">
        <v>5366</v>
      </c>
      <c r="B4954" t="s">
        <v>10230</v>
      </c>
    </row>
    <row r="4955" spans="1:2">
      <c r="A4955" s="1" t="s">
        <v>352</v>
      </c>
      <c r="B4955" t="s">
        <v>10277</v>
      </c>
    </row>
    <row r="4956" spans="1:2">
      <c r="A4956" s="1" t="s">
        <v>5367</v>
      </c>
      <c r="B4956" t="s">
        <v>10290</v>
      </c>
    </row>
    <row r="4957" spans="1:2">
      <c r="A4957" s="1" t="s">
        <v>5368</v>
      </c>
      <c r="B4957" t="s">
        <v>10398</v>
      </c>
    </row>
    <row r="4958" spans="1:2">
      <c r="A4958" s="1" t="s">
        <v>5369</v>
      </c>
      <c r="B4958" t="s">
        <v>10272</v>
      </c>
    </row>
    <row r="4959" spans="1:2">
      <c r="A4959" s="1" t="s">
        <v>5370</v>
      </c>
      <c r="B4959" t="s">
        <v>10404</v>
      </c>
    </row>
    <row r="4960" spans="1:2">
      <c r="A4960" s="1" t="s">
        <v>5371</v>
      </c>
      <c r="B4960" t="s">
        <v>10240</v>
      </c>
    </row>
    <row r="4961" spans="1:2">
      <c r="A4961" s="1" t="s">
        <v>186</v>
      </c>
      <c r="B4961" t="s">
        <v>10261</v>
      </c>
    </row>
    <row r="4962" spans="1:2">
      <c r="A4962" s="1" t="s">
        <v>537</v>
      </c>
      <c r="B4962" t="s">
        <v>10258</v>
      </c>
    </row>
    <row r="4963" spans="1:2">
      <c r="A4963" s="1" t="s">
        <v>5372</v>
      </c>
      <c r="B4963" t="s">
        <v>10230</v>
      </c>
    </row>
    <row r="4964" spans="1:2">
      <c r="A4964" s="1" t="s">
        <v>5373</v>
      </c>
      <c r="B4964" t="s">
        <v>10262</v>
      </c>
    </row>
    <row r="4965" spans="1:2">
      <c r="A4965" s="1" t="s">
        <v>5374</v>
      </c>
      <c r="B4965" t="s">
        <v>10231</v>
      </c>
    </row>
    <row r="4966" spans="1:2">
      <c r="A4966" s="1" t="s">
        <v>5375</v>
      </c>
      <c r="B4966" t="s">
        <v>10240</v>
      </c>
    </row>
    <row r="4967" spans="1:2">
      <c r="A4967" s="1" t="s">
        <v>5376</v>
      </c>
      <c r="B4967" t="s">
        <v>10413</v>
      </c>
    </row>
    <row r="4968" spans="1:2">
      <c r="A4968" s="1" t="s">
        <v>5377</v>
      </c>
      <c r="B4968" t="s">
        <v>10244</v>
      </c>
    </row>
    <row r="4969" spans="1:2">
      <c r="A4969" s="1" t="s">
        <v>5378</v>
      </c>
      <c r="B4969" t="s">
        <v>10234</v>
      </c>
    </row>
    <row r="4970" spans="1:2">
      <c r="A4970" s="1" t="s">
        <v>5379</v>
      </c>
      <c r="B4970" t="s">
        <v>10252</v>
      </c>
    </row>
    <row r="4971" spans="1:2">
      <c r="A4971" s="1" t="s">
        <v>122</v>
      </c>
      <c r="B4971" t="s">
        <v>10288</v>
      </c>
    </row>
    <row r="4972" spans="1:2">
      <c r="A4972" s="1" t="s">
        <v>5380</v>
      </c>
      <c r="B4972" t="s">
        <v>10240</v>
      </c>
    </row>
    <row r="4973" spans="1:2">
      <c r="A4973" s="1" t="s">
        <v>5381</v>
      </c>
      <c r="B4973" t="s">
        <v>10234</v>
      </c>
    </row>
    <row r="4974" spans="1:2">
      <c r="A4974" s="1" t="s">
        <v>5382</v>
      </c>
      <c r="B4974" t="s">
        <v>10266</v>
      </c>
    </row>
    <row r="4975" spans="1:2">
      <c r="A4975" s="1" t="s">
        <v>5383</v>
      </c>
      <c r="B4975" t="s">
        <v>10240</v>
      </c>
    </row>
    <row r="4976" spans="1:2">
      <c r="A4976" s="1" t="s">
        <v>5384</v>
      </c>
      <c r="B4976" t="s">
        <v>901</v>
      </c>
    </row>
    <row r="4977" spans="1:2">
      <c r="A4977" s="1" t="s">
        <v>538</v>
      </c>
      <c r="B4977" t="s">
        <v>10261</v>
      </c>
    </row>
    <row r="4978" spans="1:2">
      <c r="A4978" s="1" t="s">
        <v>5385</v>
      </c>
      <c r="B4978" t="s">
        <v>10299</v>
      </c>
    </row>
    <row r="4979" spans="1:2">
      <c r="A4979" s="1" t="s">
        <v>5386</v>
      </c>
      <c r="B4979" t="s">
        <v>10225</v>
      </c>
    </row>
    <row r="4980" spans="1:2">
      <c r="A4980" s="1" t="s">
        <v>5387</v>
      </c>
      <c r="B4980" t="s">
        <v>10343</v>
      </c>
    </row>
    <row r="4981" spans="1:2">
      <c r="A4981" s="1" t="s">
        <v>5388</v>
      </c>
      <c r="B4981" t="s">
        <v>10262</v>
      </c>
    </row>
    <row r="4982" spans="1:2">
      <c r="A4982" s="1" t="s">
        <v>5389</v>
      </c>
      <c r="B4982" t="s">
        <v>10261</v>
      </c>
    </row>
    <row r="4983" spans="1:2">
      <c r="A4983" s="1" t="s">
        <v>104</v>
      </c>
      <c r="B4983" t="s">
        <v>10252</v>
      </c>
    </row>
    <row r="4984" spans="1:2">
      <c r="A4984" s="1" t="s">
        <v>5390</v>
      </c>
      <c r="B4984" t="s">
        <v>10224</v>
      </c>
    </row>
    <row r="4985" spans="1:2">
      <c r="A4985" s="1" t="s">
        <v>5391</v>
      </c>
      <c r="B4985" t="s">
        <v>10319</v>
      </c>
    </row>
    <row r="4986" spans="1:2">
      <c r="A4986" s="1" t="s">
        <v>5392</v>
      </c>
      <c r="B4986" t="s">
        <v>901</v>
      </c>
    </row>
    <row r="4987" spans="1:2">
      <c r="A4987" s="1" t="s">
        <v>5393</v>
      </c>
      <c r="B4987" t="s">
        <v>10224</v>
      </c>
    </row>
    <row r="4988" spans="1:2">
      <c r="A4988" s="1" t="s">
        <v>5394</v>
      </c>
      <c r="B4988" t="s">
        <v>10228</v>
      </c>
    </row>
    <row r="4989" spans="1:2">
      <c r="A4989" s="1" t="s">
        <v>249</v>
      </c>
      <c r="B4989" t="s">
        <v>10224</v>
      </c>
    </row>
    <row r="4990" spans="1:2">
      <c r="A4990" s="1" t="s">
        <v>156</v>
      </c>
      <c r="B4990" t="s">
        <v>10288</v>
      </c>
    </row>
    <row r="4991" spans="1:2">
      <c r="A4991" s="1" t="s">
        <v>5395</v>
      </c>
      <c r="B4991" t="s">
        <v>10225</v>
      </c>
    </row>
    <row r="4992" spans="1:2">
      <c r="A4992" s="1" t="s">
        <v>5396</v>
      </c>
      <c r="B4992" t="s">
        <v>10272</v>
      </c>
    </row>
    <row r="4993" spans="1:2">
      <c r="A4993" s="1" t="s">
        <v>5397</v>
      </c>
      <c r="B4993" t="s">
        <v>10228</v>
      </c>
    </row>
    <row r="4994" spans="1:2">
      <c r="A4994" s="1" t="s">
        <v>5398</v>
      </c>
      <c r="B4994" t="s">
        <v>10372</v>
      </c>
    </row>
    <row r="4995" spans="1:2">
      <c r="A4995" s="1" t="s">
        <v>5399</v>
      </c>
      <c r="B4995" t="s">
        <v>10403</v>
      </c>
    </row>
    <row r="4996" spans="1:2">
      <c r="A4996" s="1" t="s">
        <v>5400</v>
      </c>
      <c r="B4996" t="s">
        <v>10240</v>
      </c>
    </row>
    <row r="4997" spans="1:2">
      <c r="A4997" s="1" t="s">
        <v>5401</v>
      </c>
      <c r="B4997" t="s">
        <v>10441</v>
      </c>
    </row>
    <row r="4998" spans="1:2">
      <c r="A4998" s="1" t="s">
        <v>5402</v>
      </c>
      <c r="B4998" t="s">
        <v>10404</v>
      </c>
    </row>
    <row r="4999" spans="1:2">
      <c r="A4999" s="1" t="s">
        <v>700</v>
      </c>
      <c r="B4999" t="s">
        <v>10362</v>
      </c>
    </row>
    <row r="5000" spans="1:2">
      <c r="A5000" s="1" t="s">
        <v>5403</v>
      </c>
      <c r="B5000" t="s">
        <v>10506</v>
      </c>
    </row>
    <row r="5001" spans="1:2">
      <c r="A5001" s="1" t="s">
        <v>5404</v>
      </c>
      <c r="B5001" t="s">
        <v>10373</v>
      </c>
    </row>
    <row r="5002" spans="1:2">
      <c r="A5002" s="1" t="s">
        <v>5405</v>
      </c>
      <c r="B5002" t="s">
        <v>10292</v>
      </c>
    </row>
    <row r="5003" spans="1:2">
      <c r="A5003" s="1" t="s">
        <v>5406</v>
      </c>
      <c r="B5003" t="s">
        <v>10399</v>
      </c>
    </row>
    <row r="5004" spans="1:2">
      <c r="A5004" s="1" t="s">
        <v>5407</v>
      </c>
      <c r="B5004" t="s">
        <v>10292</v>
      </c>
    </row>
    <row r="5005" spans="1:2">
      <c r="A5005" s="1" t="s">
        <v>5408</v>
      </c>
      <c r="B5005" t="s">
        <v>10405</v>
      </c>
    </row>
    <row r="5006" spans="1:2">
      <c r="A5006" s="1" t="s">
        <v>259</v>
      </c>
      <c r="B5006" t="s">
        <v>10266</v>
      </c>
    </row>
    <row r="5007" spans="1:2">
      <c r="A5007" s="1" t="s">
        <v>5409</v>
      </c>
      <c r="B5007" t="s">
        <v>10369</v>
      </c>
    </row>
    <row r="5008" spans="1:2">
      <c r="A5008" s="1" t="s">
        <v>5410</v>
      </c>
      <c r="B5008" t="s">
        <v>10224</v>
      </c>
    </row>
    <row r="5009" spans="1:2">
      <c r="A5009" s="1" t="s">
        <v>674</v>
      </c>
      <c r="B5009" t="s">
        <v>10474</v>
      </c>
    </row>
    <row r="5010" spans="1:2">
      <c r="A5010" s="1" t="s">
        <v>5411</v>
      </c>
      <c r="B5010" t="s">
        <v>10399</v>
      </c>
    </row>
    <row r="5011" spans="1:2">
      <c r="A5011" s="1" t="s">
        <v>5412</v>
      </c>
      <c r="B5011" t="s">
        <v>10325</v>
      </c>
    </row>
    <row r="5012" spans="1:2">
      <c r="A5012" s="1" t="s">
        <v>5413</v>
      </c>
      <c r="B5012" t="s">
        <v>10283</v>
      </c>
    </row>
    <row r="5013" spans="1:2">
      <c r="A5013" s="1" t="s">
        <v>5414</v>
      </c>
      <c r="B5013" t="s">
        <v>10241</v>
      </c>
    </row>
    <row r="5014" spans="1:2">
      <c r="A5014" s="1" t="s">
        <v>48</v>
      </c>
      <c r="B5014" t="s">
        <v>10250</v>
      </c>
    </row>
    <row r="5015" spans="1:2">
      <c r="A5015" s="1" t="s">
        <v>5415</v>
      </c>
      <c r="B5015" t="s">
        <v>10233</v>
      </c>
    </row>
    <row r="5016" spans="1:2">
      <c r="A5016" s="1" t="s">
        <v>5416</v>
      </c>
      <c r="B5016" t="s">
        <v>10287</v>
      </c>
    </row>
    <row r="5017" spans="1:2">
      <c r="A5017" s="1" t="s">
        <v>5417</v>
      </c>
      <c r="B5017" t="s">
        <v>10273</v>
      </c>
    </row>
    <row r="5018" spans="1:2">
      <c r="A5018" s="1" t="s">
        <v>5418</v>
      </c>
      <c r="B5018" t="s">
        <v>10224</v>
      </c>
    </row>
    <row r="5019" spans="1:2">
      <c r="A5019" s="1" t="s">
        <v>95</v>
      </c>
      <c r="B5019" t="s">
        <v>10322</v>
      </c>
    </row>
    <row r="5020" spans="1:2">
      <c r="A5020" s="1" t="s">
        <v>5419</v>
      </c>
      <c r="B5020" t="s">
        <v>10283</v>
      </c>
    </row>
    <row r="5021" spans="1:2">
      <c r="A5021" s="1" t="s">
        <v>5420</v>
      </c>
      <c r="B5021" t="s">
        <v>10492</v>
      </c>
    </row>
    <row r="5022" spans="1:2">
      <c r="A5022" s="1" t="s">
        <v>443</v>
      </c>
      <c r="B5022" t="s">
        <v>10239</v>
      </c>
    </row>
    <row r="5023" spans="1:2">
      <c r="A5023" s="1" t="s">
        <v>5421</v>
      </c>
      <c r="B5023" t="s">
        <v>10420</v>
      </c>
    </row>
    <row r="5024" spans="1:2">
      <c r="A5024" s="1" t="s">
        <v>309</v>
      </c>
      <c r="B5024" t="s">
        <v>10322</v>
      </c>
    </row>
    <row r="5025" spans="1:2">
      <c r="A5025" s="1" t="s">
        <v>5422</v>
      </c>
      <c r="B5025" t="s">
        <v>10224</v>
      </c>
    </row>
    <row r="5026" spans="1:2">
      <c r="A5026" s="1" t="s">
        <v>5423</v>
      </c>
      <c r="B5026" t="s">
        <v>10277</v>
      </c>
    </row>
    <row r="5027" spans="1:2">
      <c r="A5027" s="1" t="s">
        <v>306</v>
      </c>
      <c r="B5027" t="s">
        <v>10322</v>
      </c>
    </row>
    <row r="5028" spans="1:2">
      <c r="A5028" s="1" t="s">
        <v>5424</v>
      </c>
      <c r="B5028" t="s">
        <v>10244</v>
      </c>
    </row>
    <row r="5029" spans="1:2">
      <c r="A5029" s="1" t="s">
        <v>5425</v>
      </c>
      <c r="B5029" t="s">
        <v>10273</v>
      </c>
    </row>
    <row r="5030" spans="1:2">
      <c r="A5030" s="1" t="s">
        <v>5426</v>
      </c>
      <c r="B5030" t="s">
        <v>10230</v>
      </c>
    </row>
    <row r="5031" spans="1:2">
      <c r="A5031" s="1" t="s">
        <v>5427</v>
      </c>
      <c r="B5031" t="s">
        <v>10322</v>
      </c>
    </row>
    <row r="5032" spans="1:2">
      <c r="A5032" s="1" t="s">
        <v>5428</v>
      </c>
      <c r="B5032" t="s">
        <v>10256</v>
      </c>
    </row>
    <row r="5033" spans="1:2">
      <c r="A5033" s="1" t="s">
        <v>5429</v>
      </c>
      <c r="B5033" t="s">
        <v>10265</v>
      </c>
    </row>
    <row r="5034" spans="1:2">
      <c r="A5034" s="1" t="s">
        <v>5430</v>
      </c>
      <c r="B5034" t="s">
        <v>10323</v>
      </c>
    </row>
    <row r="5035" spans="1:2">
      <c r="A5035" s="1" t="s">
        <v>5431</v>
      </c>
      <c r="B5035" t="s">
        <v>10234</v>
      </c>
    </row>
    <row r="5036" spans="1:2">
      <c r="A5036" s="1" t="s">
        <v>5432</v>
      </c>
      <c r="B5036" t="s">
        <v>901</v>
      </c>
    </row>
    <row r="5037" spans="1:2">
      <c r="A5037" s="1" t="s">
        <v>5433</v>
      </c>
      <c r="B5037" t="s">
        <v>10343</v>
      </c>
    </row>
    <row r="5038" spans="1:2">
      <c r="A5038" s="1" t="s">
        <v>5434</v>
      </c>
      <c r="B5038" t="s">
        <v>10256</v>
      </c>
    </row>
    <row r="5039" spans="1:2">
      <c r="A5039" s="1" t="s">
        <v>5435</v>
      </c>
      <c r="B5039" t="s">
        <v>901</v>
      </c>
    </row>
    <row r="5040" spans="1:2">
      <c r="A5040" s="1" t="s">
        <v>5436</v>
      </c>
      <c r="B5040" t="s">
        <v>10230</v>
      </c>
    </row>
    <row r="5041" spans="1:2">
      <c r="A5041" s="1" t="s">
        <v>213</v>
      </c>
      <c r="B5041" t="s">
        <v>10357</v>
      </c>
    </row>
    <row r="5042" spans="1:2">
      <c r="A5042" s="1" t="s">
        <v>5437</v>
      </c>
      <c r="B5042" t="s">
        <v>10456</v>
      </c>
    </row>
    <row r="5043" spans="1:2">
      <c r="A5043" s="1" t="s">
        <v>364</v>
      </c>
      <c r="B5043" t="s">
        <v>10326</v>
      </c>
    </row>
    <row r="5044" spans="1:2">
      <c r="A5044" s="1" t="s">
        <v>5438</v>
      </c>
      <c r="B5044" t="s">
        <v>10272</v>
      </c>
    </row>
    <row r="5045" spans="1:2">
      <c r="A5045" s="1" t="s">
        <v>5439</v>
      </c>
      <c r="B5045" t="s">
        <v>10261</v>
      </c>
    </row>
    <row r="5046" spans="1:2">
      <c r="A5046" s="1" t="s">
        <v>5440</v>
      </c>
      <c r="B5046" t="s">
        <v>10322</v>
      </c>
    </row>
    <row r="5047" spans="1:2">
      <c r="A5047" s="1" t="s">
        <v>5441</v>
      </c>
      <c r="B5047" t="s">
        <v>901</v>
      </c>
    </row>
    <row r="5048" spans="1:2">
      <c r="A5048" s="1" t="s">
        <v>5442</v>
      </c>
      <c r="B5048" t="s">
        <v>10319</v>
      </c>
    </row>
    <row r="5049" spans="1:2">
      <c r="A5049" s="1" t="s">
        <v>5443</v>
      </c>
      <c r="B5049" t="s">
        <v>10343</v>
      </c>
    </row>
    <row r="5050" spans="1:2">
      <c r="A5050" s="1" t="s">
        <v>5444</v>
      </c>
      <c r="B5050" t="s">
        <v>10282</v>
      </c>
    </row>
    <row r="5051" spans="1:2">
      <c r="A5051" s="1" t="s">
        <v>5445</v>
      </c>
      <c r="B5051" t="s">
        <v>10284</v>
      </c>
    </row>
    <row r="5052" spans="1:2">
      <c r="A5052" s="1" t="s">
        <v>5446</v>
      </c>
      <c r="B5052" t="s">
        <v>10481</v>
      </c>
    </row>
    <row r="5053" spans="1:2">
      <c r="A5053" s="1" t="s">
        <v>5447</v>
      </c>
      <c r="B5053" t="s">
        <v>10240</v>
      </c>
    </row>
    <row r="5054" spans="1:2">
      <c r="A5054" s="1" t="s">
        <v>5448</v>
      </c>
      <c r="B5054" t="s">
        <v>10255</v>
      </c>
    </row>
    <row r="5055" spans="1:2">
      <c r="A5055" s="1" t="s">
        <v>49</v>
      </c>
      <c r="B5055" t="s">
        <v>10244</v>
      </c>
    </row>
    <row r="5056" spans="1:2">
      <c r="A5056" s="1" t="s">
        <v>5449</v>
      </c>
      <c r="B5056" t="s">
        <v>10302</v>
      </c>
    </row>
    <row r="5057" spans="1:2">
      <c r="A5057" s="1" t="s">
        <v>5450</v>
      </c>
      <c r="B5057" t="s">
        <v>10256</v>
      </c>
    </row>
    <row r="5058" spans="1:2">
      <c r="A5058" s="1" t="s">
        <v>5451</v>
      </c>
      <c r="B5058" t="s">
        <v>10288</v>
      </c>
    </row>
    <row r="5059" spans="1:2">
      <c r="A5059" s="1" t="s">
        <v>5452</v>
      </c>
      <c r="B5059" t="s">
        <v>10230</v>
      </c>
    </row>
    <row r="5060" spans="1:2">
      <c r="A5060" s="1" t="s">
        <v>5453</v>
      </c>
      <c r="B5060" t="s">
        <v>10309</v>
      </c>
    </row>
    <row r="5061" spans="1:2">
      <c r="A5061" s="1" t="s">
        <v>5454</v>
      </c>
      <c r="B5061" t="s">
        <v>10292</v>
      </c>
    </row>
    <row r="5062" spans="1:2">
      <c r="A5062" s="1" t="s">
        <v>5455</v>
      </c>
      <c r="B5062" t="s">
        <v>10239</v>
      </c>
    </row>
    <row r="5063" spans="1:2">
      <c r="A5063" s="1" t="s">
        <v>5456</v>
      </c>
      <c r="B5063" t="s">
        <v>10280</v>
      </c>
    </row>
    <row r="5064" spans="1:2">
      <c r="A5064" s="1" t="s">
        <v>5457</v>
      </c>
      <c r="B5064" t="s">
        <v>10248</v>
      </c>
    </row>
    <row r="5065" spans="1:2">
      <c r="A5065" s="1" t="s">
        <v>5458</v>
      </c>
      <c r="B5065" t="s">
        <v>10264</v>
      </c>
    </row>
    <row r="5066" spans="1:2">
      <c r="A5066" s="1" t="s">
        <v>5459</v>
      </c>
      <c r="B5066" t="s">
        <v>10343</v>
      </c>
    </row>
    <row r="5067" spans="1:2">
      <c r="A5067" s="1" t="s">
        <v>5460</v>
      </c>
      <c r="B5067" t="s">
        <v>10244</v>
      </c>
    </row>
    <row r="5068" spans="1:2">
      <c r="A5068" s="1" t="s">
        <v>5461</v>
      </c>
      <c r="B5068" t="s">
        <v>10262</v>
      </c>
    </row>
    <row r="5069" spans="1:2">
      <c r="A5069" s="1" t="s">
        <v>5462</v>
      </c>
      <c r="B5069" t="s">
        <v>10250</v>
      </c>
    </row>
    <row r="5070" spans="1:2">
      <c r="A5070" s="1" t="s">
        <v>5463</v>
      </c>
      <c r="B5070" t="s">
        <v>10230</v>
      </c>
    </row>
    <row r="5071" spans="1:2">
      <c r="A5071" s="1" t="s">
        <v>5464</v>
      </c>
      <c r="B5071" t="s">
        <v>10361</v>
      </c>
    </row>
    <row r="5072" spans="1:2">
      <c r="A5072" s="1" t="s">
        <v>5465</v>
      </c>
      <c r="B5072" t="s">
        <v>10230</v>
      </c>
    </row>
    <row r="5073" spans="1:2">
      <c r="A5073" s="1" t="s">
        <v>5466</v>
      </c>
      <c r="B5073" t="s">
        <v>10375</v>
      </c>
    </row>
    <row r="5074" spans="1:2">
      <c r="A5074" s="1" t="s">
        <v>5467</v>
      </c>
      <c r="B5074" t="s">
        <v>10283</v>
      </c>
    </row>
    <row r="5075" spans="1:2">
      <c r="A5075" s="1" t="s">
        <v>5468</v>
      </c>
      <c r="B5075" t="s">
        <v>10507</v>
      </c>
    </row>
    <row r="5076" spans="1:2">
      <c r="A5076" s="1" t="s">
        <v>5469</v>
      </c>
      <c r="B5076" t="s">
        <v>10240</v>
      </c>
    </row>
    <row r="5077" spans="1:2">
      <c r="A5077" s="1" t="s">
        <v>105</v>
      </c>
      <c r="B5077" t="s">
        <v>10315</v>
      </c>
    </row>
    <row r="5078" spans="1:2">
      <c r="A5078" s="1" t="s">
        <v>5470</v>
      </c>
      <c r="B5078" t="s">
        <v>10345</v>
      </c>
    </row>
    <row r="5079" spans="1:2">
      <c r="A5079" s="1" t="s">
        <v>545</v>
      </c>
      <c r="B5079" t="s">
        <v>10321</v>
      </c>
    </row>
    <row r="5080" spans="1:2">
      <c r="A5080" s="1" t="s">
        <v>5471</v>
      </c>
      <c r="B5080" t="s">
        <v>10387</v>
      </c>
    </row>
    <row r="5081" spans="1:2">
      <c r="A5081" s="1" t="s">
        <v>5472</v>
      </c>
      <c r="B5081" t="s">
        <v>10225</v>
      </c>
    </row>
    <row r="5082" spans="1:2">
      <c r="A5082" s="1" t="s">
        <v>5473</v>
      </c>
      <c r="B5082" t="s">
        <v>10405</v>
      </c>
    </row>
    <row r="5083" spans="1:2">
      <c r="A5083" s="1" t="s">
        <v>5474</v>
      </c>
      <c r="B5083" t="s">
        <v>10266</v>
      </c>
    </row>
    <row r="5084" spans="1:2">
      <c r="A5084" s="1" t="s">
        <v>5475</v>
      </c>
      <c r="B5084" t="s">
        <v>10240</v>
      </c>
    </row>
    <row r="5085" spans="1:2">
      <c r="A5085" s="1" t="s">
        <v>5476</v>
      </c>
      <c r="B5085" t="s">
        <v>10336</v>
      </c>
    </row>
    <row r="5086" spans="1:2">
      <c r="A5086" s="1" t="s">
        <v>5477</v>
      </c>
      <c r="B5086" t="s">
        <v>10283</v>
      </c>
    </row>
    <row r="5087" spans="1:2">
      <c r="A5087" s="1" t="s">
        <v>5478</v>
      </c>
      <c r="B5087" t="s">
        <v>10414</v>
      </c>
    </row>
    <row r="5088" spans="1:2">
      <c r="A5088" s="1" t="s">
        <v>5479</v>
      </c>
      <c r="B5088" t="s">
        <v>10261</v>
      </c>
    </row>
    <row r="5089" spans="1:2">
      <c r="A5089" s="1" t="s">
        <v>5480</v>
      </c>
      <c r="B5089" t="s">
        <v>10272</v>
      </c>
    </row>
    <row r="5090" spans="1:2">
      <c r="A5090" s="1" t="s">
        <v>5481</v>
      </c>
      <c r="B5090" t="s">
        <v>10452</v>
      </c>
    </row>
    <row r="5091" spans="1:2">
      <c r="A5091" s="1" t="s">
        <v>5482</v>
      </c>
      <c r="B5091" t="s">
        <v>10395</v>
      </c>
    </row>
    <row r="5092" spans="1:2">
      <c r="A5092" s="1" t="s">
        <v>5483</v>
      </c>
      <c r="B5092" t="s">
        <v>10242</v>
      </c>
    </row>
    <row r="5093" spans="1:2">
      <c r="A5093" s="1" t="s">
        <v>5484</v>
      </c>
      <c r="B5093" t="s">
        <v>901</v>
      </c>
    </row>
    <row r="5094" spans="1:2">
      <c r="A5094" s="1" t="s">
        <v>5485</v>
      </c>
      <c r="B5094" t="s">
        <v>10500</v>
      </c>
    </row>
    <row r="5095" spans="1:2">
      <c r="A5095" s="1" t="s">
        <v>5486</v>
      </c>
      <c r="B5095" t="s">
        <v>10272</v>
      </c>
    </row>
    <row r="5096" spans="1:2">
      <c r="A5096" s="1" t="s">
        <v>544</v>
      </c>
      <c r="B5096" t="s">
        <v>10370</v>
      </c>
    </row>
    <row r="5097" spans="1:2">
      <c r="A5097" s="1" t="s">
        <v>5487</v>
      </c>
      <c r="B5097" t="s">
        <v>10240</v>
      </c>
    </row>
    <row r="5098" spans="1:2">
      <c r="A5098" s="1" t="s">
        <v>5488</v>
      </c>
      <c r="B5098" t="s">
        <v>10240</v>
      </c>
    </row>
    <row r="5099" spans="1:2">
      <c r="A5099" s="1" t="s">
        <v>5489</v>
      </c>
      <c r="B5099" t="s">
        <v>10224</v>
      </c>
    </row>
    <row r="5100" spans="1:2">
      <c r="A5100" s="1" t="s">
        <v>5490</v>
      </c>
      <c r="B5100" t="s">
        <v>10240</v>
      </c>
    </row>
    <row r="5101" spans="1:2">
      <c r="A5101" s="1" t="s">
        <v>5491</v>
      </c>
      <c r="B5101" t="s">
        <v>10319</v>
      </c>
    </row>
    <row r="5102" spans="1:2">
      <c r="A5102" s="1" t="s">
        <v>5492</v>
      </c>
      <c r="B5102" t="s">
        <v>10299</v>
      </c>
    </row>
    <row r="5103" spans="1:2">
      <c r="A5103" s="1" t="s">
        <v>5493</v>
      </c>
      <c r="B5103" t="s">
        <v>10452</v>
      </c>
    </row>
    <row r="5104" spans="1:2">
      <c r="A5104" s="1" t="s">
        <v>5494</v>
      </c>
      <c r="B5104" t="s">
        <v>10240</v>
      </c>
    </row>
    <row r="5105" spans="1:2">
      <c r="A5105" s="1" t="s">
        <v>5495</v>
      </c>
      <c r="B5105" t="s">
        <v>10243</v>
      </c>
    </row>
    <row r="5106" spans="1:2">
      <c r="A5106" s="1" t="s">
        <v>5496</v>
      </c>
      <c r="B5106" t="s">
        <v>10262</v>
      </c>
    </row>
    <row r="5107" spans="1:2">
      <c r="A5107" s="1" t="s">
        <v>82</v>
      </c>
      <c r="B5107" t="s">
        <v>10239</v>
      </c>
    </row>
    <row r="5108" spans="1:2">
      <c r="A5108" s="1" t="s">
        <v>255</v>
      </c>
      <c r="B5108" t="s">
        <v>10251</v>
      </c>
    </row>
    <row r="5109" spans="1:2">
      <c r="A5109" s="1" t="s">
        <v>5497</v>
      </c>
      <c r="B5109" t="s">
        <v>10343</v>
      </c>
    </row>
    <row r="5110" spans="1:2">
      <c r="A5110" s="1" t="s">
        <v>5498</v>
      </c>
      <c r="B5110" t="s">
        <v>10230</v>
      </c>
    </row>
    <row r="5111" spans="1:2">
      <c r="A5111" s="1" t="s">
        <v>5499</v>
      </c>
      <c r="B5111" t="s">
        <v>10272</v>
      </c>
    </row>
    <row r="5112" spans="1:2">
      <c r="A5112" s="1" t="s">
        <v>5500</v>
      </c>
      <c r="B5112" t="s">
        <v>10244</v>
      </c>
    </row>
    <row r="5113" spans="1:2">
      <c r="A5113" s="1" t="s">
        <v>5501</v>
      </c>
      <c r="B5113" t="s">
        <v>10370</v>
      </c>
    </row>
    <row r="5114" spans="1:2">
      <c r="A5114" s="1" t="s">
        <v>5502</v>
      </c>
      <c r="B5114" t="s">
        <v>10305</v>
      </c>
    </row>
    <row r="5115" spans="1:2">
      <c r="A5115" s="1" t="s">
        <v>5503</v>
      </c>
      <c r="B5115" t="s">
        <v>901</v>
      </c>
    </row>
    <row r="5116" spans="1:2">
      <c r="A5116" s="1" t="s">
        <v>5504</v>
      </c>
      <c r="B5116" t="s">
        <v>10319</v>
      </c>
    </row>
    <row r="5117" spans="1:2">
      <c r="A5117" s="1" t="s">
        <v>5505</v>
      </c>
      <c r="B5117" t="s">
        <v>10288</v>
      </c>
    </row>
    <row r="5118" spans="1:2">
      <c r="A5118" s="1" t="s">
        <v>436</v>
      </c>
      <c r="B5118" t="s">
        <v>10223</v>
      </c>
    </row>
    <row r="5119" spans="1:2">
      <c r="A5119" s="1" t="s">
        <v>5506</v>
      </c>
      <c r="B5119" t="s">
        <v>10266</v>
      </c>
    </row>
    <row r="5120" spans="1:2">
      <c r="A5120" s="1" t="s">
        <v>5507</v>
      </c>
      <c r="B5120" t="s">
        <v>10240</v>
      </c>
    </row>
    <row r="5121" spans="1:2">
      <c r="A5121" s="1" t="s">
        <v>5508</v>
      </c>
      <c r="B5121" t="s">
        <v>10357</v>
      </c>
    </row>
    <row r="5122" spans="1:2">
      <c r="A5122" s="1" t="s">
        <v>5509</v>
      </c>
      <c r="B5122" t="s">
        <v>10353</v>
      </c>
    </row>
    <row r="5123" spans="1:2">
      <c r="A5123" s="1" t="s">
        <v>5510</v>
      </c>
      <c r="B5123" t="s">
        <v>10260</v>
      </c>
    </row>
    <row r="5124" spans="1:2">
      <c r="A5124" s="1" t="s">
        <v>5511</v>
      </c>
      <c r="B5124" t="s">
        <v>10341</v>
      </c>
    </row>
    <row r="5125" spans="1:2">
      <c r="A5125" s="1" t="s">
        <v>375</v>
      </c>
      <c r="B5125" t="s">
        <v>10250</v>
      </c>
    </row>
    <row r="5126" spans="1:2">
      <c r="A5126" s="1" t="s">
        <v>5512</v>
      </c>
      <c r="B5126" t="s">
        <v>10225</v>
      </c>
    </row>
    <row r="5127" spans="1:2">
      <c r="A5127" s="1" t="s">
        <v>5513</v>
      </c>
      <c r="B5127" t="s">
        <v>10234</v>
      </c>
    </row>
    <row r="5128" spans="1:2">
      <c r="A5128" s="1" t="s">
        <v>5514</v>
      </c>
      <c r="B5128" t="s">
        <v>10266</v>
      </c>
    </row>
    <row r="5129" spans="1:2">
      <c r="A5129" s="1" t="s">
        <v>5515</v>
      </c>
      <c r="B5129" t="s">
        <v>10292</v>
      </c>
    </row>
    <row r="5130" spans="1:2">
      <c r="A5130" s="1" t="s">
        <v>5516</v>
      </c>
      <c r="B5130" t="s">
        <v>10244</v>
      </c>
    </row>
    <row r="5131" spans="1:2">
      <c r="A5131" s="1" t="s">
        <v>420</v>
      </c>
      <c r="B5131" t="s">
        <v>10240</v>
      </c>
    </row>
    <row r="5132" spans="1:2">
      <c r="A5132" s="1" t="s">
        <v>5517</v>
      </c>
      <c r="B5132" t="s">
        <v>10251</v>
      </c>
    </row>
    <row r="5133" spans="1:2">
      <c r="A5133" s="1" t="s">
        <v>5518</v>
      </c>
      <c r="B5133" t="s">
        <v>10343</v>
      </c>
    </row>
    <row r="5134" spans="1:2">
      <c r="A5134" s="1" t="s">
        <v>5519</v>
      </c>
      <c r="B5134" t="s">
        <v>10284</v>
      </c>
    </row>
    <row r="5135" spans="1:2">
      <c r="A5135" s="1" t="s">
        <v>5520</v>
      </c>
      <c r="B5135" t="s">
        <v>10245</v>
      </c>
    </row>
    <row r="5136" spans="1:2">
      <c r="A5136" s="1" t="s">
        <v>5521</v>
      </c>
      <c r="B5136" t="s">
        <v>10251</v>
      </c>
    </row>
    <row r="5137" spans="1:2">
      <c r="A5137" s="1" t="s">
        <v>5522</v>
      </c>
      <c r="B5137" t="s">
        <v>10244</v>
      </c>
    </row>
    <row r="5138" spans="1:2">
      <c r="A5138" s="1" t="s">
        <v>5523</v>
      </c>
      <c r="B5138" t="s">
        <v>10249</v>
      </c>
    </row>
    <row r="5139" spans="1:2">
      <c r="A5139" s="1" t="s">
        <v>5524</v>
      </c>
      <c r="B5139" t="s">
        <v>10240</v>
      </c>
    </row>
    <row r="5140" spans="1:2">
      <c r="A5140" s="1" t="s">
        <v>5525</v>
      </c>
      <c r="B5140" t="s">
        <v>10276</v>
      </c>
    </row>
    <row r="5141" spans="1:2">
      <c r="A5141" s="1" t="s">
        <v>5526</v>
      </c>
      <c r="B5141" t="s">
        <v>10452</v>
      </c>
    </row>
    <row r="5142" spans="1:2">
      <c r="A5142" s="1" t="s">
        <v>5527</v>
      </c>
      <c r="B5142" t="s">
        <v>10424</v>
      </c>
    </row>
    <row r="5143" spans="1:2">
      <c r="A5143" s="1" t="s">
        <v>5528</v>
      </c>
      <c r="B5143" t="s">
        <v>10424</v>
      </c>
    </row>
    <row r="5144" spans="1:2">
      <c r="A5144" s="1" t="s">
        <v>5529</v>
      </c>
      <c r="B5144" t="s">
        <v>10241</v>
      </c>
    </row>
    <row r="5145" spans="1:2">
      <c r="A5145" s="1" t="s">
        <v>5530</v>
      </c>
      <c r="B5145" t="s">
        <v>10224</v>
      </c>
    </row>
    <row r="5146" spans="1:2">
      <c r="A5146" s="1" t="s">
        <v>5531</v>
      </c>
      <c r="B5146" t="s">
        <v>10393</v>
      </c>
    </row>
    <row r="5147" spans="1:2">
      <c r="A5147" s="1" t="s">
        <v>5532</v>
      </c>
      <c r="B5147" t="s">
        <v>10234</v>
      </c>
    </row>
    <row r="5148" spans="1:2">
      <c r="A5148" s="1" t="s">
        <v>5533</v>
      </c>
      <c r="B5148" t="s">
        <v>10395</v>
      </c>
    </row>
    <row r="5149" spans="1:2">
      <c r="A5149" s="1" t="s">
        <v>5534</v>
      </c>
      <c r="B5149" t="s">
        <v>10305</v>
      </c>
    </row>
    <row r="5150" spans="1:2">
      <c r="A5150" s="1" t="s">
        <v>5535</v>
      </c>
      <c r="B5150" t="s">
        <v>10278</v>
      </c>
    </row>
    <row r="5151" spans="1:2">
      <c r="A5151" s="1" t="s">
        <v>5536</v>
      </c>
      <c r="B5151" t="s">
        <v>10244</v>
      </c>
    </row>
    <row r="5152" spans="1:2">
      <c r="A5152" s="1" t="s">
        <v>5537</v>
      </c>
      <c r="B5152" t="s">
        <v>10435</v>
      </c>
    </row>
    <row r="5153" spans="1:2">
      <c r="A5153" s="1" t="s">
        <v>5538</v>
      </c>
      <c r="B5153" t="s">
        <v>10240</v>
      </c>
    </row>
    <row r="5154" spans="1:2">
      <c r="A5154" s="1" t="s">
        <v>5539</v>
      </c>
      <c r="B5154" t="s">
        <v>10234</v>
      </c>
    </row>
    <row r="5155" spans="1:2">
      <c r="A5155" s="1" t="s">
        <v>5540</v>
      </c>
      <c r="B5155" t="s">
        <v>901</v>
      </c>
    </row>
    <row r="5156" spans="1:2">
      <c r="A5156" s="1" t="s">
        <v>5541</v>
      </c>
      <c r="B5156" t="s">
        <v>10256</v>
      </c>
    </row>
    <row r="5157" spans="1:2">
      <c r="A5157" s="1" t="s">
        <v>5542</v>
      </c>
      <c r="B5157" t="s">
        <v>10345</v>
      </c>
    </row>
    <row r="5158" spans="1:2">
      <c r="A5158" s="1" t="s">
        <v>152</v>
      </c>
      <c r="B5158" t="s">
        <v>10287</v>
      </c>
    </row>
    <row r="5159" spans="1:2">
      <c r="A5159" s="1" t="s">
        <v>5543</v>
      </c>
      <c r="B5159" t="s">
        <v>10328</v>
      </c>
    </row>
    <row r="5160" spans="1:2">
      <c r="A5160" s="1" t="s">
        <v>5544</v>
      </c>
      <c r="B5160" t="s">
        <v>10398</v>
      </c>
    </row>
    <row r="5161" spans="1:2">
      <c r="A5161" s="1" t="s">
        <v>5545</v>
      </c>
      <c r="B5161" t="s">
        <v>10262</v>
      </c>
    </row>
    <row r="5162" spans="1:2">
      <c r="A5162" s="1" t="s">
        <v>5546</v>
      </c>
      <c r="B5162" t="s">
        <v>10233</v>
      </c>
    </row>
    <row r="5163" spans="1:2">
      <c r="A5163" s="1" t="s">
        <v>5547</v>
      </c>
      <c r="B5163" t="s">
        <v>10240</v>
      </c>
    </row>
    <row r="5164" spans="1:2">
      <c r="A5164" s="1" t="s">
        <v>5548</v>
      </c>
      <c r="B5164" t="s">
        <v>10283</v>
      </c>
    </row>
    <row r="5165" spans="1:2">
      <c r="A5165" s="1" t="s">
        <v>5549</v>
      </c>
      <c r="B5165" t="s">
        <v>10309</v>
      </c>
    </row>
    <row r="5166" spans="1:2">
      <c r="A5166" s="1" t="s">
        <v>5550</v>
      </c>
      <c r="B5166" t="s">
        <v>10324</v>
      </c>
    </row>
    <row r="5167" spans="1:2">
      <c r="A5167" s="1" t="s">
        <v>5551</v>
      </c>
      <c r="B5167" t="s">
        <v>10399</v>
      </c>
    </row>
    <row r="5168" spans="1:2">
      <c r="A5168" s="1" t="s">
        <v>5552</v>
      </c>
      <c r="B5168" t="s">
        <v>10240</v>
      </c>
    </row>
    <row r="5169" spans="1:2">
      <c r="A5169" s="1" t="s">
        <v>5553</v>
      </c>
      <c r="B5169" t="s">
        <v>10277</v>
      </c>
    </row>
    <row r="5170" spans="1:2">
      <c r="A5170" s="1" t="s">
        <v>188</v>
      </c>
      <c r="B5170" t="s">
        <v>10508</v>
      </c>
    </row>
    <row r="5171" spans="1:2">
      <c r="A5171" s="1" t="s">
        <v>5554</v>
      </c>
      <c r="B5171" t="s">
        <v>10230</v>
      </c>
    </row>
    <row r="5172" spans="1:2">
      <c r="A5172" s="1" t="s">
        <v>709</v>
      </c>
      <c r="B5172" t="s">
        <v>10250</v>
      </c>
    </row>
    <row r="5173" spans="1:2">
      <c r="A5173" s="1" t="s">
        <v>5555</v>
      </c>
      <c r="B5173" t="s">
        <v>10310</v>
      </c>
    </row>
    <row r="5174" spans="1:2">
      <c r="A5174" s="1" t="s">
        <v>5556</v>
      </c>
      <c r="B5174" t="s">
        <v>10240</v>
      </c>
    </row>
    <row r="5175" spans="1:2">
      <c r="A5175" s="1" t="s">
        <v>5557</v>
      </c>
      <c r="B5175" t="s">
        <v>10234</v>
      </c>
    </row>
    <row r="5176" spans="1:2">
      <c r="A5176" s="1" t="s">
        <v>5558</v>
      </c>
      <c r="B5176" t="s">
        <v>10240</v>
      </c>
    </row>
    <row r="5177" spans="1:2">
      <c r="A5177" s="1" t="s">
        <v>5559</v>
      </c>
      <c r="B5177" t="s">
        <v>10225</v>
      </c>
    </row>
    <row r="5178" spans="1:2">
      <c r="A5178" s="1" t="s">
        <v>298</v>
      </c>
      <c r="B5178" t="s">
        <v>10495</v>
      </c>
    </row>
    <row r="5179" spans="1:2">
      <c r="A5179" s="1" t="s">
        <v>842</v>
      </c>
      <c r="B5179" t="s">
        <v>10244</v>
      </c>
    </row>
    <row r="5180" spans="1:2">
      <c r="A5180" s="1" t="s">
        <v>5560</v>
      </c>
      <c r="B5180" t="s">
        <v>10240</v>
      </c>
    </row>
    <row r="5181" spans="1:2">
      <c r="A5181" s="1" t="s">
        <v>5561</v>
      </c>
      <c r="B5181" t="s">
        <v>10231</v>
      </c>
    </row>
    <row r="5182" spans="1:2">
      <c r="A5182" s="1" t="s">
        <v>5562</v>
      </c>
      <c r="B5182" t="s">
        <v>10243</v>
      </c>
    </row>
    <row r="5183" spans="1:2">
      <c r="A5183" s="1" t="s">
        <v>5563</v>
      </c>
      <c r="B5183" t="s">
        <v>10261</v>
      </c>
    </row>
    <row r="5184" spans="1:2">
      <c r="A5184" s="1" t="s">
        <v>5564</v>
      </c>
      <c r="B5184" t="s">
        <v>10286</v>
      </c>
    </row>
    <row r="5185" spans="1:2">
      <c r="A5185" s="1" t="s">
        <v>5565</v>
      </c>
      <c r="B5185" t="s">
        <v>10320</v>
      </c>
    </row>
    <row r="5186" spans="1:2">
      <c r="A5186" s="1" t="s">
        <v>5566</v>
      </c>
      <c r="B5186" t="s">
        <v>10283</v>
      </c>
    </row>
    <row r="5187" spans="1:2">
      <c r="A5187" s="1" t="s">
        <v>5567</v>
      </c>
      <c r="B5187" t="s">
        <v>10240</v>
      </c>
    </row>
    <row r="5188" spans="1:2">
      <c r="A5188" s="1" t="s">
        <v>5568</v>
      </c>
      <c r="B5188" t="s">
        <v>10234</v>
      </c>
    </row>
    <row r="5189" spans="1:2">
      <c r="A5189" s="1" t="s">
        <v>5569</v>
      </c>
      <c r="B5189" t="s">
        <v>901</v>
      </c>
    </row>
    <row r="5190" spans="1:2">
      <c r="A5190" s="1" t="s">
        <v>5570</v>
      </c>
      <c r="B5190" t="s">
        <v>10509</v>
      </c>
    </row>
    <row r="5191" spans="1:2">
      <c r="A5191" s="1" t="s">
        <v>5571</v>
      </c>
      <c r="B5191" t="s">
        <v>10263</v>
      </c>
    </row>
    <row r="5192" spans="1:2">
      <c r="A5192" s="1" t="s">
        <v>5572</v>
      </c>
      <c r="B5192" t="s">
        <v>10272</v>
      </c>
    </row>
    <row r="5193" spans="1:2">
      <c r="A5193" s="1" t="s">
        <v>5573</v>
      </c>
      <c r="B5193" t="s">
        <v>10300</v>
      </c>
    </row>
    <row r="5194" spans="1:2">
      <c r="A5194" s="1" t="s">
        <v>203</v>
      </c>
      <c r="B5194" t="s">
        <v>10261</v>
      </c>
    </row>
    <row r="5195" spans="1:2">
      <c r="A5195" s="1" t="s">
        <v>5574</v>
      </c>
      <c r="B5195" t="s">
        <v>10272</v>
      </c>
    </row>
    <row r="5196" spans="1:2">
      <c r="A5196" s="1" t="s">
        <v>5575</v>
      </c>
      <c r="B5196" t="s">
        <v>10414</v>
      </c>
    </row>
    <row r="5197" spans="1:2">
      <c r="A5197" s="1" t="s">
        <v>5576</v>
      </c>
      <c r="B5197" t="s">
        <v>10319</v>
      </c>
    </row>
    <row r="5198" spans="1:2">
      <c r="A5198" s="1" t="s">
        <v>5577</v>
      </c>
      <c r="B5198" t="s">
        <v>10286</v>
      </c>
    </row>
    <row r="5199" spans="1:2">
      <c r="A5199" s="1" t="s">
        <v>5578</v>
      </c>
      <c r="B5199" t="s">
        <v>10245</v>
      </c>
    </row>
    <row r="5200" spans="1:2">
      <c r="A5200" s="1" t="s">
        <v>5579</v>
      </c>
      <c r="B5200" t="s">
        <v>10238</v>
      </c>
    </row>
    <row r="5201" spans="1:2">
      <c r="A5201" s="1" t="s">
        <v>5580</v>
      </c>
      <c r="B5201" t="s">
        <v>10328</v>
      </c>
    </row>
    <row r="5202" spans="1:2">
      <c r="A5202" s="1" t="s">
        <v>5581</v>
      </c>
      <c r="B5202" t="s">
        <v>10260</v>
      </c>
    </row>
    <row r="5203" spans="1:2">
      <c r="A5203" s="1" t="s">
        <v>5582</v>
      </c>
      <c r="B5203" t="s">
        <v>10293</v>
      </c>
    </row>
    <row r="5204" spans="1:2">
      <c r="A5204" s="1" t="s">
        <v>5583</v>
      </c>
      <c r="B5204" t="s">
        <v>10234</v>
      </c>
    </row>
    <row r="5205" spans="1:2">
      <c r="A5205" s="1" t="s">
        <v>5584</v>
      </c>
      <c r="B5205" t="s">
        <v>10343</v>
      </c>
    </row>
    <row r="5206" spans="1:2">
      <c r="A5206" s="1" t="s">
        <v>5585</v>
      </c>
      <c r="B5206" t="s">
        <v>10230</v>
      </c>
    </row>
    <row r="5207" spans="1:2">
      <c r="A5207" s="1" t="s">
        <v>5586</v>
      </c>
      <c r="B5207" t="s">
        <v>10224</v>
      </c>
    </row>
    <row r="5208" spans="1:2">
      <c r="A5208" s="1" t="s">
        <v>5587</v>
      </c>
      <c r="B5208" t="s">
        <v>10292</v>
      </c>
    </row>
    <row r="5209" spans="1:2">
      <c r="A5209" s="1" t="s">
        <v>5588</v>
      </c>
      <c r="B5209" t="s">
        <v>901</v>
      </c>
    </row>
    <row r="5210" spans="1:2">
      <c r="A5210" s="1" t="s">
        <v>5589</v>
      </c>
      <c r="B5210" t="s">
        <v>10223</v>
      </c>
    </row>
    <row r="5211" spans="1:2">
      <c r="A5211" s="1" t="s">
        <v>5590</v>
      </c>
      <c r="B5211" t="s">
        <v>10230</v>
      </c>
    </row>
    <row r="5212" spans="1:2">
      <c r="A5212" s="1" t="s">
        <v>5591</v>
      </c>
      <c r="B5212" t="s">
        <v>10251</v>
      </c>
    </row>
    <row r="5213" spans="1:2">
      <c r="A5213" s="1" t="s">
        <v>5592</v>
      </c>
      <c r="B5213" t="s">
        <v>10287</v>
      </c>
    </row>
    <row r="5214" spans="1:2">
      <c r="A5214" s="1" t="s">
        <v>5593</v>
      </c>
      <c r="B5214" t="s">
        <v>10276</v>
      </c>
    </row>
    <row r="5215" spans="1:2">
      <c r="A5215" s="1" t="s">
        <v>5594</v>
      </c>
      <c r="B5215" t="s">
        <v>10244</v>
      </c>
    </row>
    <row r="5216" spans="1:2">
      <c r="A5216" s="1" t="s">
        <v>5595</v>
      </c>
      <c r="B5216" t="s">
        <v>10230</v>
      </c>
    </row>
    <row r="5217" spans="1:2">
      <c r="A5217" s="1" t="s">
        <v>5596</v>
      </c>
      <c r="B5217" t="s">
        <v>10286</v>
      </c>
    </row>
    <row r="5218" spans="1:2">
      <c r="A5218" s="1" t="s">
        <v>5597</v>
      </c>
      <c r="B5218" t="s">
        <v>10273</v>
      </c>
    </row>
    <row r="5219" spans="1:2">
      <c r="A5219" s="1" t="s">
        <v>5598</v>
      </c>
      <c r="B5219" t="s">
        <v>10319</v>
      </c>
    </row>
    <row r="5220" spans="1:2">
      <c r="A5220" s="1" t="s">
        <v>5599</v>
      </c>
      <c r="B5220" t="s">
        <v>10231</v>
      </c>
    </row>
    <row r="5221" spans="1:2">
      <c r="A5221" s="1" t="s">
        <v>120</v>
      </c>
      <c r="B5221" t="s">
        <v>10451</v>
      </c>
    </row>
    <row r="5222" spans="1:2">
      <c r="A5222" s="1" t="s">
        <v>5600</v>
      </c>
      <c r="B5222" t="s">
        <v>10250</v>
      </c>
    </row>
    <row r="5223" spans="1:2">
      <c r="A5223" s="1" t="s">
        <v>5601</v>
      </c>
      <c r="B5223" t="s">
        <v>10230</v>
      </c>
    </row>
    <row r="5224" spans="1:2">
      <c r="A5224" s="1" t="s">
        <v>5602</v>
      </c>
      <c r="B5224" t="s">
        <v>10234</v>
      </c>
    </row>
    <row r="5225" spans="1:2">
      <c r="A5225" s="1" t="s">
        <v>5603</v>
      </c>
      <c r="B5225" t="s">
        <v>10382</v>
      </c>
    </row>
    <row r="5226" spans="1:2">
      <c r="A5226" s="1" t="s">
        <v>5604</v>
      </c>
      <c r="B5226" t="s">
        <v>901</v>
      </c>
    </row>
    <row r="5227" spans="1:2">
      <c r="A5227" s="1" t="s">
        <v>5605</v>
      </c>
      <c r="B5227" t="s">
        <v>10278</v>
      </c>
    </row>
    <row r="5228" spans="1:2">
      <c r="A5228" s="1" t="s">
        <v>5606</v>
      </c>
      <c r="B5228" t="s">
        <v>10256</v>
      </c>
    </row>
    <row r="5229" spans="1:2">
      <c r="A5229" s="1" t="s">
        <v>5607</v>
      </c>
      <c r="B5229" t="s">
        <v>10500</v>
      </c>
    </row>
    <row r="5230" spans="1:2">
      <c r="A5230" s="1" t="s">
        <v>5608</v>
      </c>
      <c r="B5230" t="s">
        <v>10234</v>
      </c>
    </row>
    <row r="5231" spans="1:2">
      <c r="A5231" s="1" t="s">
        <v>5609</v>
      </c>
      <c r="B5231" t="s">
        <v>10462</v>
      </c>
    </row>
    <row r="5232" spans="1:2">
      <c r="A5232" s="1" t="s">
        <v>5610</v>
      </c>
      <c r="B5232" t="s">
        <v>10438</v>
      </c>
    </row>
    <row r="5233" spans="1:2">
      <c r="A5233" s="1" t="s">
        <v>5611</v>
      </c>
      <c r="B5233" t="s">
        <v>10297</v>
      </c>
    </row>
    <row r="5234" spans="1:2">
      <c r="A5234" s="1" t="s">
        <v>5612</v>
      </c>
      <c r="B5234" t="s">
        <v>10286</v>
      </c>
    </row>
    <row r="5235" spans="1:2">
      <c r="A5235" s="1" t="s">
        <v>5613</v>
      </c>
      <c r="B5235" t="s">
        <v>10398</v>
      </c>
    </row>
    <row r="5236" spans="1:2">
      <c r="A5236" s="1" t="s">
        <v>5614</v>
      </c>
      <c r="B5236" t="s">
        <v>10371</v>
      </c>
    </row>
    <row r="5237" spans="1:2">
      <c r="A5237" s="1" t="s">
        <v>5615</v>
      </c>
      <c r="B5237" t="s">
        <v>10377</v>
      </c>
    </row>
    <row r="5238" spans="1:2">
      <c r="A5238" s="1" t="s">
        <v>5616</v>
      </c>
      <c r="B5238" t="s">
        <v>10365</v>
      </c>
    </row>
    <row r="5239" spans="1:2">
      <c r="A5239" s="1" t="s">
        <v>5617</v>
      </c>
      <c r="B5239" t="s">
        <v>901</v>
      </c>
    </row>
    <row r="5240" spans="1:2">
      <c r="A5240" s="1" t="s">
        <v>5618</v>
      </c>
      <c r="B5240" t="s">
        <v>10273</v>
      </c>
    </row>
    <row r="5241" spans="1:2">
      <c r="A5241" s="1" t="s">
        <v>5619</v>
      </c>
      <c r="B5241" t="s">
        <v>10240</v>
      </c>
    </row>
    <row r="5242" spans="1:2">
      <c r="A5242" s="1" t="s">
        <v>5620</v>
      </c>
      <c r="B5242" t="s">
        <v>10223</v>
      </c>
    </row>
    <row r="5243" spans="1:2">
      <c r="A5243" s="1" t="s">
        <v>5621</v>
      </c>
      <c r="B5243" t="s">
        <v>10230</v>
      </c>
    </row>
    <row r="5244" spans="1:2">
      <c r="A5244" s="1" t="s">
        <v>5622</v>
      </c>
      <c r="B5244" t="s">
        <v>10286</v>
      </c>
    </row>
    <row r="5245" spans="1:2">
      <c r="A5245" s="1" t="s">
        <v>166</v>
      </c>
      <c r="B5245" t="s">
        <v>10287</v>
      </c>
    </row>
    <row r="5246" spans="1:2">
      <c r="A5246" s="1" t="s">
        <v>528</v>
      </c>
      <c r="B5246" t="s">
        <v>10361</v>
      </c>
    </row>
    <row r="5247" spans="1:2">
      <c r="A5247" s="1" t="s">
        <v>5623</v>
      </c>
      <c r="B5247" t="s">
        <v>10388</v>
      </c>
    </row>
    <row r="5248" spans="1:2">
      <c r="A5248" s="1" t="s">
        <v>5624</v>
      </c>
      <c r="B5248" t="s">
        <v>10272</v>
      </c>
    </row>
    <row r="5249" spans="1:2">
      <c r="A5249" s="1" t="s">
        <v>5625</v>
      </c>
      <c r="B5249" t="s">
        <v>10245</v>
      </c>
    </row>
    <row r="5250" spans="1:2">
      <c r="A5250" s="1" t="s">
        <v>5626</v>
      </c>
      <c r="B5250" t="s">
        <v>10244</v>
      </c>
    </row>
    <row r="5251" spans="1:2">
      <c r="A5251" s="1" t="s">
        <v>5627</v>
      </c>
      <c r="B5251" t="s">
        <v>10272</v>
      </c>
    </row>
    <row r="5252" spans="1:2">
      <c r="A5252" s="1" t="s">
        <v>5628</v>
      </c>
      <c r="B5252" t="s">
        <v>10224</v>
      </c>
    </row>
    <row r="5253" spans="1:2">
      <c r="A5253" s="1" t="s">
        <v>5629</v>
      </c>
      <c r="B5253" t="s">
        <v>10239</v>
      </c>
    </row>
    <row r="5254" spans="1:2">
      <c r="A5254" s="1" t="s">
        <v>522</v>
      </c>
      <c r="B5254" t="s">
        <v>10397</v>
      </c>
    </row>
    <row r="5255" spans="1:2">
      <c r="A5255" s="1" t="s">
        <v>5630</v>
      </c>
      <c r="B5255" t="s">
        <v>10319</v>
      </c>
    </row>
    <row r="5256" spans="1:2">
      <c r="A5256" s="1" t="s">
        <v>5631</v>
      </c>
      <c r="B5256" t="s">
        <v>10387</v>
      </c>
    </row>
    <row r="5257" spans="1:2">
      <c r="A5257" s="1" t="s">
        <v>177</v>
      </c>
      <c r="B5257" t="s">
        <v>10322</v>
      </c>
    </row>
    <row r="5258" spans="1:2">
      <c r="A5258" s="1" t="s">
        <v>173</v>
      </c>
      <c r="B5258" t="s">
        <v>10510</v>
      </c>
    </row>
    <row r="5259" spans="1:2">
      <c r="A5259" s="1" t="s">
        <v>5632</v>
      </c>
      <c r="B5259" t="s">
        <v>10262</v>
      </c>
    </row>
    <row r="5260" spans="1:2">
      <c r="A5260" s="1" t="s">
        <v>5633</v>
      </c>
      <c r="B5260" t="s">
        <v>10240</v>
      </c>
    </row>
    <row r="5261" spans="1:2">
      <c r="A5261" s="1" t="s">
        <v>5634</v>
      </c>
      <c r="B5261" t="s">
        <v>901</v>
      </c>
    </row>
    <row r="5262" spans="1:2">
      <c r="A5262" s="1" t="s">
        <v>5635</v>
      </c>
      <c r="B5262" t="s">
        <v>10273</v>
      </c>
    </row>
    <row r="5263" spans="1:2">
      <c r="A5263" s="1" t="s">
        <v>5636</v>
      </c>
      <c r="B5263" t="s">
        <v>10225</v>
      </c>
    </row>
    <row r="5264" spans="1:2">
      <c r="A5264" s="1" t="s">
        <v>5637</v>
      </c>
      <c r="B5264" t="s">
        <v>10230</v>
      </c>
    </row>
    <row r="5265" spans="1:2">
      <c r="A5265" s="1" t="s">
        <v>113</v>
      </c>
      <c r="B5265" t="s">
        <v>10286</v>
      </c>
    </row>
    <row r="5266" spans="1:2">
      <c r="A5266" s="1" t="s">
        <v>5638</v>
      </c>
      <c r="B5266" t="s">
        <v>10315</v>
      </c>
    </row>
    <row r="5267" spans="1:2">
      <c r="A5267" s="1" t="s">
        <v>714</v>
      </c>
      <c r="B5267" t="s">
        <v>10239</v>
      </c>
    </row>
    <row r="5268" spans="1:2">
      <c r="A5268" s="1" t="s">
        <v>5639</v>
      </c>
      <c r="B5268" t="s">
        <v>901</v>
      </c>
    </row>
    <row r="5269" spans="1:2">
      <c r="A5269" s="1" t="s">
        <v>5640</v>
      </c>
      <c r="B5269" t="s">
        <v>10277</v>
      </c>
    </row>
    <row r="5270" spans="1:2">
      <c r="A5270" s="1" t="s">
        <v>5641</v>
      </c>
      <c r="B5270" t="s">
        <v>10345</v>
      </c>
    </row>
    <row r="5271" spans="1:2">
      <c r="A5271" s="1" t="s">
        <v>5642</v>
      </c>
      <c r="B5271" t="s">
        <v>10240</v>
      </c>
    </row>
    <row r="5272" spans="1:2">
      <c r="A5272" s="1" t="s">
        <v>5643</v>
      </c>
      <c r="B5272" t="s">
        <v>10329</v>
      </c>
    </row>
    <row r="5273" spans="1:2">
      <c r="A5273" s="1" t="s">
        <v>5644</v>
      </c>
      <c r="B5273" t="s">
        <v>10277</v>
      </c>
    </row>
    <row r="5274" spans="1:2">
      <c r="A5274" s="1" t="s">
        <v>5645</v>
      </c>
      <c r="B5274" t="s">
        <v>10343</v>
      </c>
    </row>
    <row r="5275" spans="1:2">
      <c r="A5275" s="1" t="s">
        <v>5646</v>
      </c>
      <c r="B5275" t="s">
        <v>10272</v>
      </c>
    </row>
    <row r="5276" spans="1:2">
      <c r="A5276" s="1" t="s">
        <v>5647</v>
      </c>
      <c r="B5276" t="s">
        <v>10245</v>
      </c>
    </row>
    <row r="5277" spans="1:2">
      <c r="A5277" s="1" t="s">
        <v>5648</v>
      </c>
      <c r="B5277" t="s">
        <v>10266</v>
      </c>
    </row>
    <row r="5278" spans="1:2">
      <c r="A5278" s="1" t="s">
        <v>5649</v>
      </c>
      <c r="B5278" t="s">
        <v>901</v>
      </c>
    </row>
    <row r="5279" spans="1:2">
      <c r="A5279" s="1" t="s">
        <v>5650</v>
      </c>
      <c r="B5279" t="s">
        <v>10230</v>
      </c>
    </row>
    <row r="5280" spans="1:2">
      <c r="A5280" s="1" t="s">
        <v>5651</v>
      </c>
      <c r="B5280" t="s">
        <v>10284</v>
      </c>
    </row>
    <row r="5281" spans="1:2">
      <c r="A5281" s="1" t="s">
        <v>5652</v>
      </c>
      <c r="B5281" t="s">
        <v>10234</v>
      </c>
    </row>
    <row r="5282" spans="1:2">
      <c r="A5282" s="1" t="s">
        <v>5653</v>
      </c>
      <c r="B5282" t="s">
        <v>10224</v>
      </c>
    </row>
    <row r="5283" spans="1:2">
      <c r="A5283" s="1" t="s">
        <v>5654</v>
      </c>
      <c r="B5283" t="s">
        <v>10453</v>
      </c>
    </row>
    <row r="5284" spans="1:2">
      <c r="A5284" s="1" t="s">
        <v>5655</v>
      </c>
      <c r="B5284" t="s">
        <v>10266</v>
      </c>
    </row>
    <row r="5285" spans="1:2">
      <c r="A5285" s="1" t="s">
        <v>5656</v>
      </c>
      <c r="B5285" t="s">
        <v>10343</v>
      </c>
    </row>
    <row r="5286" spans="1:2">
      <c r="A5286" s="1" t="s">
        <v>190</v>
      </c>
      <c r="B5286" t="s">
        <v>10239</v>
      </c>
    </row>
    <row r="5287" spans="1:2">
      <c r="A5287" s="1" t="s">
        <v>5657</v>
      </c>
      <c r="B5287" t="s">
        <v>10228</v>
      </c>
    </row>
    <row r="5288" spans="1:2">
      <c r="A5288" s="1" t="s">
        <v>70</v>
      </c>
      <c r="B5288" t="s">
        <v>10224</v>
      </c>
    </row>
    <row r="5289" spans="1:2">
      <c r="A5289" s="1" t="s">
        <v>5658</v>
      </c>
      <c r="B5289" t="s">
        <v>10286</v>
      </c>
    </row>
    <row r="5290" spans="1:2">
      <c r="A5290" s="1" t="s">
        <v>5659</v>
      </c>
      <c r="B5290" t="s">
        <v>10286</v>
      </c>
    </row>
    <row r="5291" spans="1:2">
      <c r="A5291" s="1" t="s">
        <v>432</v>
      </c>
      <c r="B5291" t="s">
        <v>10277</v>
      </c>
    </row>
    <row r="5292" spans="1:2">
      <c r="A5292" s="1" t="s">
        <v>467</v>
      </c>
      <c r="B5292" t="s">
        <v>10287</v>
      </c>
    </row>
    <row r="5293" spans="1:2">
      <c r="A5293" s="1" t="s">
        <v>5660</v>
      </c>
      <c r="B5293" t="s">
        <v>10331</v>
      </c>
    </row>
    <row r="5294" spans="1:2">
      <c r="A5294" s="1" t="s">
        <v>5661</v>
      </c>
      <c r="B5294" t="s">
        <v>10477</v>
      </c>
    </row>
    <row r="5295" spans="1:2">
      <c r="A5295" s="1" t="s">
        <v>5662</v>
      </c>
      <c r="B5295" t="s">
        <v>10277</v>
      </c>
    </row>
    <row r="5296" spans="1:2">
      <c r="A5296" s="1" t="s">
        <v>5663</v>
      </c>
      <c r="B5296" t="s">
        <v>10291</v>
      </c>
    </row>
    <row r="5297" spans="1:2">
      <c r="A5297" s="1" t="s">
        <v>5664</v>
      </c>
      <c r="B5297" t="s">
        <v>10345</v>
      </c>
    </row>
    <row r="5298" spans="1:2">
      <c r="A5298" s="1" t="s">
        <v>477</v>
      </c>
      <c r="B5298" t="s">
        <v>10234</v>
      </c>
    </row>
    <row r="5299" spans="1:2">
      <c r="A5299" s="1" t="s">
        <v>5665</v>
      </c>
      <c r="B5299" t="s">
        <v>10325</v>
      </c>
    </row>
    <row r="5300" spans="1:2">
      <c r="A5300" s="1" t="s">
        <v>5666</v>
      </c>
      <c r="B5300" t="s">
        <v>10230</v>
      </c>
    </row>
    <row r="5301" spans="1:2">
      <c r="A5301" s="1" t="s">
        <v>5667</v>
      </c>
      <c r="B5301" t="s">
        <v>10389</v>
      </c>
    </row>
    <row r="5302" spans="1:2">
      <c r="A5302" s="1" t="s">
        <v>5668</v>
      </c>
      <c r="B5302" t="s">
        <v>10253</v>
      </c>
    </row>
    <row r="5303" spans="1:2">
      <c r="A5303" s="1" t="s">
        <v>5669</v>
      </c>
      <c r="B5303" t="s">
        <v>10232</v>
      </c>
    </row>
    <row r="5304" spans="1:2">
      <c r="A5304" s="1" t="s">
        <v>5670</v>
      </c>
      <c r="B5304" t="s">
        <v>901</v>
      </c>
    </row>
    <row r="5305" spans="1:2">
      <c r="A5305" s="1" t="s">
        <v>5671</v>
      </c>
      <c r="B5305" t="s">
        <v>10345</v>
      </c>
    </row>
    <row r="5306" spans="1:2">
      <c r="A5306" s="1" t="s">
        <v>5672</v>
      </c>
      <c r="B5306" t="s">
        <v>10272</v>
      </c>
    </row>
    <row r="5307" spans="1:2">
      <c r="A5307" s="1" t="s">
        <v>5673</v>
      </c>
      <c r="B5307" t="s">
        <v>10323</v>
      </c>
    </row>
    <row r="5308" spans="1:2">
      <c r="A5308" s="1" t="s">
        <v>5674</v>
      </c>
      <c r="B5308" t="s">
        <v>10240</v>
      </c>
    </row>
    <row r="5309" spans="1:2">
      <c r="A5309" s="1" t="s">
        <v>239</v>
      </c>
      <c r="B5309" t="s">
        <v>10224</v>
      </c>
    </row>
    <row r="5310" spans="1:2">
      <c r="A5310" s="1" t="s">
        <v>506</v>
      </c>
      <c r="B5310" t="s">
        <v>10370</v>
      </c>
    </row>
    <row r="5311" spans="1:2">
      <c r="A5311" s="1" t="s">
        <v>5675</v>
      </c>
      <c r="B5311" t="s">
        <v>10234</v>
      </c>
    </row>
    <row r="5312" spans="1:2">
      <c r="A5312" s="1" t="s">
        <v>5676</v>
      </c>
      <c r="B5312" t="s">
        <v>10244</v>
      </c>
    </row>
    <row r="5313" spans="1:2">
      <c r="A5313" s="1" t="s">
        <v>5677</v>
      </c>
      <c r="B5313" t="s">
        <v>10413</v>
      </c>
    </row>
    <row r="5314" spans="1:2">
      <c r="A5314" s="1" t="s">
        <v>5678</v>
      </c>
      <c r="B5314" t="s">
        <v>10272</v>
      </c>
    </row>
    <row r="5315" spans="1:2">
      <c r="A5315" s="1" t="s">
        <v>5679</v>
      </c>
      <c r="B5315" t="s">
        <v>10378</v>
      </c>
    </row>
    <row r="5316" spans="1:2">
      <c r="A5316" s="1" t="s">
        <v>5680</v>
      </c>
      <c r="B5316" t="s">
        <v>10288</v>
      </c>
    </row>
    <row r="5317" spans="1:2">
      <c r="A5317" s="1" t="s">
        <v>5681</v>
      </c>
      <c r="B5317" t="s">
        <v>901</v>
      </c>
    </row>
    <row r="5318" spans="1:2">
      <c r="A5318" s="1" t="s">
        <v>5682</v>
      </c>
      <c r="B5318" t="s">
        <v>10224</v>
      </c>
    </row>
    <row r="5319" spans="1:2">
      <c r="A5319" s="1" t="s">
        <v>179</v>
      </c>
      <c r="B5319" t="s">
        <v>10260</v>
      </c>
    </row>
    <row r="5320" spans="1:2">
      <c r="A5320" s="1" t="s">
        <v>5683</v>
      </c>
      <c r="B5320" t="s">
        <v>901</v>
      </c>
    </row>
    <row r="5321" spans="1:2">
      <c r="A5321" s="1" t="s">
        <v>804</v>
      </c>
      <c r="B5321" t="s">
        <v>10322</v>
      </c>
    </row>
    <row r="5322" spans="1:2">
      <c r="A5322" s="1" t="s">
        <v>5684</v>
      </c>
      <c r="B5322" t="s">
        <v>10240</v>
      </c>
    </row>
    <row r="5323" spans="1:2">
      <c r="A5323" s="1" t="s">
        <v>5685</v>
      </c>
      <c r="B5323" t="s">
        <v>10439</v>
      </c>
    </row>
    <row r="5324" spans="1:2">
      <c r="A5324" s="1" t="s">
        <v>5686</v>
      </c>
      <c r="B5324" t="s">
        <v>10335</v>
      </c>
    </row>
    <row r="5325" spans="1:2">
      <c r="A5325" s="1" t="s">
        <v>5687</v>
      </c>
      <c r="B5325" t="s">
        <v>10266</v>
      </c>
    </row>
    <row r="5326" spans="1:2">
      <c r="A5326" s="1" t="s">
        <v>5688</v>
      </c>
      <c r="B5326" t="s">
        <v>10256</v>
      </c>
    </row>
    <row r="5327" spans="1:2">
      <c r="A5327" s="1" t="s">
        <v>5689</v>
      </c>
      <c r="B5327" t="s">
        <v>10405</v>
      </c>
    </row>
    <row r="5328" spans="1:2">
      <c r="A5328" s="1" t="s">
        <v>5690</v>
      </c>
      <c r="B5328" t="s">
        <v>10266</v>
      </c>
    </row>
    <row r="5329" spans="1:2">
      <c r="A5329" s="1" t="s">
        <v>5691</v>
      </c>
      <c r="B5329" t="s">
        <v>10286</v>
      </c>
    </row>
    <row r="5330" spans="1:2">
      <c r="A5330" s="1" t="s">
        <v>5692</v>
      </c>
      <c r="B5330" t="s">
        <v>10234</v>
      </c>
    </row>
    <row r="5331" spans="1:2">
      <c r="A5331" s="1" t="s">
        <v>5693</v>
      </c>
      <c r="B5331" t="s">
        <v>10281</v>
      </c>
    </row>
    <row r="5332" spans="1:2">
      <c r="A5332" s="1" t="s">
        <v>5694</v>
      </c>
      <c r="B5332" t="s">
        <v>10292</v>
      </c>
    </row>
    <row r="5333" spans="1:2">
      <c r="A5333" s="1" t="s">
        <v>5695</v>
      </c>
      <c r="B5333" t="s">
        <v>10234</v>
      </c>
    </row>
    <row r="5334" spans="1:2">
      <c r="A5334" s="1" t="s">
        <v>5696</v>
      </c>
      <c r="B5334" t="s">
        <v>10230</v>
      </c>
    </row>
    <row r="5335" spans="1:2">
      <c r="A5335" s="1" t="s">
        <v>5697</v>
      </c>
      <c r="B5335" t="s">
        <v>10282</v>
      </c>
    </row>
    <row r="5336" spans="1:2">
      <c r="A5336" s="1" t="s">
        <v>5698</v>
      </c>
      <c r="B5336" t="s">
        <v>901</v>
      </c>
    </row>
    <row r="5337" spans="1:2">
      <c r="A5337" s="1" t="s">
        <v>5699</v>
      </c>
      <c r="B5337" t="s">
        <v>10423</v>
      </c>
    </row>
    <row r="5338" spans="1:2">
      <c r="A5338" s="1" t="s">
        <v>5700</v>
      </c>
      <c r="B5338" t="s">
        <v>10267</v>
      </c>
    </row>
    <row r="5339" spans="1:2">
      <c r="A5339" s="1" t="s">
        <v>5701</v>
      </c>
      <c r="B5339" t="s">
        <v>10373</v>
      </c>
    </row>
    <row r="5340" spans="1:2">
      <c r="A5340" s="1" t="s">
        <v>5702</v>
      </c>
      <c r="B5340" t="s">
        <v>10240</v>
      </c>
    </row>
    <row r="5341" spans="1:2">
      <c r="A5341" s="1" t="s">
        <v>5703</v>
      </c>
      <c r="B5341" t="s">
        <v>10240</v>
      </c>
    </row>
    <row r="5342" spans="1:2">
      <c r="A5342" s="1" t="s">
        <v>5704</v>
      </c>
      <c r="B5342" t="s">
        <v>10284</v>
      </c>
    </row>
    <row r="5343" spans="1:2">
      <c r="A5343" s="1" t="s">
        <v>369</v>
      </c>
      <c r="B5343" t="s">
        <v>10352</v>
      </c>
    </row>
    <row r="5344" spans="1:2">
      <c r="A5344" s="1" t="s">
        <v>5705</v>
      </c>
      <c r="B5344" t="s">
        <v>10229</v>
      </c>
    </row>
    <row r="5345" spans="1:2">
      <c r="A5345" s="1" t="s">
        <v>192</v>
      </c>
      <c r="B5345" t="s">
        <v>10240</v>
      </c>
    </row>
    <row r="5346" spans="1:2">
      <c r="A5346" s="1" t="s">
        <v>87</v>
      </c>
      <c r="B5346" t="s">
        <v>10248</v>
      </c>
    </row>
    <row r="5347" spans="1:2">
      <c r="A5347" s="1" t="s">
        <v>5706</v>
      </c>
      <c r="B5347" t="s">
        <v>10312</v>
      </c>
    </row>
    <row r="5348" spans="1:2">
      <c r="A5348" s="1" t="s">
        <v>5707</v>
      </c>
      <c r="B5348" t="s">
        <v>10240</v>
      </c>
    </row>
    <row r="5349" spans="1:2">
      <c r="A5349" s="1" t="s">
        <v>5708</v>
      </c>
      <c r="B5349" t="s">
        <v>10277</v>
      </c>
    </row>
    <row r="5350" spans="1:2">
      <c r="A5350" s="1" t="s">
        <v>5709</v>
      </c>
      <c r="B5350" t="s">
        <v>10283</v>
      </c>
    </row>
    <row r="5351" spans="1:2">
      <c r="A5351" s="1" t="s">
        <v>698</v>
      </c>
      <c r="B5351" t="s">
        <v>10364</v>
      </c>
    </row>
    <row r="5352" spans="1:2">
      <c r="A5352" s="1" t="s">
        <v>5710</v>
      </c>
      <c r="B5352" t="s">
        <v>10399</v>
      </c>
    </row>
    <row r="5353" spans="1:2">
      <c r="A5353" s="1" t="s">
        <v>5711</v>
      </c>
      <c r="B5353" t="s">
        <v>10266</v>
      </c>
    </row>
    <row r="5354" spans="1:2">
      <c r="A5354" s="1" t="s">
        <v>493</v>
      </c>
      <c r="B5354" t="s">
        <v>10277</v>
      </c>
    </row>
    <row r="5355" spans="1:2">
      <c r="A5355" s="1" t="s">
        <v>5712</v>
      </c>
      <c r="B5355" t="s">
        <v>10234</v>
      </c>
    </row>
    <row r="5356" spans="1:2">
      <c r="A5356" s="1" t="s">
        <v>5713</v>
      </c>
      <c r="B5356" t="s">
        <v>10290</v>
      </c>
    </row>
    <row r="5357" spans="1:2">
      <c r="A5357" s="1" t="s">
        <v>5714</v>
      </c>
      <c r="B5357" t="s">
        <v>10272</v>
      </c>
    </row>
    <row r="5358" spans="1:2">
      <c r="A5358" s="1" t="s">
        <v>5715</v>
      </c>
      <c r="B5358" t="s">
        <v>10414</v>
      </c>
    </row>
    <row r="5359" spans="1:2">
      <c r="A5359" s="1" t="s">
        <v>5716</v>
      </c>
      <c r="B5359" t="s">
        <v>10245</v>
      </c>
    </row>
    <row r="5360" spans="1:2">
      <c r="A5360" s="1" t="s">
        <v>92</v>
      </c>
      <c r="B5360" t="s">
        <v>10287</v>
      </c>
    </row>
    <row r="5361" spans="1:2">
      <c r="A5361" s="1" t="s">
        <v>5717</v>
      </c>
      <c r="B5361" t="s">
        <v>10277</v>
      </c>
    </row>
    <row r="5362" spans="1:2">
      <c r="A5362" s="1" t="s">
        <v>5718</v>
      </c>
      <c r="B5362" t="s">
        <v>10272</v>
      </c>
    </row>
    <row r="5363" spans="1:2">
      <c r="A5363" s="1" t="s">
        <v>5719</v>
      </c>
      <c r="B5363" t="s">
        <v>10394</v>
      </c>
    </row>
    <row r="5364" spans="1:2">
      <c r="A5364" s="1" t="s">
        <v>5720</v>
      </c>
      <c r="B5364" t="s">
        <v>901</v>
      </c>
    </row>
    <row r="5365" spans="1:2">
      <c r="A5365" s="1" t="s">
        <v>5721</v>
      </c>
      <c r="B5365" t="s">
        <v>10245</v>
      </c>
    </row>
    <row r="5366" spans="1:2">
      <c r="A5366" s="1" t="s">
        <v>5722</v>
      </c>
      <c r="B5366" t="s">
        <v>10411</v>
      </c>
    </row>
    <row r="5367" spans="1:2">
      <c r="A5367" s="1" t="s">
        <v>5723</v>
      </c>
      <c r="B5367" t="s">
        <v>10403</v>
      </c>
    </row>
    <row r="5368" spans="1:2">
      <c r="A5368" s="1" t="s">
        <v>5724</v>
      </c>
      <c r="B5368" t="s">
        <v>10230</v>
      </c>
    </row>
    <row r="5369" spans="1:2">
      <c r="A5369" s="1" t="s">
        <v>5725</v>
      </c>
      <c r="B5369" t="s">
        <v>10257</v>
      </c>
    </row>
    <row r="5370" spans="1:2">
      <c r="A5370" s="1" t="s">
        <v>57</v>
      </c>
      <c r="B5370" t="s">
        <v>10272</v>
      </c>
    </row>
    <row r="5371" spans="1:2">
      <c r="A5371" s="1" t="s">
        <v>5726</v>
      </c>
      <c r="B5371" t="s">
        <v>10345</v>
      </c>
    </row>
    <row r="5372" spans="1:2">
      <c r="A5372" s="1" t="s">
        <v>5727</v>
      </c>
      <c r="B5372" t="s">
        <v>901</v>
      </c>
    </row>
    <row r="5373" spans="1:2">
      <c r="A5373" s="1" t="s">
        <v>5728</v>
      </c>
      <c r="B5373" t="s">
        <v>10456</v>
      </c>
    </row>
    <row r="5374" spans="1:2">
      <c r="A5374" s="1" t="s">
        <v>5729</v>
      </c>
      <c r="B5374" t="s">
        <v>10230</v>
      </c>
    </row>
    <row r="5375" spans="1:2">
      <c r="A5375" s="1" t="s">
        <v>5730</v>
      </c>
      <c r="B5375" t="s">
        <v>10272</v>
      </c>
    </row>
    <row r="5376" spans="1:2">
      <c r="A5376" s="1" t="s">
        <v>781</v>
      </c>
      <c r="B5376" t="s">
        <v>10234</v>
      </c>
    </row>
    <row r="5377" spans="1:2">
      <c r="A5377" s="1" t="s">
        <v>5731</v>
      </c>
      <c r="B5377" t="s">
        <v>10256</v>
      </c>
    </row>
    <row r="5378" spans="1:2">
      <c r="A5378" s="1" t="s">
        <v>5732</v>
      </c>
      <c r="B5378" t="s">
        <v>10231</v>
      </c>
    </row>
    <row r="5379" spans="1:2">
      <c r="A5379" s="1" t="s">
        <v>5733</v>
      </c>
      <c r="B5379" t="s">
        <v>10311</v>
      </c>
    </row>
    <row r="5380" spans="1:2">
      <c r="A5380" s="1" t="s">
        <v>5734</v>
      </c>
      <c r="B5380" t="s">
        <v>10239</v>
      </c>
    </row>
    <row r="5381" spans="1:2">
      <c r="A5381" s="1" t="s">
        <v>75</v>
      </c>
      <c r="B5381" t="s">
        <v>10255</v>
      </c>
    </row>
    <row r="5382" spans="1:2">
      <c r="A5382" s="1" t="s">
        <v>5735</v>
      </c>
      <c r="B5382" t="s">
        <v>10277</v>
      </c>
    </row>
    <row r="5383" spans="1:2">
      <c r="A5383" s="1" t="s">
        <v>5736</v>
      </c>
      <c r="B5383" t="s">
        <v>10411</v>
      </c>
    </row>
    <row r="5384" spans="1:2">
      <c r="A5384" s="1" t="s">
        <v>5737</v>
      </c>
      <c r="B5384" t="s">
        <v>10348</v>
      </c>
    </row>
    <row r="5385" spans="1:2">
      <c r="A5385" s="1" t="s">
        <v>5738</v>
      </c>
      <c r="B5385" t="s">
        <v>10282</v>
      </c>
    </row>
    <row r="5386" spans="1:2">
      <c r="A5386" s="1" t="s">
        <v>5739</v>
      </c>
      <c r="B5386" t="s">
        <v>10272</v>
      </c>
    </row>
    <row r="5387" spans="1:2">
      <c r="A5387" s="1" t="s">
        <v>360</v>
      </c>
      <c r="B5387" t="s">
        <v>10223</v>
      </c>
    </row>
    <row r="5388" spans="1:2">
      <c r="A5388" s="1" t="s">
        <v>5740</v>
      </c>
      <c r="B5388" t="s">
        <v>10252</v>
      </c>
    </row>
    <row r="5389" spans="1:2">
      <c r="A5389" s="1" t="s">
        <v>5741</v>
      </c>
      <c r="B5389" t="s">
        <v>10241</v>
      </c>
    </row>
    <row r="5390" spans="1:2">
      <c r="A5390" s="1" t="s">
        <v>5742</v>
      </c>
      <c r="B5390" t="s">
        <v>10234</v>
      </c>
    </row>
    <row r="5391" spans="1:2">
      <c r="A5391" s="1" t="s">
        <v>5743</v>
      </c>
      <c r="B5391" t="s">
        <v>10434</v>
      </c>
    </row>
    <row r="5392" spans="1:2">
      <c r="A5392" s="1" t="s">
        <v>5744</v>
      </c>
      <c r="B5392" t="s">
        <v>10291</v>
      </c>
    </row>
    <row r="5393" spans="1:2">
      <c r="A5393" s="1" t="s">
        <v>5745</v>
      </c>
      <c r="B5393" t="s">
        <v>10394</v>
      </c>
    </row>
    <row r="5394" spans="1:2">
      <c r="A5394" s="1" t="s">
        <v>5746</v>
      </c>
      <c r="B5394" t="s">
        <v>10262</v>
      </c>
    </row>
    <row r="5395" spans="1:2">
      <c r="A5395" s="1" t="s">
        <v>5747</v>
      </c>
      <c r="B5395" t="s">
        <v>10229</v>
      </c>
    </row>
    <row r="5396" spans="1:2">
      <c r="A5396" s="1" t="s">
        <v>5748</v>
      </c>
      <c r="B5396" t="s">
        <v>901</v>
      </c>
    </row>
    <row r="5397" spans="1:2">
      <c r="A5397" s="1" t="s">
        <v>5749</v>
      </c>
      <c r="B5397" t="s">
        <v>10276</v>
      </c>
    </row>
    <row r="5398" spans="1:2">
      <c r="A5398" s="1" t="s">
        <v>5750</v>
      </c>
      <c r="B5398" t="s">
        <v>10445</v>
      </c>
    </row>
    <row r="5399" spans="1:2">
      <c r="A5399" s="1" t="s">
        <v>5751</v>
      </c>
      <c r="B5399" t="s">
        <v>10292</v>
      </c>
    </row>
    <row r="5400" spans="1:2">
      <c r="A5400" s="1" t="s">
        <v>5752</v>
      </c>
      <c r="B5400" t="s">
        <v>10511</v>
      </c>
    </row>
    <row r="5401" spans="1:2">
      <c r="A5401" s="1" t="s">
        <v>5753</v>
      </c>
      <c r="B5401" t="s">
        <v>10224</v>
      </c>
    </row>
    <row r="5402" spans="1:2">
      <c r="A5402" s="1" t="s">
        <v>5754</v>
      </c>
      <c r="B5402" t="s">
        <v>901</v>
      </c>
    </row>
    <row r="5403" spans="1:2">
      <c r="A5403" s="1" t="s">
        <v>5755</v>
      </c>
      <c r="B5403" t="s">
        <v>10230</v>
      </c>
    </row>
    <row r="5404" spans="1:2">
      <c r="A5404" s="1" t="s">
        <v>5756</v>
      </c>
      <c r="B5404" t="s">
        <v>10272</v>
      </c>
    </row>
    <row r="5405" spans="1:2">
      <c r="A5405" s="1" t="s">
        <v>687</v>
      </c>
      <c r="B5405" t="s">
        <v>10442</v>
      </c>
    </row>
    <row r="5406" spans="1:2">
      <c r="A5406" s="1" t="s">
        <v>5757</v>
      </c>
      <c r="B5406" t="s">
        <v>10230</v>
      </c>
    </row>
    <row r="5407" spans="1:2">
      <c r="A5407" s="1" t="s">
        <v>5758</v>
      </c>
      <c r="B5407" t="s">
        <v>10343</v>
      </c>
    </row>
    <row r="5408" spans="1:2">
      <c r="A5408" s="1" t="s">
        <v>5759</v>
      </c>
      <c r="B5408" t="s">
        <v>10319</v>
      </c>
    </row>
    <row r="5409" spans="1:2">
      <c r="A5409" s="1" t="s">
        <v>5760</v>
      </c>
      <c r="B5409" t="s">
        <v>10272</v>
      </c>
    </row>
    <row r="5410" spans="1:2">
      <c r="A5410" s="1" t="s">
        <v>5761</v>
      </c>
      <c r="B5410" t="s">
        <v>10283</v>
      </c>
    </row>
    <row r="5411" spans="1:2">
      <c r="A5411" s="1" t="s">
        <v>5762</v>
      </c>
      <c r="B5411" t="s">
        <v>10383</v>
      </c>
    </row>
    <row r="5412" spans="1:2">
      <c r="A5412" s="1" t="s">
        <v>5763</v>
      </c>
      <c r="B5412" t="s">
        <v>10437</v>
      </c>
    </row>
    <row r="5413" spans="1:2">
      <c r="A5413" s="1" t="s">
        <v>5764</v>
      </c>
      <c r="B5413" t="s">
        <v>10225</v>
      </c>
    </row>
    <row r="5414" spans="1:2">
      <c r="A5414" s="1" t="s">
        <v>5765</v>
      </c>
      <c r="B5414" t="s">
        <v>10399</v>
      </c>
    </row>
    <row r="5415" spans="1:2">
      <c r="A5415" s="1" t="s">
        <v>5766</v>
      </c>
      <c r="B5415" t="s">
        <v>10223</v>
      </c>
    </row>
    <row r="5416" spans="1:2">
      <c r="A5416" s="1" t="s">
        <v>5767</v>
      </c>
      <c r="B5416" t="s">
        <v>10272</v>
      </c>
    </row>
    <row r="5417" spans="1:2">
      <c r="A5417" s="1" t="s">
        <v>5768</v>
      </c>
      <c r="B5417" t="s">
        <v>901</v>
      </c>
    </row>
    <row r="5418" spans="1:2">
      <c r="A5418" s="1" t="s">
        <v>533</v>
      </c>
      <c r="B5418" t="s">
        <v>10280</v>
      </c>
    </row>
    <row r="5419" spans="1:2">
      <c r="A5419" s="1" t="s">
        <v>5769</v>
      </c>
      <c r="B5419" t="s">
        <v>10242</v>
      </c>
    </row>
    <row r="5420" spans="1:2">
      <c r="A5420" s="1" t="s">
        <v>5770</v>
      </c>
      <c r="B5420" t="s">
        <v>10293</v>
      </c>
    </row>
    <row r="5421" spans="1:2">
      <c r="A5421" s="1" t="s">
        <v>5771</v>
      </c>
      <c r="B5421" t="s">
        <v>10273</v>
      </c>
    </row>
    <row r="5422" spans="1:2">
      <c r="A5422" s="1" t="s">
        <v>5772</v>
      </c>
      <c r="B5422" t="s">
        <v>10266</v>
      </c>
    </row>
    <row r="5423" spans="1:2">
      <c r="A5423" s="1" t="s">
        <v>5773</v>
      </c>
      <c r="B5423" t="s">
        <v>10230</v>
      </c>
    </row>
    <row r="5424" spans="1:2">
      <c r="A5424" s="1" t="s">
        <v>5774</v>
      </c>
      <c r="B5424" t="s">
        <v>10258</v>
      </c>
    </row>
    <row r="5425" spans="1:2">
      <c r="A5425" s="1" t="s">
        <v>5775</v>
      </c>
      <c r="B5425" t="s">
        <v>10292</v>
      </c>
    </row>
    <row r="5426" spans="1:2">
      <c r="A5426" s="1" t="s">
        <v>5776</v>
      </c>
      <c r="B5426" t="s">
        <v>10273</v>
      </c>
    </row>
    <row r="5427" spans="1:2">
      <c r="A5427" s="1" t="s">
        <v>5777</v>
      </c>
      <c r="B5427" t="s">
        <v>10230</v>
      </c>
    </row>
    <row r="5428" spans="1:2">
      <c r="A5428" s="1" t="s">
        <v>5778</v>
      </c>
      <c r="B5428" t="s">
        <v>10288</v>
      </c>
    </row>
    <row r="5429" spans="1:2">
      <c r="A5429" s="1" t="s">
        <v>5779</v>
      </c>
      <c r="B5429" t="s">
        <v>10240</v>
      </c>
    </row>
    <row r="5430" spans="1:2">
      <c r="A5430" s="1" t="s">
        <v>5780</v>
      </c>
      <c r="B5430" t="s">
        <v>10311</v>
      </c>
    </row>
    <row r="5431" spans="1:2">
      <c r="A5431" s="1" t="s">
        <v>5781</v>
      </c>
      <c r="B5431" t="s">
        <v>10255</v>
      </c>
    </row>
    <row r="5432" spans="1:2">
      <c r="A5432" s="1" t="s">
        <v>5782</v>
      </c>
      <c r="B5432" t="s">
        <v>10401</v>
      </c>
    </row>
    <row r="5433" spans="1:2">
      <c r="A5433" s="1" t="s">
        <v>5783</v>
      </c>
      <c r="B5433" t="s">
        <v>10441</v>
      </c>
    </row>
    <row r="5434" spans="1:2">
      <c r="A5434" s="1" t="s">
        <v>5784</v>
      </c>
      <c r="B5434" t="s">
        <v>10272</v>
      </c>
    </row>
    <row r="5435" spans="1:2">
      <c r="A5435" s="1" t="s">
        <v>5785</v>
      </c>
      <c r="B5435" t="s">
        <v>10240</v>
      </c>
    </row>
    <row r="5436" spans="1:2">
      <c r="A5436" s="1" t="s">
        <v>5786</v>
      </c>
      <c r="B5436" t="s">
        <v>10234</v>
      </c>
    </row>
    <row r="5437" spans="1:2">
      <c r="A5437" s="1" t="s">
        <v>5787</v>
      </c>
      <c r="B5437" t="s">
        <v>901</v>
      </c>
    </row>
    <row r="5438" spans="1:2">
      <c r="A5438" s="1" t="s">
        <v>266</v>
      </c>
      <c r="B5438" t="s">
        <v>10234</v>
      </c>
    </row>
    <row r="5439" spans="1:2">
      <c r="A5439" s="1" t="s">
        <v>5788</v>
      </c>
      <c r="B5439" t="s">
        <v>10230</v>
      </c>
    </row>
    <row r="5440" spans="1:2">
      <c r="A5440" s="1" t="s">
        <v>5789</v>
      </c>
      <c r="B5440" t="s">
        <v>10230</v>
      </c>
    </row>
    <row r="5441" spans="1:2">
      <c r="A5441" s="1" t="s">
        <v>5790</v>
      </c>
      <c r="B5441" t="s">
        <v>10236</v>
      </c>
    </row>
    <row r="5442" spans="1:2">
      <c r="A5442" s="1" t="s">
        <v>5791</v>
      </c>
      <c r="B5442" t="s">
        <v>10459</v>
      </c>
    </row>
    <row r="5443" spans="1:2">
      <c r="A5443" s="1" t="s">
        <v>5792</v>
      </c>
      <c r="B5443" t="s">
        <v>10272</v>
      </c>
    </row>
    <row r="5444" spans="1:2">
      <c r="A5444" s="1" t="s">
        <v>5793</v>
      </c>
      <c r="B5444" t="s">
        <v>10312</v>
      </c>
    </row>
    <row r="5445" spans="1:2">
      <c r="A5445" s="1" t="s">
        <v>167</v>
      </c>
      <c r="B5445" t="s">
        <v>10262</v>
      </c>
    </row>
    <row r="5446" spans="1:2">
      <c r="A5446" s="1" t="s">
        <v>5794</v>
      </c>
      <c r="B5446" t="s">
        <v>10319</v>
      </c>
    </row>
    <row r="5447" spans="1:2">
      <c r="A5447" s="1" t="s">
        <v>5795</v>
      </c>
      <c r="B5447" t="s">
        <v>10224</v>
      </c>
    </row>
    <row r="5448" spans="1:2">
      <c r="A5448" s="1" t="s">
        <v>5796</v>
      </c>
      <c r="B5448" t="s">
        <v>10399</v>
      </c>
    </row>
    <row r="5449" spans="1:2">
      <c r="A5449" s="1" t="s">
        <v>5797</v>
      </c>
      <c r="B5449" t="s">
        <v>10272</v>
      </c>
    </row>
    <row r="5450" spans="1:2">
      <c r="A5450" s="1" t="s">
        <v>5798</v>
      </c>
      <c r="B5450" t="s">
        <v>901</v>
      </c>
    </row>
    <row r="5451" spans="1:2">
      <c r="A5451" s="1" t="s">
        <v>5799</v>
      </c>
      <c r="B5451" t="s">
        <v>10390</v>
      </c>
    </row>
    <row r="5452" spans="1:2">
      <c r="A5452" s="1" t="s">
        <v>5800</v>
      </c>
      <c r="B5452" t="s">
        <v>10499</v>
      </c>
    </row>
    <row r="5453" spans="1:2">
      <c r="A5453" s="1" t="s">
        <v>5801</v>
      </c>
      <c r="B5453" t="s">
        <v>10317</v>
      </c>
    </row>
    <row r="5454" spans="1:2">
      <c r="A5454" s="1" t="s">
        <v>5802</v>
      </c>
      <c r="B5454" t="s">
        <v>10394</v>
      </c>
    </row>
    <row r="5455" spans="1:2">
      <c r="A5455" s="1" t="s">
        <v>5803</v>
      </c>
      <c r="B5455" t="s">
        <v>10277</v>
      </c>
    </row>
    <row r="5456" spans="1:2">
      <c r="A5456" s="1" t="s">
        <v>5804</v>
      </c>
      <c r="B5456" t="s">
        <v>10325</v>
      </c>
    </row>
    <row r="5457" spans="1:2">
      <c r="A5457" s="1" t="s">
        <v>5805</v>
      </c>
      <c r="B5457" t="s">
        <v>10377</v>
      </c>
    </row>
    <row r="5458" spans="1:2">
      <c r="A5458" s="1" t="s">
        <v>5806</v>
      </c>
      <c r="B5458" t="s">
        <v>901</v>
      </c>
    </row>
    <row r="5459" spans="1:2">
      <c r="A5459" s="1" t="s">
        <v>5807</v>
      </c>
      <c r="B5459" t="s">
        <v>10292</v>
      </c>
    </row>
    <row r="5460" spans="1:2">
      <c r="A5460" s="1" t="s">
        <v>5808</v>
      </c>
      <c r="B5460" t="s">
        <v>10283</v>
      </c>
    </row>
    <row r="5461" spans="1:2">
      <c r="A5461" s="1" t="s">
        <v>5809</v>
      </c>
      <c r="B5461" t="s">
        <v>10399</v>
      </c>
    </row>
    <row r="5462" spans="1:2">
      <c r="A5462" s="1" t="s">
        <v>5810</v>
      </c>
      <c r="B5462" t="s">
        <v>10255</v>
      </c>
    </row>
    <row r="5463" spans="1:2">
      <c r="A5463" s="1" t="s">
        <v>5811</v>
      </c>
      <c r="B5463" t="s">
        <v>10239</v>
      </c>
    </row>
    <row r="5464" spans="1:2">
      <c r="A5464" s="1" t="s">
        <v>5812</v>
      </c>
      <c r="B5464" t="s">
        <v>10353</v>
      </c>
    </row>
    <row r="5465" spans="1:2">
      <c r="A5465" s="1" t="s">
        <v>439</v>
      </c>
      <c r="B5465" t="s">
        <v>10257</v>
      </c>
    </row>
    <row r="5466" spans="1:2">
      <c r="A5466" s="1" t="s">
        <v>5813</v>
      </c>
      <c r="B5466" t="s">
        <v>10242</v>
      </c>
    </row>
    <row r="5467" spans="1:2">
      <c r="A5467" s="1" t="s">
        <v>5814</v>
      </c>
      <c r="B5467" t="s">
        <v>10272</v>
      </c>
    </row>
    <row r="5468" spans="1:2">
      <c r="A5468" s="1" t="s">
        <v>5815</v>
      </c>
      <c r="B5468" t="s">
        <v>10298</v>
      </c>
    </row>
    <row r="5469" spans="1:2">
      <c r="A5469" s="1" t="s">
        <v>100</v>
      </c>
      <c r="B5469" t="s">
        <v>10234</v>
      </c>
    </row>
    <row r="5470" spans="1:2">
      <c r="A5470" s="1" t="s">
        <v>5816</v>
      </c>
      <c r="B5470" t="s">
        <v>10432</v>
      </c>
    </row>
    <row r="5471" spans="1:2">
      <c r="A5471" s="1" t="s">
        <v>5817</v>
      </c>
      <c r="B5471" t="s">
        <v>10399</v>
      </c>
    </row>
    <row r="5472" spans="1:2">
      <c r="A5472" s="1" t="s">
        <v>5818</v>
      </c>
      <c r="B5472" t="s">
        <v>10234</v>
      </c>
    </row>
    <row r="5473" spans="1:2">
      <c r="A5473" s="1" t="s">
        <v>5819</v>
      </c>
      <c r="B5473" t="s">
        <v>10240</v>
      </c>
    </row>
    <row r="5474" spans="1:2">
      <c r="A5474" s="1" t="s">
        <v>5820</v>
      </c>
      <c r="B5474" t="s">
        <v>10393</v>
      </c>
    </row>
    <row r="5475" spans="1:2">
      <c r="A5475" s="1" t="s">
        <v>5821</v>
      </c>
      <c r="B5475" t="s">
        <v>10240</v>
      </c>
    </row>
    <row r="5476" spans="1:2">
      <c r="A5476" s="1" t="s">
        <v>5822</v>
      </c>
      <c r="B5476" t="s">
        <v>10231</v>
      </c>
    </row>
    <row r="5477" spans="1:2">
      <c r="A5477" s="1" t="s">
        <v>5823</v>
      </c>
      <c r="B5477" t="s">
        <v>10229</v>
      </c>
    </row>
    <row r="5478" spans="1:2">
      <c r="A5478" s="1" t="s">
        <v>5824</v>
      </c>
      <c r="B5478" t="s">
        <v>10291</v>
      </c>
    </row>
    <row r="5479" spans="1:2">
      <c r="A5479" s="1" t="s">
        <v>5825</v>
      </c>
      <c r="B5479" t="s">
        <v>10345</v>
      </c>
    </row>
    <row r="5480" spans="1:2">
      <c r="A5480" s="1" t="s">
        <v>735</v>
      </c>
      <c r="B5480" t="s">
        <v>10459</v>
      </c>
    </row>
    <row r="5481" spans="1:2">
      <c r="A5481" s="1" t="s">
        <v>5826</v>
      </c>
      <c r="B5481" t="s">
        <v>10305</v>
      </c>
    </row>
    <row r="5482" spans="1:2">
      <c r="A5482" s="1" t="s">
        <v>5827</v>
      </c>
      <c r="B5482" t="s">
        <v>10303</v>
      </c>
    </row>
    <row r="5483" spans="1:2">
      <c r="A5483" s="1" t="s">
        <v>5828</v>
      </c>
      <c r="B5483" t="s">
        <v>10245</v>
      </c>
    </row>
    <row r="5484" spans="1:2">
      <c r="A5484" s="1" t="s">
        <v>5829</v>
      </c>
      <c r="B5484" t="s">
        <v>10323</v>
      </c>
    </row>
    <row r="5485" spans="1:2">
      <c r="A5485" s="1" t="s">
        <v>5830</v>
      </c>
      <c r="B5485" t="s">
        <v>10261</v>
      </c>
    </row>
    <row r="5486" spans="1:2">
      <c r="A5486" s="1" t="s">
        <v>5831</v>
      </c>
      <c r="B5486" t="s">
        <v>10267</v>
      </c>
    </row>
    <row r="5487" spans="1:2">
      <c r="A5487" s="1" t="s">
        <v>5832</v>
      </c>
      <c r="B5487" t="s">
        <v>10290</v>
      </c>
    </row>
    <row r="5488" spans="1:2">
      <c r="A5488" s="1" t="s">
        <v>5833</v>
      </c>
      <c r="B5488" t="s">
        <v>10415</v>
      </c>
    </row>
    <row r="5489" spans="1:2">
      <c r="A5489" s="1" t="s">
        <v>5834</v>
      </c>
      <c r="B5489" t="s">
        <v>10287</v>
      </c>
    </row>
    <row r="5490" spans="1:2">
      <c r="A5490" s="1" t="s">
        <v>5835</v>
      </c>
      <c r="B5490" t="s">
        <v>10232</v>
      </c>
    </row>
    <row r="5491" spans="1:2">
      <c r="A5491" s="1" t="s">
        <v>5836</v>
      </c>
      <c r="B5491" t="s">
        <v>10287</v>
      </c>
    </row>
    <row r="5492" spans="1:2">
      <c r="A5492" s="1" t="s">
        <v>5837</v>
      </c>
      <c r="B5492" t="s">
        <v>10289</v>
      </c>
    </row>
    <row r="5493" spans="1:2">
      <c r="A5493" s="1" t="s">
        <v>5838</v>
      </c>
      <c r="B5493" t="s">
        <v>10350</v>
      </c>
    </row>
    <row r="5494" spans="1:2">
      <c r="A5494" s="1" t="s">
        <v>5839</v>
      </c>
      <c r="B5494" t="s">
        <v>10240</v>
      </c>
    </row>
    <row r="5495" spans="1:2">
      <c r="A5495" s="1" t="s">
        <v>5840</v>
      </c>
      <c r="B5495" t="s">
        <v>10262</v>
      </c>
    </row>
    <row r="5496" spans="1:2">
      <c r="A5496" s="1" t="s">
        <v>5841</v>
      </c>
      <c r="B5496" t="s">
        <v>10343</v>
      </c>
    </row>
    <row r="5497" spans="1:2">
      <c r="A5497" s="1" t="s">
        <v>5842</v>
      </c>
      <c r="B5497" t="s">
        <v>10262</v>
      </c>
    </row>
    <row r="5498" spans="1:2">
      <c r="A5498" s="1" t="s">
        <v>5843</v>
      </c>
      <c r="B5498" t="s">
        <v>10266</v>
      </c>
    </row>
    <row r="5499" spans="1:2">
      <c r="A5499" s="1" t="s">
        <v>5844</v>
      </c>
      <c r="B5499" t="s">
        <v>10234</v>
      </c>
    </row>
    <row r="5500" spans="1:2">
      <c r="A5500" s="1" t="s">
        <v>5845</v>
      </c>
      <c r="B5500" t="s">
        <v>10369</v>
      </c>
    </row>
    <row r="5501" spans="1:2">
      <c r="A5501" s="1" t="s">
        <v>5846</v>
      </c>
      <c r="B5501" t="s">
        <v>10512</v>
      </c>
    </row>
    <row r="5502" spans="1:2">
      <c r="A5502" s="1" t="s">
        <v>5847</v>
      </c>
      <c r="B5502" t="s">
        <v>10312</v>
      </c>
    </row>
    <row r="5503" spans="1:2">
      <c r="A5503" s="1" t="s">
        <v>5848</v>
      </c>
      <c r="B5503" t="s">
        <v>10266</v>
      </c>
    </row>
    <row r="5504" spans="1:2">
      <c r="A5504" s="1" t="s">
        <v>5849</v>
      </c>
      <c r="B5504" t="s">
        <v>10277</v>
      </c>
    </row>
    <row r="5505" spans="1:2">
      <c r="A5505" s="1" t="s">
        <v>5850</v>
      </c>
      <c r="B5505" t="s">
        <v>10275</v>
      </c>
    </row>
    <row r="5506" spans="1:2">
      <c r="A5506" s="1" t="s">
        <v>5851</v>
      </c>
      <c r="B5506" t="s">
        <v>10241</v>
      </c>
    </row>
    <row r="5507" spans="1:2">
      <c r="A5507" s="1" t="s">
        <v>5852</v>
      </c>
      <c r="B5507" t="s">
        <v>10314</v>
      </c>
    </row>
    <row r="5508" spans="1:2">
      <c r="A5508" s="1" t="s">
        <v>5853</v>
      </c>
      <c r="B5508" t="s">
        <v>10241</v>
      </c>
    </row>
    <row r="5509" spans="1:2">
      <c r="A5509" s="1" t="s">
        <v>5854</v>
      </c>
      <c r="B5509" t="s">
        <v>10239</v>
      </c>
    </row>
    <row r="5510" spans="1:2">
      <c r="A5510" s="1" t="s">
        <v>5855</v>
      </c>
      <c r="B5510" t="s">
        <v>10424</v>
      </c>
    </row>
    <row r="5511" spans="1:2">
      <c r="A5511" s="1" t="s">
        <v>5856</v>
      </c>
      <c r="B5511" t="s">
        <v>10495</v>
      </c>
    </row>
    <row r="5512" spans="1:2">
      <c r="A5512" s="1" t="s">
        <v>5857</v>
      </c>
      <c r="B5512" t="s">
        <v>10399</v>
      </c>
    </row>
    <row r="5513" spans="1:2">
      <c r="A5513" s="1" t="s">
        <v>5858</v>
      </c>
      <c r="B5513" t="s">
        <v>10267</v>
      </c>
    </row>
    <row r="5514" spans="1:2">
      <c r="A5514" s="1" t="s">
        <v>5859</v>
      </c>
      <c r="B5514" t="s">
        <v>10224</v>
      </c>
    </row>
    <row r="5515" spans="1:2">
      <c r="A5515" s="1" t="s">
        <v>5860</v>
      </c>
      <c r="B5515" t="s">
        <v>10286</v>
      </c>
    </row>
    <row r="5516" spans="1:2">
      <c r="A5516" s="1" t="s">
        <v>5861</v>
      </c>
      <c r="B5516" t="s">
        <v>10245</v>
      </c>
    </row>
    <row r="5517" spans="1:2">
      <c r="A5517" s="1" t="s">
        <v>5862</v>
      </c>
      <c r="B5517" t="s">
        <v>10414</v>
      </c>
    </row>
    <row r="5518" spans="1:2">
      <c r="A5518" s="1" t="s">
        <v>5863</v>
      </c>
      <c r="B5518" t="s">
        <v>10256</v>
      </c>
    </row>
    <row r="5519" spans="1:2">
      <c r="A5519" s="1" t="s">
        <v>102</v>
      </c>
      <c r="B5519" t="s">
        <v>10250</v>
      </c>
    </row>
    <row r="5520" spans="1:2">
      <c r="A5520" s="1" t="s">
        <v>5864</v>
      </c>
      <c r="B5520" t="s">
        <v>10240</v>
      </c>
    </row>
    <row r="5521" spans="1:2">
      <c r="A5521" s="1" t="s">
        <v>5865</v>
      </c>
      <c r="B5521" t="s">
        <v>10272</v>
      </c>
    </row>
    <row r="5522" spans="1:2">
      <c r="A5522" s="1" t="s">
        <v>5866</v>
      </c>
      <c r="B5522" t="s">
        <v>10513</v>
      </c>
    </row>
    <row r="5523" spans="1:2">
      <c r="A5523" s="1" t="s">
        <v>5867</v>
      </c>
      <c r="B5523" t="s">
        <v>10361</v>
      </c>
    </row>
    <row r="5524" spans="1:2">
      <c r="A5524" s="1" t="s">
        <v>5868</v>
      </c>
      <c r="B5524" t="s">
        <v>10317</v>
      </c>
    </row>
    <row r="5525" spans="1:2">
      <c r="A5525" s="1" t="s">
        <v>5869</v>
      </c>
      <c r="B5525" t="s">
        <v>10243</v>
      </c>
    </row>
    <row r="5526" spans="1:2">
      <c r="A5526" s="1" t="s">
        <v>5870</v>
      </c>
      <c r="B5526" t="s">
        <v>10286</v>
      </c>
    </row>
    <row r="5527" spans="1:2">
      <c r="A5527" s="1" t="s">
        <v>5871</v>
      </c>
      <c r="B5527" t="s">
        <v>10239</v>
      </c>
    </row>
    <row r="5528" spans="1:2">
      <c r="A5528" s="1" t="s">
        <v>5872</v>
      </c>
      <c r="B5528" t="s">
        <v>10231</v>
      </c>
    </row>
    <row r="5529" spans="1:2">
      <c r="A5529" s="1" t="s">
        <v>5873</v>
      </c>
      <c r="B5529" t="s">
        <v>10375</v>
      </c>
    </row>
    <row r="5530" spans="1:2">
      <c r="A5530" s="1" t="s">
        <v>141</v>
      </c>
      <c r="B5530" t="s">
        <v>10239</v>
      </c>
    </row>
    <row r="5531" spans="1:2">
      <c r="A5531" s="1" t="s">
        <v>151</v>
      </c>
      <c r="B5531" t="s">
        <v>10286</v>
      </c>
    </row>
    <row r="5532" spans="1:2">
      <c r="A5532" s="1" t="s">
        <v>5874</v>
      </c>
      <c r="B5532" t="s">
        <v>10240</v>
      </c>
    </row>
    <row r="5533" spans="1:2">
      <c r="A5533" s="1" t="s">
        <v>5875</v>
      </c>
      <c r="B5533" t="s">
        <v>10460</v>
      </c>
    </row>
    <row r="5534" spans="1:2">
      <c r="A5534" s="1" t="s">
        <v>5876</v>
      </c>
      <c r="B5534" t="s">
        <v>10343</v>
      </c>
    </row>
    <row r="5535" spans="1:2">
      <c r="A5535" s="1" t="s">
        <v>5877</v>
      </c>
      <c r="B5535" t="s">
        <v>10345</v>
      </c>
    </row>
    <row r="5536" spans="1:2">
      <c r="A5536" s="1" t="s">
        <v>5878</v>
      </c>
      <c r="B5536" t="s">
        <v>10374</v>
      </c>
    </row>
    <row r="5537" spans="1:2">
      <c r="A5537" s="1" t="s">
        <v>5879</v>
      </c>
      <c r="B5537" t="s">
        <v>10240</v>
      </c>
    </row>
    <row r="5538" spans="1:2">
      <c r="A5538" s="1" t="s">
        <v>5880</v>
      </c>
      <c r="B5538" t="s">
        <v>10286</v>
      </c>
    </row>
    <row r="5539" spans="1:2">
      <c r="A5539" s="1" t="s">
        <v>5881</v>
      </c>
      <c r="B5539" t="s">
        <v>10234</v>
      </c>
    </row>
    <row r="5540" spans="1:2">
      <c r="A5540" s="1" t="s">
        <v>677</v>
      </c>
      <c r="B5540" t="s">
        <v>10239</v>
      </c>
    </row>
    <row r="5541" spans="1:2">
      <c r="A5541" s="1" t="s">
        <v>5882</v>
      </c>
      <c r="B5541" t="s">
        <v>10230</v>
      </c>
    </row>
    <row r="5542" spans="1:2">
      <c r="A5542" s="1" t="s">
        <v>5883</v>
      </c>
      <c r="B5542" t="s">
        <v>10262</v>
      </c>
    </row>
    <row r="5543" spans="1:2">
      <c r="A5543" s="1" t="s">
        <v>5884</v>
      </c>
      <c r="B5543" t="s">
        <v>10266</v>
      </c>
    </row>
    <row r="5544" spans="1:2">
      <c r="A5544" s="1" t="s">
        <v>5885</v>
      </c>
      <c r="B5544" t="s">
        <v>10240</v>
      </c>
    </row>
    <row r="5545" spans="1:2">
      <c r="A5545" s="1" t="s">
        <v>5886</v>
      </c>
      <c r="B5545" t="s">
        <v>10265</v>
      </c>
    </row>
    <row r="5546" spans="1:2">
      <c r="A5546" s="1" t="s">
        <v>5887</v>
      </c>
      <c r="B5546" t="s">
        <v>10432</v>
      </c>
    </row>
    <row r="5547" spans="1:2">
      <c r="A5547" s="1" t="s">
        <v>5888</v>
      </c>
      <c r="B5547" t="s">
        <v>10239</v>
      </c>
    </row>
    <row r="5548" spans="1:2">
      <c r="A5548" s="1" t="s">
        <v>5889</v>
      </c>
      <c r="B5548" t="s">
        <v>10244</v>
      </c>
    </row>
    <row r="5549" spans="1:2">
      <c r="A5549" s="1" t="s">
        <v>5890</v>
      </c>
      <c r="B5549" t="s">
        <v>10250</v>
      </c>
    </row>
    <row r="5550" spans="1:2">
      <c r="A5550" s="1" t="s">
        <v>5891</v>
      </c>
      <c r="B5550" t="s">
        <v>10452</v>
      </c>
    </row>
    <row r="5551" spans="1:2">
      <c r="A5551" s="1" t="s">
        <v>710</v>
      </c>
      <c r="B5551" t="s">
        <v>10234</v>
      </c>
    </row>
    <row r="5552" spans="1:2">
      <c r="A5552" s="1" t="s">
        <v>5892</v>
      </c>
      <c r="B5552" t="s">
        <v>10386</v>
      </c>
    </row>
    <row r="5553" spans="1:2">
      <c r="A5553" s="1" t="s">
        <v>5893</v>
      </c>
      <c r="B5553" t="s">
        <v>10239</v>
      </c>
    </row>
    <row r="5554" spans="1:2">
      <c r="A5554" s="1" t="s">
        <v>5894</v>
      </c>
      <c r="B5554" t="s">
        <v>901</v>
      </c>
    </row>
    <row r="5555" spans="1:2">
      <c r="A5555" s="1" t="s">
        <v>5895</v>
      </c>
      <c r="B5555" t="s">
        <v>10287</v>
      </c>
    </row>
    <row r="5556" spans="1:2">
      <c r="A5556" s="1" t="s">
        <v>5896</v>
      </c>
      <c r="B5556" t="s">
        <v>10283</v>
      </c>
    </row>
    <row r="5557" spans="1:2">
      <c r="A5557" s="1" t="s">
        <v>5897</v>
      </c>
      <c r="B5557" t="s">
        <v>10387</v>
      </c>
    </row>
    <row r="5558" spans="1:2">
      <c r="A5558" s="1" t="s">
        <v>5898</v>
      </c>
      <c r="B5558" t="s">
        <v>10345</v>
      </c>
    </row>
    <row r="5559" spans="1:2">
      <c r="A5559" s="1" t="s">
        <v>194</v>
      </c>
      <c r="B5559" t="s">
        <v>10232</v>
      </c>
    </row>
    <row r="5560" spans="1:2">
      <c r="A5560" s="1" t="s">
        <v>5899</v>
      </c>
      <c r="B5560" t="s">
        <v>10345</v>
      </c>
    </row>
    <row r="5561" spans="1:2">
      <c r="A5561" s="1" t="s">
        <v>5900</v>
      </c>
      <c r="B5561" t="s">
        <v>10514</v>
      </c>
    </row>
    <row r="5562" spans="1:2">
      <c r="A5562" s="1" t="s">
        <v>5901</v>
      </c>
      <c r="B5562" t="s">
        <v>10322</v>
      </c>
    </row>
    <row r="5563" spans="1:2">
      <c r="A5563" s="1" t="s">
        <v>5902</v>
      </c>
      <c r="B5563" t="s">
        <v>10238</v>
      </c>
    </row>
    <row r="5564" spans="1:2">
      <c r="A5564" s="1" t="s">
        <v>5903</v>
      </c>
      <c r="B5564" t="s">
        <v>10272</v>
      </c>
    </row>
    <row r="5565" spans="1:2">
      <c r="A5565" s="1" t="s">
        <v>5904</v>
      </c>
      <c r="B5565" t="s">
        <v>10283</v>
      </c>
    </row>
    <row r="5566" spans="1:2">
      <c r="A5566" s="1" t="s">
        <v>157</v>
      </c>
      <c r="B5566" t="s">
        <v>10240</v>
      </c>
    </row>
    <row r="5567" spans="1:2">
      <c r="A5567" s="1" t="s">
        <v>5905</v>
      </c>
      <c r="B5567" t="s">
        <v>10240</v>
      </c>
    </row>
    <row r="5568" spans="1:2">
      <c r="A5568" s="1" t="s">
        <v>5906</v>
      </c>
      <c r="B5568" t="s">
        <v>10442</v>
      </c>
    </row>
    <row r="5569" spans="1:2">
      <c r="A5569" s="1" t="s">
        <v>5907</v>
      </c>
      <c r="B5569" t="s">
        <v>10245</v>
      </c>
    </row>
    <row r="5570" spans="1:2">
      <c r="A5570" s="1" t="s">
        <v>5908</v>
      </c>
      <c r="B5570" t="s">
        <v>10388</v>
      </c>
    </row>
    <row r="5571" spans="1:2">
      <c r="A5571" s="1" t="s">
        <v>5909</v>
      </c>
      <c r="B5571" t="s">
        <v>10230</v>
      </c>
    </row>
    <row r="5572" spans="1:2">
      <c r="A5572" s="1" t="s">
        <v>5910</v>
      </c>
      <c r="B5572" t="s">
        <v>10399</v>
      </c>
    </row>
    <row r="5573" spans="1:2">
      <c r="A5573" s="1" t="s">
        <v>5911</v>
      </c>
      <c r="B5573" t="s">
        <v>10255</v>
      </c>
    </row>
    <row r="5574" spans="1:2">
      <c r="A5574" s="1" t="s">
        <v>5912</v>
      </c>
      <c r="B5574" t="s">
        <v>10481</v>
      </c>
    </row>
    <row r="5575" spans="1:2">
      <c r="A5575" s="1" t="s">
        <v>5913</v>
      </c>
      <c r="B5575" t="s">
        <v>10234</v>
      </c>
    </row>
    <row r="5576" spans="1:2">
      <c r="A5576" s="1" t="s">
        <v>5914</v>
      </c>
      <c r="B5576" t="s">
        <v>10224</v>
      </c>
    </row>
    <row r="5577" spans="1:2">
      <c r="A5577" s="1" t="s">
        <v>5915</v>
      </c>
      <c r="B5577" t="s">
        <v>10256</v>
      </c>
    </row>
    <row r="5578" spans="1:2">
      <c r="A5578" s="1" t="s">
        <v>5916</v>
      </c>
      <c r="B5578" t="s">
        <v>10240</v>
      </c>
    </row>
    <row r="5579" spans="1:2">
      <c r="A5579" s="1" t="s">
        <v>5917</v>
      </c>
      <c r="B5579" t="s">
        <v>10345</v>
      </c>
    </row>
    <row r="5580" spans="1:2">
      <c r="A5580" s="1" t="s">
        <v>5918</v>
      </c>
      <c r="B5580" t="s">
        <v>10286</v>
      </c>
    </row>
    <row r="5581" spans="1:2">
      <c r="A5581" s="1" t="s">
        <v>5919</v>
      </c>
      <c r="B5581" t="s">
        <v>10243</v>
      </c>
    </row>
    <row r="5582" spans="1:2">
      <c r="A5582" s="1" t="s">
        <v>5920</v>
      </c>
      <c r="B5582" t="s">
        <v>10225</v>
      </c>
    </row>
    <row r="5583" spans="1:2">
      <c r="A5583" s="1" t="s">
        <v>5921</v>
      </c>
      <c r="B5583" t="s">
        <v>901</v>
      </c>
    </row>
    <row r="5584" spans="1:2">
      <c r="A5584" s="1" t="s">
        <v>5922</v>
      </c>
      <c r="B5584" t="s">
        <v>10223</v>
      </c>
    </row>
    <row r="5585" spans="1:2">
      <c r="A5585" s="1" t="s">
        <v>5923</v>
      </c>
      <c r="B5585" t="s">
        <v>10420</v>
      </c>
    </row>
    <row r="5586" spans="1:2">
      <c r="A5586" s="1" t="s">
        <v>5924</v>
      </c>
      <c r="B5586" t="s">
        <v>10488</v>
      </c>
    </row>
    <row r="5587" spans="1:2">
      <c r="A5587" s="1" t="s">
        <v>5925</v>
      </c>
      <c r="B5587" t="s">
        <v>10230</v>
      </c>
    </row>
    <row r="5588" spans="1:2">
      <c r="A5588" s="1" t="s">
        <v>521</v>
      </c>
      <c r="B5588" t="s">
        <v>10275</v>
      </c>
    </row>
    <row r="5589" spans="1:2">
      <c r="A5589" s="1" t="s">
        <v>5926</v>
      </c>
      <c r="B5589" t="s">
        <v>10286</v>
      </c>
    </row>
    <row r="5590" spans="1:2">
      <c r="A5590" s="1" t="s">
        <v>5927</v>
      </c>
      <c r="B5590" t="s">
        <v>10430</v>
      </c>
    </row>
    <row r="5591" spans="1:2">
      <c r="A5591" s="1" t="s">
        <v>5928</v>
      </c>
      <c r="B5591" t="s">
        <v>10322</v>
      </c>
    </row>
    <row r="5592" spans="1:2">
      <c r="A5592" s="1" t="s">
        <v>5929</v>
      </c>
      <c r="B5592" t="s">
        <v>901</v>
      </c>
    </row>
    <row r="5593" spans="1:2">
      <c r="A5593" s="1" t="s">
        <v>5930</v>
      </c>
      <c r="B5593" t="s">
        <v>10326</v>
      </c>
    </row>
    <row r="5594" spans="1:2">
      <c r="A5594" s="1" t="s">
        <v>5931</v>
      </c>
      <c r="B5594" t="s">
        <v>10283</v>
      </c>
    </row>
    <row r="5595" spans="1:2">
      <c r="A5595" s="1" t="s">
        <v>5932</v>
      </c>
      <c r="B5595" t="s">
        <v>10230</v>
      </c>
    </row>
    <row r="5596" spans="1:2">
      <c r="A5596" s="1" t="s">
        <v>5933</v>
      </c>
      <c r="B5596" t="s">
        <v>10284</v>
      </c>
    </row>
    <row r="5597" spans="1:2">
      <c r="A5597" s="1" t="s">
        <v>333</v>
      </c>
      <c r="B5597" t="s">
        <v>10392</v>
      </c>
    </row>
    <row r="5598" spans="1:2">
      <c r="A5598" s="1" t="s">
        <v>5934</v>
      </c>
      <c r="B5598" t="s">
        <v>10284</v>
      </c>
    </row>
    <row r="5599" spans="1:2">
      <c r="A5599" s="1" t="s">
        <v>5935</v>
      </c>
      <c r="B5599" t="s">
        <v>10343</v>
      </c>
    </row>
    <row r="5600" spans="1:2">
      <c r="A5600" s="1" t="s">
        <v>5936</v>
      </c>
      <c r="B5600" t="s">
        <v>10410</v>
      </c>
    </row>
    <row r="5601" spans="1:2">
      <c r="A5601" s="1" t="s">
        <v>5937</v>
      </c>
      <c r="B5601" t="s">
        <v>10322</v>
      </c>
    </row>
    <row r="5602" spans="1:2">
      <c r="A5602" s="1" t="s">
        <v>5938</v>
      </c>
      <c r="B5602" t="s">
        <v>10411</v>
      </c>
    </row>
    <row r="5603" spans="1:2">
      <c r="A5603" s="1" t="s">
        <v>5939</v>
      </c>
      <c r="B5603" t="s">
        <v>10305</v>
      </c>
    </row>
    <row r="5604" spans="1:2">
      <c r="A5604" s="1" t="s">
        <v>5940</v>
      </c>
      <c r="B5604" t="s">
        <v>10421</v>
      </c>
    </row>
    <row r="5605" spans="1:2">
      <c r="A5605" s="1" t="s">
        <v>5941</v>
      </c>
      <c r="B5605" t="s">
        <v>10399</v>
      </c>
    </row>
    <row r="5606" spans="1:2">
      <c r="A5606" s="1" t="s">
        <v>5942</v>
      </c>
      <c r="B5606" t="s">
        <v>10345</v>
      </c>
    </row>
    <row r="5607" spans="1:2">
      <c r="A5607" s="1" t="s">
        <v>5943</v>
      </c>
      <c r="B5607" t="s">
        <v>10515</v>
      </c>
    </row>
    <row r="5608" spans="1:2">
      <c r="A5608" s="1" t="s">
        <v>5944</v>
      </c>
      <c r="B5608" t="s">
        <v>10317</v>
      </c>
    </row>
    <row r="5609" spans="1:2">
      <c r="A5609" s="1" t="s">
        <v>5945</v>
      </c>
      <c r="B5609" t="s">
        <v>10245</v>
      </c>
    </row>
    <row r="5610" spans="1:2">
      <c r="A5610" s="1" t="s">
        <v>5946</v>
      </c>
      <c r="B5610" t="s">
        <v>10262</v>
      </c>
    </row>
    <row r="5611" spans="1:2">
      <c r="A5611" s="1" t="s">
        <v>5947</v>
      </c>
      <c r="B5611" t="s">
        <v>10264</v>
      </c>
    </row>
    <row r="5612" spans="1:2">
      <c r="A5612" s="1" t="s">
        <v>5948</v>
      </c>
      <c r="B5612" t="s">
        <v>10272</v>
      </c>
    </row>
    <row r="5613" spans="1:2">
      <c r="A5613" s="1" t="s">
        <v>5949</v>
      </c>
      <c r="B5613" t="s">
        <v>10272</v>
      </c>
    </row>
    <row r="5614" spans="1:2">
      <c r="A5614" s="1" t="s">
        <v>5950</v>
      </c>
      <c r="B5614" t="s">
        <v>901</v>
      </c>
    </row>
    <row r="5615" spans="1:2">
      <c r="A5615" s="1" t="s">
        <v>5951</v>
      </c>
      <c r="B5615" t="s">
        <v>10343</v>
      </c>
    </row>
    <row r="5616" spans="1:2">
      <c r="A5616" s="1" t="s">
        <v>5952</v>
      </c>
      <c r="B5616" t="s">
        <v>10240</v>
      </c>
    </row>
    <row r="5617" spans="1:2">
      <c r="A5617" s="1" t="s">
        <v>5953</v>
      </c>
      <c r="B5617" t="s">
        <v>10225</v>
      </c>
    </row>
    <row r="5618" spans="1:2">
      <c r="A5618" s="1" t="s">
        <v>711</v>
      </c>
      <c r="B5618" t="s">
        <v>10347</v>
      </c>
    </row>
    <row r="5619" spans="1:2">
      <c r="A5619" s="1" t="s">
        <v>5954</v>
      </c>
      <c r="B5619" t="s">
        <v>10420</v>
      </c>
    </row>
    <row r="5620" spans="1:2">
      <c r="A5620" s="1" t="s">
        <v>199</v>
      </c>
      <c r="B5620" t="s">
        <v>10286</v>
      </c>
    </row>
    <row r="5621" spans="1:2">
      <c r="A5621" s="1" t="s">
        <v>5955</v>
      </c>
      <c r="B5621" t="s">
        <v>901</v>
      </c>
    </row>
    <row r="5622" spans="1:2">
      <c r="A5622" s="1" t="s">
        <v>5956</v>
      </c>
      <c r="B5622" t="s">
        <v>10305</v>
      </c>
    </row>
    <row r="5623" spans="1:2">
      <c r="A5623" s="1" t="s">
        <v>5957</v>
      </c>
      <c r="B5623" t="s">
        <v>10245</v>
      </c>
    </row>
    <row r="5624" spans="1:2">
      <c r="A5624" s="1" t="s">
        <v>5958</v>
      </c>
      <c r="B5624" t="s">
        <v>10272</v>
      </c>
    </row>
    <row r="5625" spans="1:2">
      <c r="A5625" s="1" t="s">
        <v>5959</v>
      </c>
      <c r="B5625" t="s">
        <v>10277</v>
      </c>
    </row>
    <row r="5626" spans="1:2">
      <c r="A5626" s="1" t="s">
        <v>5960</v>
      </c>
      <c r="B5626" t="s">
        <v>10272</v>
      </c>
    </row>
    <row r="5627" spans="1:2">
      <c r="A5627" s="1" t="s">
        <v>5961</v>
      </c>
      <c r="B5627" t="s">
        <v>10234</v>
      </c>
    </row>
    <row r="5628" spans="1:2">
      <c r="A5628" s="1" t="s">
        <v>5962</v>
      </c>
      <c r="B5628" t="s">
        <v>10426</v>
      </c>
    </row>
    <row r="5629" spans="1:2">
      <c r="A5629" s="1" t="s">
        <v>5963</v>
      </c>
      <c r="B5629" t="s">
        <v>10236</v>
      </c>
    </row>
    <row r="5630" spans="1:2">
      <c r="A5630" s="1" t="s">
        <v>5964</v>
      </c>
      <c r="B5630" t="s">
        <v>10503</v>
      </c>
    </row>
    <row r="5631" spans="1:2">
      <c r="A5631" s="1" t="s">
        <v>5965</v>
      </c>
      <c r="B5631" t="s">
        <v>10497</v>
      </c>
    </row>
    <row r="5632" spans="1:2">
      <c r="A5632" s="1" t="s">
        <v>5966</v>
      </c>
      <c r="B5632" t="s">
        <v>10463</v>
      </c>
    </row>
    <row r="5633" spans="1:2">
      <c r="A5633" s="1" t="s">
        <v>183</v>
      </c>
      <c r="B5633" t="s">
        <v>10262</v>
      </c>
    </row>
    <row r="5634" spans="1:2">
      <c r="A5634" s="1" t="s">
        <v>5967</v>
      </c>
      <c r="B5634" t="s">
        <v>10282</v>
      </c>
    </row>
    <row r="5635" spans="1:2">
      <c r="A5635" s="1" t="s">
        <v>204</v>
      </c>
      <c r="B5635" t="s">
        <v>10262</v>
      </c>
    </row>
    <row r="5636" spans="1:2">
      <c r="A5636" s="1" t="s">
        <v>5968</v>
      </c>
      <c r="B5636" t="s">
        <v>10280</v>
      </c>
    </row>
    <row r="5637" spans="1:2">
      <c r="A5637" s="1" t="s">
        <v>5969</v>
      </c>
      <c r="B5637" t="s">
        <v>10261</v>
      </c>
    </row>
    <row r="5638" spans="1:2">
      <c r="A5638" s="1" t="s">
        <v>5970</v>
      </c>
      <c r="B5638" t="s">
        <v>10240</v>
      </c>
    </row>
    <row r="5639" spans="1:2">
      <c r="A5639" s="1" t="s">
        <v>5971</v>
      </c>
      <c r="B5639" t="s">
        <v>10296</v>
      </c>
    </row>
    <row r="5640" spans="1:2">
      <c r="A5640" s="1" t="s">
        <v>5972</v>
      </c>
      <c r="B5640" t="s">
        <v>10229</v>
      </c>
    </row>
    <row r="5641" spans="1:2">
      <c r="A5641" s="1" t="s">
        <v>5973</v>
      </c>
      <c r="B5641" t="s">
        <v>10319</v>
      </c>
    </row>
    <row r="5642" spans="1:2">
      <c r="A5642" s="1" t="s">
        <v>101</v>
      </c>
      <c r="B5642" t="s">
        <v>10222</v>
      </c>
    </row>
    <row r="5643" spans="1:2">
      <c r="A5643" s="1" t="s">
        <v>5974</v>
      </c>
      <c r="B5643" t="s">
        <v>10481</v>
      </c>
    </row>
    <row r="5644" spans="1:2">
      <c r="A5644" s="1" t="s">
        <v>5975</v>
      </c>
      <c r="B5644" t="s">
        <v>10277</v>
      </c>
    </row>
    <row r="5645" spans="1:2">
      <c r="A5645" s="1" t="s">
        <v>5976</v>
      </c>
      <c r="B5645" t="s">
        <v>10234</v>
      </c>
    </row>
    <row r="5646" spans="1:2">
      <c r="A5646" s="1" t="s">
        <v>5977</v>
      </c>
      <c r="B5646" t="s">
        <v>10319</v>
      </c>
    </row>
    <row r="5647" spans="1:2">
      <c r="A5647" s="1" t="s">
        <v>5978</v>
      </c>
      <c r="B5647" t="s">
        <v>10223</v>
      </c>
    </row>
    <row r="5648" spans="1:2">
      <c r="A5648" s="1" t="s">
        <v>5979</v>
      </c>
      <c r="B5648" t="s">
        <v>10266</v>
      </c>
    </row>
    <row r="5649" spans="1:2">
      <c r="A5649" s="1" t="s">
        <v>5980</v>
      </c>
      <c r="B5649" t="s">
        <v>901</v>
      </c>
    </row>
    <row r="5650" spans="1:2">
      <c r="A5650" s="1" t="s">
        <v>5981</v>
      </c>
      <c r="B5650" t="s">
        <v>10230</v>
      </c>
    </row>
    <row r="5651" spans="1:2">
      <c r="A5651" s="1" t="s">
        <v>5982</v>
      </c>
      <c r="B5651" t="s">
        <v>10394</v>
      </c>
    </row>
    <row r="5652" spans="1:2">
      <c r="A5652" s="1" t="s">
        <v>5983</v>
      </c>
      <c r="B5652" t="s">
        <v>10280</v>
      </c>
    </row>
    <row r="5653" spans="1:2">
      <c r="A5653" s="1" t="s">
        <v>5984</v>
      </c>
      <c r="B5653" t="s">
        <v>10424</v>
      </c>
    </row>
    <row r="5654" spans="1:2">
      <c r="A5654" s="1" t="s">
        <v>5985</v>
      </c>
      <c r="B5654" t="s">
        <v>10273</v>
      </c>
    </row>
    <row r="5655" spans="1:2">
      <c r="A5655" s="1" t="s">
        <v>5986</v>
      </c>
      <c r="B5655" t="s">
        <v>10240</v>
      </c>
    </row>
    <row r="5656" spans="1:2">
      <c r="A5656" s="1" t="s">
        <v>5987</v>
      </c>
      <c r="B5656" t="s">
        <v>10238</v>
      </c>
    </row>
    <row r="5657" spans="1:2">
      <c r="A5657" s="1" t="s">
        <v>5988</v>
      </c>
      <c r="B5657" t="s">
        <v>10445</v>
      </c>
    </row>
    <row r="5658" spans="1:2">
      <c r="A5658" s="1" t="s">
        <v>5989</v>
      </c>
      <c r="B5658" t="s">
        <v>10419</v>
      </c>
    </row>
    <row r="5659" spans="1:2">
      <c r="A5659" s="1" t="s">
        <v>5990</v>
      </c>
      <c r="B5659" t="s">
        <v>10343</v>
      </c>
    </row>
    <row r="5660" spans="1:2">
      <c r="A5660" s="1" t="s">
        <v>472</v>
      </c>
      <c r="B5660" t="s">
        <v>10282</v>
      </c>
    </row>
    <row r="5661" spans="1:2">
      <c r="A5661" s="1" t="s">
        <v>5991</v>
      </c>
      <c r="B5661" t="s">
        <v>10240</v>
      </c>
    </row>
    <row r="5662" spans="1:2">
      <c r="A5662" s="1" t="s">
        <v>5992</v>
      </c>
      <c r="B5662" t="s">
        <v>901</v>
      </c>
    </row>
    <row r="5663" spans="1:2">
      <c r="A5663" s="1" t="s">
        <v>5993</v>
      </c>
      <c r="B5663" t="s">
        <v>10262</v>
      </c>
    </row>
    <row r="5664" spans="1:2">
      <c r="A5664" s="1" t="s">
        <v>5994</v>
      </c>
      <c r="B5664" t="s">
        <v>10345</v>
      </c>
    </row>
    <row r="5665" spans="1:2">
      <c r="A5665" s="1" t="s">
        <v>5995</v>
      </c>
      <c r="B5665" t="s">
        <v>10267</v>
      </c>
    </row>
    <row r="5666" spans="1:2">
      <c r="A5666" s="1" t="s">
        <v>5996</v>
      </c>
      <c r="B5666" t="s">
        <v>10369</v>
      </c>
    </row>
    <row r="5667" spans="1:2">
      <c r="A5667" s="1" t="s">
        <v>5997</v>
      </c>
      <c r="B5667" t="s">
        <v>10223</v>
      </c>
    </row>
    <row r="5668" spans="1:2">
      <c r="A5668" s="1" t="s">
        <v>5998</v>
      </c>
      <c r="B5668" t="s">
        <v>10272</v>
      </c>
    </row>
    <row r="5669" spans="1:2">
      <c r="A5669" s="1" t="s">
        <v>5999</v>
      </c>
      <c r="B5669" t="s">
        <v>10230</v>
      </c>
    </row>
    <row r="5670" spans="1:2">
      <c r="A5670" s="1" t="s">
        <v>6000</v>
      </c>
      <c r="B5670" t="s">
        <v>901</v>
      </c>
    </row>
    <row r="5671" spans="1:2">
      <c r="A5671" s="1" t="s">
        <v>900</v>
      </c>
      <c r="B5671" t="s">
        <v>10322</v>
      </c>
    </row>
    <row r="5672" spans="1:2">
      <c r="A5672" s="1" t="s">
        <v>6001</v>
      </c>
      <c r="B5672" t="s">
        <v>10282</v>
      </c>
    </row>
    <row r="5673" spans="1:2">
      <c r="A5673" s="1" t="s">
        <v>6002</v>
      </c>
      <c r="B5673" t="s">
        <v>10368</v>
      </c>
    </row>
    <row r="5674" spans="1:2">
      <c r="A5674" s="1" t="s">
        <v>158</v>
      </c>
      <c r="B5674" t="s">
        <v>10229</v>
      </c>
    </row>
    <row r="5675" spans="1:2">
      <c r="A5675" s="1" t="s">
        <v>6003</v>
      </c>
      <c r="B5675" t="s">
        <v>10263</v>
      </c>
    </row>
    <row r="5676" spans="1:2">
      <c r="A5676" s="1" t="s">
        <v>358</v>
      </c>
      <c r="B5676" t="s">
        <v>10283</v>
      </c>
    </row>
    <row r="5677" spans="1:2">
      <c r="A5677" s="1" t="s">
        <v>6004</v>
      </c>
      <c r="B5677" t="s">
        <v>10286</v>
      </c>
    </row>
    <row r="5678" spans="1:2">
      <c r="A5678" s="1" t="s">
        <v>6005</v>
      </c>
      <c r="B5678" t="s">
        <v>10282</v>
      </c>
    </row>
    <row r="5679" spans="1:2">
      <c r="A5679" s="1" t="s">
        <v>6006</v>
      </c>
      <c r="B5679" t="s">
        <v>10305</v>
      </c>
    </row>
    <row r="5680" spans="1:2">
      <c r="A5680" s="1" t="s">
        <v>6007</v>
      </c>
      <c r="B5680" t="s">
        <v>10414</v>
      </c>
    </row>
    <row r="5681" spans="1:2">
      <c r="A5681" s="1" t="s">
        <v>6008</v>
      </c>
      <c r="B5681" t="s">
        <v>10244</v>
      </c>
    </row>
    <row r="5682" spans="1:2">
      <c r="A5682" s="1" t="s">
        <v>6009</v>
      </c>
      <c r="B5682" t="s">
        <v>10234</v>
      </c>
    </row>
    <row r="5683" spans="1:2">
      <c r="A5683" s="1" t="s">
        <v>6010</v>
      </c>
      <c r="B5683" t="s">
        <v>10323</v>
      </c>
    </row>
    <row r="5684" spans="1:2">
      <c r="A5684" s="1" t="s">
        <v>6011</v>
      </c>
      <c r="B5684" t="s">
        <v>10278</v>
      </c>
    </row>
    <row r="5685" spans="1:2">
      <c r="A5685" s="1" t="s">
        <v>6012</v>
      </c>
      <c r="B5685" t="s">
        <v>10245</v>
      </c>
    </row>
    <row r="5686" spans="1:2">
      <c r="A5686" s="1" t="s">
        <v>6013</v>
      </c>
      <c r="B5686" t="s">
        <v>10403</v>
      </c>
    </row>
    <row r="5687" spans="1:2">
      <c r="A5687" s="1" t="s">
        <v>553</v>
      </c>
      <c r="B5687" t="s">
        <v>10244</v>
      </c>
    </row>
    <row r="5688" spans="1:2">
      <c r="A5688" s="1" t="s">
        <v>6014</v>
      </c>
      <c r="B5688" t="s">
        <v>10415</v>
      </c>
    </row>
    <row r="5689" spans="1:2">
      <c r="A5689" s="1" t="s">
        <v>6015</v>
      </c>
      <c r="B5689" t="s">
        <v>10403</v>
      </c>
    </row>
    <row r="5690" spans="1:2">
      <c r="A5690" s="1" t="s">
        <v>6016</v>
      </c>
      <c r="B5690" t="s">
        <v>10230</v>
      </c>
    </row>
    <row r="5691" spans="1:2">
      <c r="A5691" s="1" t="s">
        <v>6017</v>
      </c>
      <c r="B5691" t="s">
        <v>10240</v>
      </c>
    </row>
    <row r="5692" spans="1:2">
      <c r="A5692" s="1" t="s">
        <v>6018</v>
      </c>
      <c r="B5692" t="s">
        <v>10341</v>
      </c>
    </row>
    <row r="5693" spans="1:2">
      <c r="A5693" s="1" t="s">
        <v>170</v>
      </c>
      <c r="B5693" t="s">
        <v>10277</v>
      </c>
    </row>
    <row r="5694" spans="1:2">
      <c r="A5694" s="1" t="s">
        <v>6019</v>
      </c>
      <c r="B5694" t="s">
        <v>10234</v>
      </c>
    </row>
    <row r="5695" spans="1:2">
      <c r="A5695" s="1" t="s">
        <v>6020</v>
      </c>
      <c r="B5695" t="s">
        <v>10223</v>
      </c>
    </row>
    <row r="5696" spans="1:2">
      <c r="A5696" s="1" t="s">
        <v>6021</v>
      </c>
      <c r="B5696" t="s">
        <v>10239</v>
      </c>
    </row>
    <row r="5697" spans="1:2">
      <c r="A5697" s="1" t="s">
        <v>6022</v>
      </c>
      <c r="B5697" t="s">
        <v>10500</v>
      </c>
    </row>
    <row r="5698" spans="1:2">
      <c r="A5698" s="1" t="s">
        <v>6023</v>
      </c>
      <c r="B5698" t="s">
        <v>10241</v>
      </c>
    </row>
    <row r="5699" spans="1:2">
      <c r="A5699" s="1" t="s">
        <v>6024</v>
      </c>
      <c r="B5699" t="s">
        <v>10224</v>
      </c>
    </row>
    <row r="5700" spans="1:2">
      <c r="A5700" s="1" t="s">
        <v>6025</v>
      </c>
      <c r="B5700" t="s">
        <v>10238</v>
      </c>
    </row>
    <row r="5701" spans="1:2">
      <c r="A5701" s="1" t="s">
        <v>6026</v>
      </c>
      <c r="B5701" t="s">
        <v>10330</v>
      </c>
    </row>
    <row r="5702" spans="1:2">
      <c r="A5702" s="1" t="s">
        <v>6027</v>
      </c>
      <c r="B5702" t="s">
        <v>10343</v>
      </c>
    </row>
    <row r="5703" spans="1:2">
      <c r="A5703" s="1" t="s">
        <v>6028</v>
      </c>
      <c r="B5703" t="s">
        <v>10277</v>
      </c>
    </row>
    <row r="5704" spans="1:2">
      <c r="A5704" s="1" t="s">
        <v>6029</v>
      </c>
      <c r="B5704" t="s">
        <v>10490</v>
      </c>
    </row>
    <row r="5705" spans="1:2">
      <c r="A5705" s="1" t="s">
        <v>6030</v>
      </c>
      <c r="B5705" t="s">
        <v>10255</v>
      </c>
    </row>
    <row r="5706" spans="1:2">
      <c r="A5706" s="1" t="s">
        <v>559</v>
      </c>
      <c r="B5706" t="s">
        <v>10357</v>
      </c>
    </row>
    <row r="5707" spans="1:2">
      <c r="A5707" s="1" t="s">
        <v>6031</v>
      </c>
      <c r="B5707" t="s">
        <v>10245</v>
      </c>
    </row>
    <row r="5708" spans="1:2">
      <c r="A5708" s="1" t="s">
        <v>6032</v>
      </c>
      <c r="B5708" t="s">
        <v>10439</v>
      </c>
    </row>
    <row r="5709" spans="1:2">
      <c r="A5709" s="1" t="s">
        <v>6033</v>
      </c>
      <c r="B5709" t="s">
        <v>10395</v>
      </c>
    </row>
    <row r="5710" spans="1:2">
      <c r="A5710" s="1" t="s">
        <v>6034</v>
      </c>
      <c r="B5710" t="s">
        <v>901</v>
      </c>
    </row>
    <row r="5711" spans="1:2">
      <c r="A5711" s="1" t="s">
        <v>6035</v>
      </c>
      <c r="B5711" t="s">
        <v>10280</v>
      </c>
    </row>
    <row r="5712" spans="1:2">
      <c r="A5712" s="1" t="s">
        <v>193</v>
      </c>
      <c r="B5712" t="s">
        <v>10240</v>
      </c>
    </row>
    <row r="5713" spans="1:2">
      <c r="A5713" s="1" t="s">
        <v>6036</v>
      </c>
      <c r="B5713" t="s">
        <v>10434</v>
      </c>
    </row>
    <row r="5714" spans="1:2">
      <c r="A5714" s="1" t="s">
        <v>6037</v>
      </c>
      <c r="B5714" t="s">
        <v>10229</v>
      </c>
    </row>
    <row r="5715" spans="1:2">
      <c r="A5715" s="1" t="s">
        <v>6038</v>
      </c>
      <c r="B5715" t="s">
        <v>10345</v>
      </c>
    </row>
    <row r="5716" spans="1:2">
      <c r="A5716" s="1" t="s">
        <v>6039</v>
      </c>
      <c r="B5716" t="s">
        <v>10234</v>
      </c>
    </row>
    <row r="5717" spans="1:2">
      <c r="A5717" s="1" t="s">
        <v>6040</v>
      </c>
      <c r="B5717" t="s">
        <v>10387</v>
      </c>
    </row>
    <row r="5718" spans="1:2">
      <c r="A5718" s="1" t="s">
        <v>6041</v>
      </c>
      <c r="B5718" t="s">
        <v>10255</v>
      </c>
    </row>
    <row r="5719" spans="1:2">
      <c r="A5719" s="1" t="s">
        <v>6042</v>
      </c>
      <c r="B5719" t="s">
        <v>10387</v>
      </c>
    </row>
    <row r="5720" spans="1:2">
      <c r="A5720" s="1" t="s">
        <v>327</v>
      </c>
      <c r="B5720" t="s">
        <v>10252</v>
      </c>
    </row>
    <row r="5721" spans="1:2">
      <c r="A5721" s="1" t="s">
        <v>6043</v>
      </c>
      <c r="B5721" t="s">
        <v>10224</v>
      </c>
    </row>
    <row r="5722" spans="1:2">
      <c r="A5722" s="1" t="s">
        <v>6044</v>
      </c>
      <c r="B5722" t="s">
        <v>10234</v>
      </c>
    </row>
    <row r="5723" spans="1:2">
      <c r="A5723" s="1" t="s">
        <v>62</v>
      </c>
      <c r="B5723" t="s">
        <v>10286</v>
      </c>
    </row>
    <row r="5724" spans="1:2">
      <c r="A5724" s="1" t="s">
        <v>6045</v>
      </c>
      <c r="B5724" t="s">
        <v>10228</v>
      </c>
    </row>
    <row r="5725" spans="1:2">
      <c r="A5725" s="1" t="s">
        <v>6046</v>
      </c>
      <c r="B5725" t="s">
        <v>10283</v>
      </c>
    </row>
    <row r="5726" spans="1:2">
      <c r="A5726" s="1" t="s">
        <v>6047</v>
      </c>
      <c r="B5726" t="s">
        <v>10284</v>
      </c>
    </row>
    <row r="5727" spans="1:2">
      <c r="A5727" s="1" t="s">
        <v>6048</v>
      </c>
      <c r="B5727" t="s">
        <v>901</v>
      </c>
    </row>
    <row r="5728" spans="1:2">
      <c r="A5728" s="1" t="s">
        <v>6049</v>
      </c>
      <c r="B5728" t="s">
        <v>10275</v>
      </c>
    </row>
    <row r="5729" spans="1:2">
      <c r="A5729" s="1" t="s">
        <v>6050</v>
      </c>
      <c r="B5729" t="s">
        <v>10277</v>
      </c>
    </row>
    <row r="5730" spans="1:2">
      <c r="A5730" s="1" t="s">
        <v>6051</v>
      </c>
      <c r="B5730" t="s">
        <v>10345</v>
      </c>
    </row>
    <row r="5731" spans="1:2">
      <c r="A5731" s="1" t="s">
        <v>6052</v>
      </c>
      <c r="B5731" t="s">
        <v>10224</v>
      </c>
    </row>
    <row r="5732" spans="1:2">
      <c r="A5732" s="1" t="s">
        <v>6053</v>
      </c>
      <c r="B5732" t="s">
        <v>901</v>
      </c>
    </row>
    <row r="5733" spans="1:2">
      <c r="A5733" s="1" t="s">
        <v>6054</v>
      </c>
      <c r="B5733" t="s">
        <v>901</v>
      </c>
    </row>
    <row r="5734" spans="1:2">
      <c r="A5734" s="1" t="s">
        <v>226</v>
      </c>
      <c r="B5734" t="s">
        <v>10279</v>
      </c>
    </row>
    <row r="5735" spans="1:2">
      <c r="A5735" s="1" t="s">
        <v>50</v>
      </c>
      <c r="B5735" t="s">
        <v>10252</v>
      </c>
    </row>
    <row r="5736" spans="1:2">
      <c r="A5736" s="1" t="s">
        <v>6055</v>
      </c>
      <c r="B5736" t="s">
        <v>10236</v>
      </c>
    </row>
    <row r="5737" spans="1:2">
      <c r="A5737" s="1" t="s">
        <v>273</v>
      </c>
      <c r="B5737" t="s">
        <v>10262</v>
      </c>
    </row>
    <row r="5738" spans="1:2">
      <c r="A5738" s="1" t="s">
        <v>6056</v>
      </c>
      <c r="B5738" t="s">
        <v>10460</v>
      </c>
    </row>
    <row r="5739" spans="1:2">
      <c r="A5739" s="1" t="s">
        <v>6057</v>
      </c>
      <c r="B5739" t="s">
        <v>10282</v>
      </c>
    </row>
    <row r="5740" spans="1:2">
      <c r="A5740" s="1" t="s">
        <v>6058</v>
      </c>
      <c r="B5740" t="s">
        <v>10222</v>
      </c>
    </row>
    <row r="5741" spans="1:2">
      <c r="A5741" s="1" t="s">
        <v>328</v>
      </c>
      <c r="B5741" t="s">
        <v>10302</v>
      </c>
    </row>
    <row r="5742" spans="1:2">
      <c r="A5742" s="1" t="s">
        <v>6059</v>
      </c>
      <c r="B5742" t="s">
        <v>10272</v>
      </c>
    </row>
    <row r="5743" spans="1:2">
      <c r="A5743" s="1" t="s">
        <v>6060</v>
      </c>
      <c r="B5743" t="s">
        <v>10361</v>
      </c>
    </row>
    <row r="5744" spans="1:2">
      <c r="A5744" s="1" t="s">
        <v>6061</v>
      </c>
      <c r="B5744" t="s">
        <v>10225</v>
      </c>
    </row>
    <row r="5745" spans="1:2">
      <c r="A5745" s="1" t="s">
        <v>72</v>
      </c>
      <c r="B5745" t="s">
        <v>10240</v>
      </c>
    </row>
    <row r="5746" spans="1:2">
      <c r="A5746" s="1" t="s">
        <v>6062</v>
      </c>
      <c r="B5746" t="s">
        <v>10322</v>
      </c>
    </row>
    <row r="5747" spans="1:2">
      <c r="A5747" s="1" t="s">
        <v>6063</v>
      </c>
      <c r="B5747" t="s">
        <v>10230</v>
      </c>
    </row>
    <row r="5748" spans="1:2">
      <c r="A5748" s="1" t="s">
        <v>6064</v>
      </c>
      <c r="B5748" t="s">
        <v>10309</v>
      </c>
    </row>
    <row r="5749" spans="1:2">
      <c r="A5749" s="1" t="s">
        <v>6065</v>
      </c>
      <c r="B5749" t="s">
        <v>901</v>
      </c>
    </row>
    <row r="5750" spans="1:2">
      <c r="A5750" s="1" t="s">
        <v>6066</v>
      </c>
      <c r="B5750" t="s">
        <v>10480</v>
      </c>
    </row>
    <row r="5751" spans="1:2">
      <c r="A5751" s="1" t="s">
        <v>6067</v>
      </c>
      <c r="B5751" t="s">
        <v>10239</v>
      </c>
    </row>
    <row r="5752" spans="1:2">
      <c r="A5752" s="1" t="s">
        <v>6068</v>
      </c>
      <c r="B5752" t="s">
        <v>10245</v>
      </c>
    </row>
    <row r="5753" spans="1:2">
      <c r="A5753" s="1" t="s">
        <v>6069</v>
      </c>
      <c r="B5753" t="s">
        <v>10241</v>
      </c>
    </row>
    <row r="5754" spans="1:2">
      <c r="A5754" s="1" t="s">
        <v>6070</v>
      </c>
      <c r="B5754" t="s">
        <v>10309</v>
      </c>
    </row>
    <row r="5755" spans="1:2">
      <c r="A5755" s="1" t="s">
        <v>6071</v>
      </c>
      <c r="B5755" t="s">
        <v>10283</v>
      </c>
    </row>
    <row r="5756" spans="1:2">
      <c r="A5756" s="1" t="s">
        <v>6072</v>
      </c>
      <c r="B5756" t="s">
        <v>10426</v>
      </c>
    </row>
    <row r="5757" spans="1:2">
      <c r="A5757" s="1" t="s">
        <v>6073</v>
      </c>
      <c r="B5757" t="s">
        <v>10277</v>
      </c>
    </row>
    <row r="5758" spans="1:2">
      <c r="A5758" s="1" t="s">
        <v>6074</v>
      </c>
      <c r="B5758" t="s">
        <v>10319</v>
      </c>
    </row>
    <row r="5759" spans="1:2">
      <c r="A5759" s="1" t="s">
        <v>6075</v>
      </c>
      <c r="B5759" t="s">
        <v>10312</v>
      </c>
    </row>
    <row r="5760" spans="1:2">
      <c r="A5760" s="1" t="s">
        <v>6076</v>
      </c>
      <c r="B5760" t="s">
        <v>10230</v>
      </c>
    </row>
    <row r="5761" spans="1:2">
      <c r="A5761" s="1" t="s">
        <v>6077</v>
      </c>
      <c r="B5761" t="s">
        <v>10312</v>
      </c>
    </row>
    <row r="5762" spans="1:2">
      <c r="A5762" s="1" t="s">
        <v>6078</v>
      </c>
      <c r="B5762" t="s">
        <v>10272</v>
      </c>
    </row>
    <row r="5763" spans="1:2">
      <c r="A5763" s="1" t="s">
        <v>6079</v>
      </c>
      <c r="B5763" t="s">
        <v>10238</v>
      </c>
    </row>
    <row r="5764" spans="1:2">
      <c r="A5764" s="1" t="s">
        <v>6080</v>
      </c>
      <c r="B5764" t="s">
        <v>10345</v>
      </c>
    </row>
    <row r="5765" spans="1:2">
      <c r="A5765" s="1" t="s">
        <v>6081</v>
      </c>
      <c r="B5765" t="s">
        <v>10499</v>
      </c>
    </row>
    <row r="5766" spans="1:2">
      <c r="A5766" s="1" t="s">
        <v>6082</v>
      </c>
      <c r="B5766" t="s">
        <v>10228</v>
      </c>
    </row>
    <row r="5767" spans="1:2">
      <c r="A5767" s="1" t="s">
        <v>6083</v>
      </c>
      <c r="B5767" t="s">
        <v>10248</v>
      </c>
    </row>
    <row r="5768" spans="1:2">
      <c r="A5768" s="1" t="s">
        <v>6084</v>
      </c>
      <c r="B5768" t="s">
        <v>10243</v>
      </c>
    </row>
    <row r="5769" spans="1:2">
      <c r="A5769" s="1" t="s">
        <v>184</v>
      </c>
      <c r="B5769" t="s">
        <v>10266</v>
      </c>
    </row>
    <row r="5770" spans="1:2">
      <c r="A5770" s="1" t="s">
        <v>6085</v>
      </c>
      <c r="B5770" t="s">
        <v>10319</v>
      </c>
    </row>
    <row r="5771" spans="1:2">
      <c r="A5771" s="1" t="s">
        <v>6086</v>
      </c>
      <c r="B5771" t="s">
        <v>10409</v>
      </c>
    </row>
    <row r="5772" spans="1:2">
      <c r="A5772" s="1" t="s">
        <v>6087</v>
      </c>
      <c r="B5772" t="s">
        <v>10230</v>
      </c>
    </row>
    <row r="5773" spans="1:2">
      <c r="A5773" s="1" t="s">
        <v>6088</v>
      </c>
      <c r="B5773" t="s">
        <v>10234</v>
      </c>
    </row>
    <row r="5774" spans="1:2">
      <c r="A5774" s="1" t="s">
        <v>6089</v>
      </c>
      <c r="B5774" t="s">
        <v>10286</v>
      </c>
    </row>
    <row r="5775" spans="1:2">
      <c r="A5775" s="1" t="s">
        <v>6090</v>
      </c>
      <c r="B5775" t="s">
        <v>10286</v>
      </c>
    </row>
    <row r="5776" spans="1:2">
      <c r="A5776" s="1" t="s">
        <v>6091</v>
      </c>
      <c r="B5776" t="s">
        <v>10311</v>
      </c>
    </row>
    <row r="5777" spans="1:2">
      <c r="A5777" s="1" t="s">
        <v>6092</v>
      </c>
      <c r="B5777" t="s">
        <v>10305</v>
      </c>
    </row>
    <row r="5778" spans="1:2">
      <c r="A5778" s="1" t="s">
        <v>6093</v>
      </c>
      <c r="B5778" t="s">
        <v>10457</v>
      </c>
    </row>
    <row r="5779" spans="1:2">
      <c r="A5779" s="1" t="s">
        <v>6094</v>
      </c>
      <c r="B5779" t="s">
        <v>901</v>
      </c>
    </row>
    <row r="5780" spans="1:2">
      <c r="A5780" s="1" t="s">
        <v>6095</v>
      </c>
      <c r="B5780" t="s">
        <v>10234</v>
      </c>
    </row>
    <row r="5781" spans="1:2">
      <c r="A5781" s="1" t="s">
        <v>6096</v>
      </c>
      <c r="B5781" t="s">
        <v>901</v>
      </c>
    </row>
    <row r="5782" spans="1:2">
      <c r="A5782" s="1" t="s">
        <v>6097</v>
      </c>
      <c r="B5782" t="s">
        <v>10224</v>
      </c>
    </row>
    <row r="5783" spans="1:2">
      <c r="A5783" s="1" t="s">
        <v>6098</v>
      </c>
      <c r="B5783" t="s">
        <v>10223</v>
      </c>
    </row>
    <row r="5784" spans="1:2">
      <c r="A5784" s="1" t="s">
        <v>129</v>
      </c>
      <c r="B5784" t="s">
        <v>10250</v>
      </c>
    </row>
    <row r="5785" spans="1:2">
      <c r="A5785" s="1" t="s">
        <v>6099</v>
      </c>
      <c r="B5785" t="s">
        <v>10287</v>
      </c>
    </row>
    <row r="5786" spans="1:2">
      <c r="A5786" s="1" t="s">
        <v>6100</v>
      </c>
      <c r="B5786" t="s">
        <v>10230</v>
      </c>
    </row>
    <row r="5787" spans="1:2">
      <c r="A5787" s="1" t="s">
        <v>6101</v>
      </c>
      <c r="B5787" t="s">
        <v>10236</v>
      </c>
    </row>
    <row r="5788" spans="1:2">
      <c r="A5788" s="1" t="s">
        <v>6102</v>
      </c>
      <c r="B5788" t="s">
        <v>10336</v>
      </c>
    </row>
    <row r="5789" spans="1:2">
      <c r="A5789" s="1" t="s">
        <v>6103</v>
      </c>
      <c r="B5789" t="s">
        <v>10282</v>
      </c>
    </row>
    <row r="5790" spans="1:2">
      <c r="A5790" s="1" t="s">
        <v>6104</v>
      </c>
      <c r="B5790" t="s">
        <v>10230</v>
      </c>
    </row>
    <row r="5791" spans="1:2">
      <c r="A5791" s="1" t="s">
        <v>6105</v>
      </c>
      <c r="B5791" t="s">
        <v>10239</v>
      </c>
    </row>
    <row r="5792" spans="1:2">
      <c r="A5792" s="1" t="s">
        <v>304</v>
      </c>
      <c r="B5792" t="s">
        <v>10222</v>
      </c>
    </row>
    <row r="5793" spans="1:2">
      <c r="A5793" s="1" t="s">
        <v>6106</v>
      </c>
      <c r="B5793" t="s">
        <v>10357</v>
      </c>
    </row>
    <row r="5794" spans="1:2">
      <c r="A5794" s="1" t="s">
        <v>6107</v>
      </c>
      <c r="B5794" t="s">
        <v>10223</v>
      </c>
    </row>
    <row r="5795" spans="1:2">
      <c r="A5795" s="1" t="s">
        <v>6108</v>
      </c>
      <c r="B5795" t="s">
        <v>10272</v>
      </c>
    </row>
    <row r="5796" spans="1:2">
      <c r="A5796" s="1" t="s">
        <v>6109</v>
      </c>
      <c r="B5796" t="s">
        <v>10240</v>
      </c>
    </row>
    <row r="5797" spans="1:2">
      <c r="A5797" s="1" t="s">
        <v>6110</v>
      </c>
      <c r="B5797" t="s">
        <v>10245</v>
      </c>
    </row>
    <row r="5798" spans="1:2">
      <c r="A5798" s="1" t="s">
        <v>6111</v>
      </c>
      <c r="B5798" t="s">
        <v>10250</v>
      </c>
    </row>
    <row r="5799" spans="1:2">
      <c r="A5799" s="1" t="s">
        <v>6112</v>
      </c>
      <c r="B5799" t="s">
        <v>10286</v>
      </c>
    </row>
    <row r="5800" spans="1:2">
      <c r="A5800" s="1" t="s">
        <v>6113</v>
      </c>
      <c r="B5800" t="s">
        <v>10398</v>
      </c>
    </row>
    <row r="5801" spans="1:2">
      <c r="A5801" s="1" t="s">
        <v>6114</v>
      </c>
      <c r="B5801" t="s">
        <v>901</v>
      </c>
    </row>
    <row r="5802" spans="1:2">
      <c r="A5802" s="1" t="s">
        <v>6115</v>
      </c>
      <c r="B5802" t="s">
        <v>10254</v>
      </c>
    </row>
    <row r="5803" spans="1:2">
      <c r="A5803" s="1" t="s">
        <v>6116</v>
      </c>
      <c r="B5803" t="s">
        <v>10286</v>
      </c>
    </row>
    <row r="5804" spans="1:2">
      <c r="A5804" s="1" t="s">
        <v>676</v>
      </c>
      <c r="B5804" t="s">
        <v>10240</v>
      </c>
    </row>
    <row r="5805" spans="1:2">
      <c r="A5805" s="1" t="s">
        <v>6117</v>
      </c>
      <c r="B5805" t="s">
        <v>10239</v>
      </c>
    </row>
    <row r="5806" spans="1:2">
      <c r="A5806" s="1" t="s">
        <v>6118</v>
      </c>
      <c r="B5806" t="s">
        <v>10311</v>
      </c>
    </row>
    <row r="5807" spans="1:2">
      <c r="A5807" s="1" t="s">
        <v>6119</v>
      </c>
      <c r="B5807" t="s">
        <v>10516</v>
      </c>
    </row>
    <row r="5808" spans="1:2">
      <c r="A5808" s="1" t="s">
        <v>6120</v>
      </c>
      <c r="B5808" t="s">
        <v>10375</v>
      </c>
    </row>
    <row r="5809" spans="1:2">
      <c r="A5809" s="1" t="s">
        <v>6121</v>
      </c>
      <c r="B5809" t="s">
        <v>10266</v>
      </c>
    </row>
    <row r="5810" spans="1:2">
      <c r="A5810" s="1" t="s">
        <v>6122</v>
      </c>
      <c r="B5810" t="s">
        <v>10283</v>
      </c>
    </row>
    <row r="5811" spans="1:2">
      <c r="A5811" s="1" t="s">
        <v>6123</v>
      </c>
      <c r="B5811" t="s">
        <v>10245</v>
      </c>
    </row>
    <row r="5812" spans="1:2">
      <c r="A5812" s="1" t="s">
        <v>6124</v>
      </c>
      <c r="B5812" t="s">
        <v>10280</v>
      </c>
    </row>
    <row r="5813" spans="1:2">
      <c r="A5813" s="1" t="s">
        <v>6125</v>
      </c>
      <c r="B5813" t="s">
        <v>10240</v>
      </c>
    </row>
    <row r="5814" spans="1:2">
      <c r="A5814" s="1" t="s">
        <v>6126</v>
      </c>
      <c r="B5814" t="s">
        <v>10264</v>
      </c>
    </row>
    <row r="5815" spans="1:2">
      <c r="A5815" s="1" t="s">
        <v>6127</v>
      </c>
      <c r="B5815" t="s">
        <v>10428</v>
      </c>
    </row>
    <row r="5816" spans="1:2">
      <c r="A5816" s="1" t="s">
        <v>6128</v>
      </c>
      <c r="B5816" t="s">
        <v>10287</v>
      </c>
    </row>
    <row r="5817" spans="1:2">
      <c r="A5817" s="1" t="s">
        <v>6129</v>
      </c>
      <c r="B5817" t="s">
        <v>10261</v>
      </c>
    </row>
    <row r="5818" spans="1:2">
      <c r="A5818" s="1" t="s">
        <v>6130</v>
      </c>
      <c r="B5818" t="s">
        <v>10277</v>
      </c>
    </row>
    <row r="5819" spans="1:2">
      <c r="A5819" s="1" t="s">
        <v>6131</v>
      </c>
      <c r="B5819" t="s">
        <v>10278</v>
      </c>
    </row>
    <row r="5820" spans="1:2">
      <c r="A5820" s="1" t="s">
        <v>6132</v>
      </c>
      <c r="B5820" t="s">
        <v>10269</v>
      </c>
    </row>
    <row r="5821" spans="1:2">
      <c r="A5821" s="1" t="s">
        <v>6133</v>
      </c>
      <c r="B5821" t="s">
        <v>10230</v>
      </c>
    </row>
    <row r="5822" spans="1:2">
      <c r="A5822" s="1" t="s">
        <v>6134</v>
      </c>
      <c r="B5822" t="s">
        <v>10500</v>
      </c>
    </row>
    <row r="5823" spans="1:2">
      <c r="A5823" s="1" t="s">
        <v>438</v>
      </c>
      <c r="B5823" t="s">
        <v>10313</v>
      </c>
    </row>
    <row r="5824" spans="1:2">
      <c r="A5824" s="1" t="s">
        <v>6135</v>
      </c>
      <c r="B5824" t="s">
        <v>10266</v>
      </c>
    </row>
    <row r="5825" spans="1:2">
      <c r="A5825" s="1" t="s">
        <v>6136</v>
      </c>
      <c r="B5825" t="s">
        <v>10407</v>
      </c>
    </row>
    <row r="5826" spans="1:2">
      <c r="A5826" s="1" t="s">
        <v>214</v>
      </c>
      <c r="B5826" t="s">
        <v>10244</v>
      </c>
    </row>
    <row r="5827" spans="1:2">
      <c r="A5827" s="1" t="s">
        <v>6137</v>
      </c>
      <c r="B5827" t="s">
        <v>10286</v>
      </c>
    </row>
    <row r="5828" spans="1:2">
      <c r="A5828" s="1" t="s">
        <v>6138</v>
      </c>
      <c r="B5828" t="s">
        <v>10230</v>
      </c>
    </row>
    <row r="5829" spans="1:2">
      <c r="A5829" s="1" t="s">
        <v>6139</v>
      </c>
      <c r="B5829" t="s">
        <v>10500</v>
      </c>
    </row>
    <row r="5830" spans="1:2">
      <c r="A5830" s="1" t="s">
        <v>132</v>
      </c>
      <c r="B5830" t="s">
        <v>10364</v>
      </c>
    </row>
    <row r="5831" spans="1:2">
      <c r="A5831" s="1" t="s">
        <v>6140</v>
      </c>
      <c r="B5831" t="s">
        <v>901</v>
      </c>
    </row>
    <row r="5832" spans="1:2">
      <c r="A5832" s="1" t="s">
        <v>6141</v>
      </c>
      <c r="B5832" t="s">
        <v>10369</v>
      </c>
    </row>
    <row r="5833" spans="1:2">
      <c r="A5833" s="1" t="s">
        <v>6142</v>
      </c>
      <c r="B5833" t="s">
        <v>10387</v>
      </c>
    </row>
    <row r="5834" spans="1:2">
      <c r="A5834" s="1" t="s">
        <v>6143</v>
      </c>
      <c r="B5834" t="s">
        <v>10244</v>
      </c>
    </row>
    <row r="5835" spans="1:2">
      <c r="A5835" s="1" t="s">
        <v>6144</v>
      </c>
      <c r="B5835" t="s">
        <v>901</v>
      </c>
    </row>
    <row r="5836" spans="1:2">
      <c r="A5836" s="1" t="s">
        <v>6145</v>
      </c>
      <c r="B5836" t="s">
        <v>10442</v>
      </c>
    </row>
    <row r="5837" spans="1:2">
      <c r="A5837" s="1" t="s">
        <v>6146</v>
      </c>
      <c r="B5837" t="s">
        <v>10413</v>
      </c>
    </row>
    <row r="5838" spans="1:2">
      <c r="A5838" s="1" t="s">
        <v>6147</v>
      </c>
      <c r="B5838" t="s">
        <v>10239</v>
      </c>
    </row>
    <row r="5839" spans="1:2">
      <c r="A5839" s="1" t="s">
        <v>6148</v>
      </c>
      <c r="B5839" t="s">
        <v>10345</v>
      </c>
    </row>
    <row r="5840" spans="1:2">
      <c r="A5840" s="1" t="s">
        <v>6149</v>
      </c>
      <c r="B5840" t="s">
        <v>901</v>
      </c>
    </row>
    <row r="5841" spans="1:2">
      <c r="A5841" s="1" t="s">
        <v>6150</v>
      </c>
      <c r="B5841" t="s">
        <v>10405</v>
      </c>
    </row>
    <row r="5842" spans="1:2">
      <c r="A5842" s="1" t="s">
        <v>6151</v>
      </c>
      <c r="B5842" t="s">
        <v>10234</v>
      </c>
    </row>
    <row r="5843" spans="1:2">
      <c r="A5843" s="1" t="s">
        <v>6152</v>
      </c>
      <c r="B5843" t="s">
        <v>10230</v>
      </c>
    </row>
    <row r="5844" spans="1:2">
      <c r="A5844" s="1" t="s">
        <v>6153</v>
      </c>
      <c r="B5844" t="s">
        <v>10234</v>
      </c>
    </row>
    <row r="5845" spans="1:2">
      <c r="A5845" s="1" t="s">
        <v>134</v>
      </c>
      <c r="B5845" t="s">
        <v>10261</v>
      </c>
    </row>
    <row r="5846" spans="1:2">
      <c r="A5846" s="1" t="s">
        <v>6154</v>
      </c>
      <c r="B5846" t="s">
        <v>10343</v>
      </c>
    </row>
    <row r="5847" spans="1:2">
      <c r="A5847" s="1" t="s">
        <v>6155</v>
      </c>
      <c r="B5847" t="s">
        <v>10331</v>
      </c>
    </row>
    <row r="5848" spans="1:2">
      <c r="A5848" s="1" t="s">
        <v>6156</v>
      </c>
      <c r="B5848" t="s">
        <v>10481</v>
      </c>
    </row>
    <row r="5849" spans="1:2">
      <c r="A5849" s="1" t="s">
        <v>6157</v>
      </c>
      <c r="B5849" t="s">
        <v>10260</v>
      </c>
    </row>
    <row r="5850" spans="1:2">
      <c r="A5850" s="1" t="s">
        <v>6158</v>
      </c>
      <c r="B5850" t="s">
        <v>10277</v>
      </c>
    </row>
    <row r="5851" spans="1:2">
      <c r="A5851" s="1" t="s">
        <v>6159</v>
      </c>
      <c r="B5851" t="s">
        <v>10251</v>
      </c>
    </row>
    <row r="5852" spans="1:2">
      <c r="A5852" s="1" t="s">
        <v>6160</v>
      </c>
      <c r="B5852" t="s">
        <v>10279</v>
      </c>
    </row>
    <row r="5853" spans="1:2">
      <c r="A5853" s="1" t="s">
        <v>332</v>
      </c>
      <c r="B5853" t="s">
        <v>10405</v>
      </c>
    </row>
    <row r="5854" spans="1:2">
      <c r="A5854" s="1" t="s">
        <v>661</v>
      </c>
      <c r="B5854" t="s">
        <v>10234</v>
      </c>
    </row>
    <row r="5855" spans="1:2">
      <c r="A5855" s="1" t="s">
        <v>6161</v>
      </c>
      <c r="B5855" t="s">
        <v>10229</v>
      </c>
    </row>
    <row r="5856" spans="1:2">
      <c r="A5856" s="1" t="s">
        <v>6162</v>
      </c>
      <c r="B5856" t="s">
        <v>10298</v>
      </c>
    </row>
    <row r="5857" spans="1:2">
      <c r="A5857" s="1" t="s">
        <v>685</v>
      </c>
      <c r="B5857" t="s">
        <v>10277</v>
      </c>
    </row>
    <row r="5858" spans="1:2">
      <c r="A5858" s="1" t="s">
        <v>6163</v>
      </c>
      <c r="B5858" t="s">
        <v>10234</v>
      </c>
    </row>
    <row r="5859" spans="1:2">
      <c r="A5859" s="1" t="s">
        <v>6164</v>
      </c>
      <c r="B5859" t="s">
        <v>10277</v>
      </c>
    </row>
    <row r="5860" spans="1:2">
      <c r="A5860" s="1" t="s">
        <v>6165</v>
      </c>
      <c r="B5860" t="s">
        <v>901</v>
      </c>
    </row>
    <row r="5861" spans="1:2">
      <c r="A5861" s="1" t="s">
        <v>6166</v>
      </c>
      <c r="B5861" t="s">
        <v>10266</v>
      </c>
    </row>
    <row r="5862" spans="1:2">
      <c r="A5862" s="1" t="s">
        <v>133</v>
      </c>
      <c r="B5862" t="s">
        <v>10229</v>
      </c>
    </row>
    <row r="5863" spans="1:2">
      <c r="A5863" s="1" t="s">
        <v>6167</v>
      </c>
      <c r="B5863" t="s">
        <v>10238</v>
      </c>
    </row>
    <row r="5864" spans="1:2">
      <c r="A5864" s="1" t="s">
        <v>6168</v>
      </c>
      <c r="B5864" t="s">
        <v>10230</v>
      </c>
    </row>
    <row r="5865" spans="1:2">
      <c r="A5865" s="1" t="s">
        <v>6169</v>
      </c>
      <c r="B5865" t="s">
        <v>10457</v>
      </c>
    </row>
    <row r="5866" spans="1:2">
      <c r="A5866" s="1" t="s">
        <v>6170</v>
      </c>
      <c r="B5866" t="s">
        <v>10311</v>
      </c>
    </row>
    <row r="5867" spans="1:2">
      <c r="A5867" s="1" t="s">
        <v>6171</v>
      </c>
      <c r="B5867" t="s">
        <v>10230</v>
      </c>
    </row>
    <row r="5868" spans="1:2">
      <c r="A5868" s="1" t="s">
        <v>6172</v>
      </c>
      <c r="B5868" t="s">
        <v>10413</v>
      </c>
    </row>
    <row r="5869" spans="1:2">
      <c r="A5869" s="1" t="s">
        <v>6173</v>
      </c>
      <c r="B5869" t="s">
        <v>901</v>
      </c>
    </row>
    <row r="5870" spans="1:2">
      <c r="A5870" s="1" t="s">
        <v>6174</v>
      </c>
      <c r="B5870" t="s">
        <v>10387</v>
      </c>
    </row>
    <row r="5871" spans="1:2">
      <c r="A5871" s="1" t="s">
        <v>263</v>
      </c>
      <c r="B5871" t="s">
        <v>10239</v>
      </c>
    </row>
    <row r="5872" spans="1:2">
      <c r="A5872" s="1" t="s">
        <v>6175</v>
      </c>
      <c r="B5872" t="s">
        <v>10408</v>
      </c>
    </row>
    <row r="5873" spans="1:2">
      <c r="A5873" s="1" t="s">
        <v>6176</v>
      </c>
      <c r="B5873" t="s">
        <v>10243</v>
      </c>
    </row>
    <row r="5874" spans="1:2">
      <c r="A5874" s="1" t="s">
        <v>6177</v>
      </c>
      <c r="B5874" t="s">
        <v>10445</v>
      </c>
    </row>
    <row r="5875" spans="1:2">
      <c r="A5875" s="1" t="s">
        <v>6178</v>
      </c>
      <c r="B5875" t="s">
        <v>10234</v>
      </c>
    </row>
    <row r="5876" spans="1:2">
      <c r="A5876" s="1" t="s">
        <v>6179</v>
      </c>
      <c r="B5876" t="s">
        <v>10379</v>
      </c>
    </row>
    <row r="5877" spans="1:2">
      <c r="A5877" s="1" t="s">
        <v>6180</v>
      </c>
      <c r="B5877" t="s">
        <v>10481</v>
      </c>
    </row>
    <row r="5878" spans="1:2">
      <c r="A5878" s="1" t="s">
        <v>6181</v>
      </c>
      <c r="B5878" t="s">
        <v>10245</v>
      </c>
    </row>
    <row r="5879" spans="1:2">
      <c r="A5879" s="1" t="s">
        <v>743</v>
      </c>
      <c r="B5879" t="s">
        <v>10224</v>
      </c>
    </row>
    <row r="5880" spans="1:2">
      <c r="A5880" s="1" t="s">
        <v>6182</v>
      </c>
      <c r="B5880" t="s">
        <v>10377</v>
      </c>
    </row>
    <row r="5881" spans="1:2">
      <c r="A5881" s="1" t="s">
        <v>6183</v>
      </c>
      <c r="B5881" t="s">
        <v>10276</v>
      </c>
    </row>
    <row r="5882" spans="1:2">
      <c r="A5882" s="1" t="s">
        <v>6184</v>
      </c>
      <c r="B5882" t="s">
        <v>10238</v>
      </c>
    </row>
    <row r="5883" spans="1:2">
      <c r="A5883" s="1" t="s">
        <v>540</v>
      </c>
      <c r="B5883" t="s">
        <v>10223</v>
      </c>
    </row>
    <row r="5884" spans="1:2">
      <c r="A5884" s="1" t="s">
        <v>6185</v>
      </c>
      <c r="B5884" t="s">
        <v>10233</v>
      </c>
    </row>
    <row r="5885" spans="1:2">
      <c r="A5885" s="1" t="s">
        <v>6186</v>
      </c>
      <c r="B5885" t="s">
        <v>10403</v>
      </c>
    </row>
    <row r="5886" spans="1:2">
      <c r="A5886" s="1" t="s">
        <v>6187</v>
      </c>
      <c r="B5886" t="s">
        <v>10403</v>
      </c>
    </row>
    <row r="5887" spans="1:2">
      <c r="A5887" s="1" t="s">
        <v>149</v>
      </c>
      <c r="B5887" t="s">
        <v>10260</v>
      </c>
    </row>
    <row r="5888" spans="1:2">
      <c r="A5888" s="1" t="s">
        <v>899</v>
      </c>
      <c r="B5888" t="s">
        <v>10419</v>
      </c>
    </row>
    <row r="5889" spans="1:2">
      <c r="A5889" s="1" t="s">
        <v>6188</v>
      </c>
      <c r="B5889" t="s">
        <v>10424</v>
      </c>
    </row>
    <row r="5890" spans="1:2">
      <c r="A5890" s="1" t="s">
        <v>514</v>
      </c>
      <c r="B5890" t="s">
        <v>10261</v>
      </c>
    </row>
    <row r="5891" spans="1:2">
      <c r="A5891" s="1" t="s">
        <v>6189</v>
      </c>
      <c r="B5891" t="s">
        <v>10424</v>
      </c>
    </row>
    <row r="5892" spans="1:2">
      <c r="A5892" s="1" t="s">
        <v>6190</v>
      </c>
      <c r="B5892" t="s">
        <v>10399</v>
      </c>
    </row>
    <row r="5893" spans="1:2">
      <c r="A5893" s="1" t="s">
        <v>6191</v>
      </c>
      <c r="B5893" t="s">
        <v>10372</v>
      </c>
    </row>
    <row r="5894" spans="1:2">
      <c r="A5894" s="1" t="s">
        <v>6192</v>
      </c>
      <c r="B5894" t="s">
        <v>901</v>
      </c>
    </row>
    <row r="5895" spans="1:2">
      <c r="A5895" s="1" t="s">
        <v>6193</v>
      </c>
      <c r="B5895" t="s">
        <v>10245</v>
      </c>
    </row>
    <row r="5896" spans="1:2">
      <c r="A5896" s="1" t="s">
        <v>6194</v>
      </c>
      <c r="B5896" t="s">
        <v>10357</v>
      </c>
    </row>
    <row r="5897" spans="1:2">
      <c r="A5897" s="1" t="s">
        <v>6195</v>
      </c>
      <c r="B5897" t="s">
        <v>10239</v>
      </c>
    </row>
    <row r="5898" spans="1:2">
      <c r="A5898" s="1" t="s">
        <v>440</v>
      </c>
      <c r="B5898" t="s">
        <v>10229</v>
      </c>
    </row>
    <row r="5899" spans="1:2">
      <c r="A5899" s="1" t="s">
        <v>515</v>
      </c>
      <c r="B5899" t="s">
        <v>10258</v>
      </c>
    </row>
    <row r="5900" spans="1:2">
      <c r="A5900" s="1" t="s">
        <v>6196</v>
      </c>
      <c r="B5900" t="s">
        <v>10456</v>
      </c>
    </row>
    <row r="5901" spans="1:2">
      <c r="A5901" s="1" t="s">
        <v>6197</v>
      </c>
      <c r="B5901" t="s">
        <v>10266</v>
      </c>
    </row>
    <row r="5902" spans="1:2">
      <c r="A5902" s="1" t="s">
        <v>6198</v>
      </c>
      <c r="B5902" t="s">
        <v>10306</v>
      </c>
    </row>
    <row r="5903" spans="1:2">
      <c r="A5903" s="1" t="s">
        <v>6199</v>
      </c>
      <c r="B5903" t="s">
        <v>10284</v>
      </c>
    </row>
    <row r="5904" spans="1:2">
      <c r="A5904" s="1" t="s">
        <v>317</v>
      </c>
      <c r="B5904" t="s">
        <v>10252</v>
      </c>
    </row>
    <row r="5905" spans="1:2">
      <c r="A5905" s="1" t="s">
        <v>833</v>
      </c>
      <c r="B5905" t="s">
        <v>10228</v>
      </c>
    </row>
    <row r="5906" spans="1:2">
      <c r="A5906" s="1" t="s">
        <v>6200</v>
      </c>
      <c r="B5906" t="s">
        <v>10276</v>
      </c>
    </row>
    <row r="5907" spans="1:2">
      <c r="A5907" s="1" t="s">
        <v>6201</v>
      </c>
      <c r="B5907" t="s">
        <v>10393</v>
      </c>
    </row>
    <row r="5908" spans="1:2">
      <c r="A5908" s="1" t="s">
        <v>6202</v>
      </c>
      <c r="B5908" t="s">
        <v>10240</v>
      </c>
    </row>
    <row r="5909" spans="1:2">
      <c r="A5909" s="1" t="s">
        <v>6203</v>
      </c>
      <c r="B5909" t="s">
        <v>10234</v>
      </c>
    </row>
    <row r="5910" spans="1:2">
      <c r="A5910" s="1" t="s">
        <v>6204</v>
      </c>
      <c r="B5910" t="s">
        <v>901</v>
      </c>
    </row>
    <row r="5911" spans="1:2">
      <c r="A5911" s="1" t="s">
        <v>6205</v>
      </c>
      <c r="B5911" t="s">
        <v>10292</v>
      </c>
    </row>
    <row r="5912" spans="1:2">
      <c r="A5912" s="1" t="s">
        <v>124</v>
      </c>
      <c r="B5912" t="s">
        <v>10361</v>
      </c>
    </row>
    <row r="5913" spans="1:2">
      <c r="A5913" s="1" t="s">
        <v>6206</v>
      </c>
      <c r="B5913" t="s">
        <v>10272</v>
      </c>
    </row>
    <row r="5914" spans="1:2">
      <c r="A5914" s="1" t="s">
        <v>6207</v>
      </c>
      <c r="B5914" t="s">
        <v>10240</v>
      </c>
    </row>
    <row r="5915" spans="1:2">
      <c r="A5915" s="1" t="s">
        <v>6208</v>
      </c>
      <c r="B5915" t="s">
        <v>10234</v>
      </c>
    </row>
    <row r="5916" spans="1:2">
      <c r="A5916" s="1" t="s">
        <v>6209</v>
      </c>
      <c r="B5916" t="s">
        <v>10230</v>
      </c>
    </row>
    <row r="5917" spans="1:2">
      <c r="A5917" s="1" t="s">
        <v>6210</v>
      </c>
      <c r="B5917" t="s">
        <v>10517</v>
      </c>
    </row>
    <row r="5918" spans="1:2">
      <c r="A5918" s="1" t="s">
        <v>6211</v>
      </c>
      <c r="B5918" t="s">
        <v>901</v>
      </c>
    </row>
    <row r="5919" spans="1:2">
      <c r="A5919" s="1" t="s">
        <v>6212</v>
      </c>
      <c r="B5919" t="s">
        <v>10359</v>
      </c>
    </row>
    <row r="5920" spans="1:2">
      <c r="A5920" s="1" t="s">
        <v>6213</v>
      </c>
      <c r="B5920" t="s">
        <v>10283</v>
      </c>
    </row>
    <row r="5921" spans="1:2">
      <c r="A5921" s="1" t="s">
        <v>6214</v>
      </c>
      <c r="B5921" t="s">
        <v>10322</v>
      </c>
    </row>
    <row r="5922" spans="1:2">
      <c r="A5922" s="1" t="s">
        <v>6215</v>
      </c>
      <c r="B5922" t="s">
        <v>10239</v>
      </c>
    </row>
    <row r="5923" spans="1:2">
      <c r="A5923" s="1" t="s">
        <v>6216</v>
      </c>
      <c r="B5923" t="s">
        <v>10403</v>
      </c>
    </row>
    <row r="5924" spans="1:2">
      <c r="A5924" s="1" t="s">
        <v>6217</v>
      </c>
      <c r="B5924" t="s">
        <v>10393</v>
      </c>
    </row>
    <row r="5925" spans="1:2">
      <c r="A5925" s="1" t="s">
        <v>6218</v>
      </c>
      <c r="B5925" t="s">
        <v>10275</v>
      </c>
    </row>
    <row r="5926" spans="1:2">
      <c r="A5926" s="1" t="s">
        <v>6219</v>
      </c>
      <c r="B5926" t="s">
        <v>10240</v>
      </c>
    </row>
    <row r="5927" spans="1:2">
      <c r="A5927" s="1" t="s">
        <v>6220</v>
      </c>
      <c r="B5927" t="s">
        <v>10345</v>
      </c>
    </row>
    <row r="5928" spans="1:2">
      <c r="A5928" s="1" t="s">
        <v>6221</v>
      </c>
      <c r="B5928" t="s">
        <v>10240</v>
      </c>
    </row>
    <row r="5929" spans="1:2">
      <c r="A5929" s="1" t="s">
        <v>6222</v>
      </c>
      <c r="B5929" t="s">
        <v>10276</v>
      </c>
    </row>
    <row r="5930" spans="1:2">
      <c r="A5930" s="1" t="s">
        <v>6223</v>
      </c>
      <c r="B5930" t="s">
        <v>10242</v>
      </c>
    </row>
    <row r="5931" spans="1:2">
      <c r="A5931" s="1" t="s">
        <v>6224</v>
      </c>
      <c r="B5931" t="s">
        <v>901</v>
      </c>
    </row>
    <row r="5932" spans="1:2">
      <c r="A5932" s="1" t="s">
        <v>45</v>
      </c>
      <c r="B5932" t="s">
        <v>10277</v>
      </c>
    </row>
    <row r="5933" spans="1:2">
      <c r="A5933" s="1" t="s">
        <v>6225</v>
      </c>
      <c r="B5933" t="s">
        <v>10319</v>
      </c>
    </row>
    <row r="5934" spans="1:2">
      <c r="A5934" s="1" t="s">
        <v>83</v>
      </c>
      <c r="B5934" t="s">
        <v>10460</v>
      </c>
    </row>
    <row r="5935" spans="1:2">
      <c r="A5935" s="1" t="s">
        <v>6226</v>
      </c>
      <c r="B5935" t="s">
        <v>10241</v>
      </c>
    </row>
    <row r="5936" spans="1:2">
      <c r="A5936" s="1" t="s">
        <v>6227</v>
      </c>
      <c r="B5936" t="s">
        <v>10426</v>
      </c>
    </row>
    <row r="5937" spans="1:2">
      <c r="A5937" s="1" t="s">
        <v>6228</v>
      </c>
      <c r="B5937" t="s">
        <v>10288</v>
      </c>
    </row>
    <row r="5938" spans="1:2">
      <c r="A5938" s="1" t="s">
        <v>6229</v>
      </c>
      <c r="B5938" t="s">
        <v>10345</v>
      </c>
    </row>
    <row r="5939" spans="1:2">
      <c r="A5939" s="1" t="s">
        <v>6230</v>
      </c>
      <c r="B5939" t="s">
        <v>10240</v>
      </c>
    </row>
    <row r="5940" spans="1:2">
      <c r="A5940" s="1" t="s">
        <v>6231</v>
      </c>
      <c r="B5940" t="s">
        <v>10275</v>
      </c>
    </row>
    <row r="5941" spans="1:2">
      <c r="A5941" s="1" t="s">
        <v>6232</v>
      </c>
      <c r="B5941" t="s">
        <v>10453</v>
      </c>
    </row>
    <row r="5942" spans="1:2">
      <c r="A5942" s="1" t="s">
        <v>6233</v>
      </c>
      <c r="B5942" t="s">
        <v>10239</v>
      </c>
    </row>
    <row r="5943" spans="1:2">
      <c r="A5943" s="1" t="s">
        <v>6234</v>
      </c>
      <c r="B5943" t="s">
        <v>10277</v>
      </c>
    </row>
    <row r="5944" spans="1:2">
      <c r="A5944" s="1" t="s">
        <v>128</v>
      </c>
      <c r="B5944" t="s">
        <v>10402</v>
      </c>
    </row>
    <row r="5945" spans="1:2">
      <c r="A5945" s="1" t="s">
        <v>6235</v>
      </c>
      <c r="B5945" t="s">
        <v>10238</v>
      </c>
    </row>
    <row r="5946" spans="1:2">
      <c r="A5946" s="1" t="s">
        <v>6236</v>
      </c>
      <c r="B5946" t="s">
        <v>10234</v>
      </c>
    </row>
    <row r="5947" spans="1:2">
      <c r="A5947" s="1" t="s">
        <v>6237</v>
      </c>
      <c r="B5947" t="s">
        <v>10406</v>
      </c>
    </row>
    <row r="5948" spans="1:2">
      <c r="A5948" s="1" t="s">
        <v>6238</v>
      </c>
      <c r="B5948" t="s">
        <v>10230</v>
      </c>
    </row>
    <row r="5949" spans="1:2">
      <c r="A5949" s="1" t="s">
        <v>6239</v>
      </c>
      <c r="B5949" t="s">
        <v>10417</v>
      </c>
    </row>
    <row r="5950" spans="1:2">
      <c r="A5950" s="1" t="s">
        <v>6240</v>
      </c>
      <c r="B5950" t="s">
        <v>10343</v>
      </c>
    </row>
    <row r="5951" spans="1:2">
      <c r="A5951" s="1" t="s">
        <v>86</v>
      </c>
      <c r="B5951" t="s">
        <v>10243</v>
      </c>
    </row>
    <row r="5952" spans="1:2">
      <c r="A5952" s="1" t="s">
        <v>6241</v>
      </c>
      <c r="B5952" t="s">
        <v>10234</v>
      </c>
    </row>
    <row r="5953" spans="1:2">
      <c r="A5953" s="1" t="s">
        <v>6242</v>
      </c>
      <c r="B5953" t="s">
        <v>10276</v>
      </c>
    </row>
    <row r="5954" spans="1:2">
      <c r="A5954" s="1" t="s">
        <v>6243</v>
      </c>
      <c r="B5954" t="s">
        <v>10224</v>
      </c>
    </row>
    <row r="5955" spans="1:2">
      <c r="A5955" s="1" t="s">
        <v>99</v>
      </c>
      <c r="B5955" t="s">
        <v>10460</v>
      </c>
    </row>
    <row r="5956" spans="1:2">
      <c r="A5956" s="1" t="s">
        <v>6244</v>
      </c>
      <c r="B5956" t="s">
        <v>10518</v>
      </c>
    </row>
    <row r="5957" spans="1:2">
      <c r="A5957" s="1" t="s">
        <v>6245</v>
      </c>
      <c r="B5957" t="s">
        <v>10323</v>
      </c>
    </row>
    <row r="5958" spans="1:2">
      <c r="A5958" s="1" t="s">
        <v>6246</v>
      </c>
      <c r="B5958" t="s">
        <v>10258</v>
      </c>
    </row>
    <row r="5959" spans="1:2">
      <c r="A5959" s="1" t="s">
        <v>6247</v>
      </c>
      <c r="B5959" t="s">
        <v>10272</v>
      </c>
    </row>
    <row r="5960" spans="1:2">
      <c r="A5960" s="1" t="s">
        <v>6248</v>
      </c>
      <c r="B5960" t="s">
        <v>10340</v>
      </c>
    </row>
    <row r="5961" spans="1:2">
      <c r="A5961" s="1" t="s">
        <v>6249</v>
      </c>
      <c r="B5961" t="s">
        <v>10371</v>
      </c>
    </row>
    <row r="5962" spans="1:2">
      <c r="A5962" s="1" t="s">
        <v>6250</v>
      </c>
      <c r="B5962" t="s">
        <v>10229</v>
      </c>
    </row>
    <row r="5963" spans="1:2">
      <c r="A5963" s="1" t="s">
        <v>529</v>
      </c>
      <c r="B5963" t="s">
        <v>10234</v>
      </c>
    </row>
    <row r="5964" spans="1:2">
      <c r="A5964" s="1" t="s">
        <v>6251</v>
      </c>
      <c r="B5964" t="s">
        <v>10261</v>
      </c>
    </row>
    <row r="5965" spans="1:2">
      <c r="A5965" s="1" t="s">
        <v>6252</v>
      </c>
      <c r="B5965" t="s">
        <v>10224</v>
      </c>
    </row>
    <row r="5966" spans="1:2">
      <c r="A5966" s="1" t="s">
        <v>6253</v>
      </c>
      <c r="B5966" t="s">
        <v>10369</v>
      </c>
    </row>
    <row r="5967" spans="1:2">
      <c r="A5967" s="1" t="s">
        <v>6254</v>
      </c>
      <c r="B5967" t="s">
        <v>10292</v>
      </c>
    </row>
    <row r="5968" spans="1:2">
      <c r="A5968" s="1" t="s">
        <v>6255</v>
      </c>
      <c r="B5968" t="s">
        <v>10445</v>
      </c>
    </row>
    <row r="5969" spans="1:2">
      <c r="A5969" s="1" t="s">
        <v>291</v>
      </c>
      <c r="B5969" t="s">
        <v>10250</v>
      </c>
    </row>
    <row r="5970" spans="1:2">
      <c r="A5970" s="1" t="s">
        <v>6256</v>
      </c>
      <c r="B5970" t="s">
        <v>10224</v>
      </c>
    </row>
    <row r="5971" spans="1:2">
      <c r="A5971" s="1" t="s">
        <v>6257</v>
      </c>
      <c r="B5971" t="s">
        <v>10240</v>
      </c>
    </row>
    <row r="5972" spans="1:2">
      <c r="A5972" s="1" t="s">
        <v>6258</v>
      </c>
      <c r="B5972" t="s">
        <v>10231</v>
      </c>
    </row>
    <row r="5973" spans="1:2">
      <c r="A5973" s="1" t="s">
        <v>6259</v>
      </c>
      <c r="B5973" t="s">
        <v>10234</v>
      </c>
    </row>
    <row r="5974" spans="1:2">
      <c r="A5974" s="1" t="s">
        <v>6260</v>
      </c>
      <c r="B5974" t="s">
        <v>901</v>
      </c>
    </row>
    <row r="5975" spans="1:2">
      <c r="A5975" s="1" t="s">
        <v>6261</v>
      </c>
      <c r="B5975" t="s">
        <v>10234</v>
      </c>
    </row>
    <row r="5976" spans="1:2">
      <c r="A5976" s="1" t="s">
        <v>6262</v>
      </c>
      <c r="B5976" t="s">
        <v>10319</v>
      </c>
    </row>
    <row r="5977" spans="1:2">
      <c r="A5977" s="1" t="s">
        <v>663</v>
      </c>
      <c r="B5977" t="s">
        <v>10364</v>
      </c>
    </row>
    <row r="5978" spans="1:2">
      <c r="A5978" s="1" t="s">
        <v>6263</v>
      </c>
      <c r="B5978" t="s">
        <v>10240</v>
      </c>
    </row>
    <row r="5979" spans="1:2">
      <c r="A5979" s="1" t="s">
        <v>159</v>
      </c>
      <c r="B5979" t="s">
        <v>10266</v>
      </c>
    </row>
    <row r="5980" spans="1:2">
      <c r="A5980" s="1" t="s">
        <v>6264</v>
      </c>
      <c r="B5980" t="s">
        <v>10345</v>
      </c>
    </row>
    <row r="5981" spans="1:2">
      <c r="A5981" s="1" t="s">
        <v>6265</v>
      </c>
      <c r="B5981" t="s">
        <v>10437</v>
      </c>
    </row>
    <row r="5982" spans="1:2">
      <c r="A5982" s="1" t="s">
        <v>6266</v>
      </c>
      <c r="B5982" t="s">
        <v>10430</v>
      </c>
    </row>
    <row r="5983" spans="1:2">
      <c r="A5983" s="1" t="s">
        <v>703</v>
      </c>
      <c r="B5983" t="s">
        <v>10229</v>
      </c>
    </row>
    <row r="5984" spans="1:2">
      <c r="A5984" s="1" t="s">
        <v>6267</v>
      </c>
      <c r="B5984" t="s">
        <v>10372</v>
      </c>
    </row>
    <row r="5985" spans="1:2">
      <c r="A5985" s="1" t="s">
        <v>6268</v>
      </c>
      <c r="B5985" t="s">
        <v>10314</v>
      </c>
    </row>
    <row r="5986" spans="1:2">
      <c r="A5986" s="1" t="s">
        <v>490</v>
      </c>
      <c r="B5986" t="s">
        <v>10287</v>
      </c>
    </row>
    <row r="5987" spans="1:2">
      <c r="A5987" s="1" t="s">
        <v>6269</v>
      </c>
      <c r="B5987" t="s">
        <v>10272</v>
      </c>
    </row>
    <row r="5988" spans="1:2">
      <c r="A5988" s="1" t="s">
        <v>6270</v>
      </c>
      <c r="B5988" t="s">
        <v>901</v>
      </c>
    </row>
    <row r="5989" spans="1:2">
      <c r="A5989" s="1" t="s">
        <v>6271</v>
      </c>
      <c r="B5989" t="s">
        <v>10231</v>
      </c>
    </row>
    <row r="5990" spans="1:2">
      <c r="A5990" s="1" t="s">
        <v>6272</v>
      </c>
      <c r="B5990" t="s">
        <v>10276</v>
      </c>
    </row>
    <row r="5991" spans="1:2">
      <c r="A5991" s="1" t="s">
        <v>6273</v>
      </c>
      <c r="B5991" t="s">
        <v>901</v>
      </c>
    </row>
    <row r="5992" spans="1:2">
      <c r="A5992" s="1" t="s">
        <v>6274</v>
      </c>
      <c r="B5992" t="s">
        <v>10230</v>
      </c>
    </row>
    <row r="5993" spans="1:2">
      <c r="A5993" s="1" t="s">
        <v>6275</v>
      </c>
      <c r="B5993" t="s">
        <v>10263</v>
      </c>
    </row>
    <row r="5994" spans="1:2">
      <c r="A5994" s="1" t="s">
        <v>6276</v>
      </c>
      <c r="B5994" t="s">
        <v>10244</v>
      </c>
    </row>
    <row r="5995" spans="1:2">
      <c r="A5995" s="1" t="s">
        <v>6277</v>
      </c>
      <c r="B5995" t="s">
        <v>10319</v>
      </c>
    </row>
    <row r="5996" spans="1:2">
      <c r="A5996" s="1" t="s">
        <v>6278</v>
      </c>
      <c r="B5996" t="s">
        <v>10319</v>
      </c>
    </row>
    <row r="5997" spans="1:2">
      <c r="A5997" s="1" t="s">
        <v>6279</v>
      </c>
      <c r="B5997" t="s">
        <v>10399</v>
      </c>
    </row>
    <row r="5998" spans="1:2">
      <c r="A5998" s="1" t="s">
        <v>6280</v>
      </c>
      <c r="B5998" t="s">
        <v>10319</v>
      </c>
    </row>
    <row r="5999" spans="1:2">
      <c r="A5999" s="1" t="s">
        <v>6281</v>
      </c>
      <c r="B5999" t="s">
        <v>10234</v>
      </c>
    </row>
    <row r="6000" spans="1:2">
      <c r="A6000" s="1" t="s">
        <v>6282</v>
      </c>
      <c r="B6000" t="s">
        <v>10305</v>
      </c>
    </row>
    <row r="6001" spans="1:2">
      <c r="A6001" s="1" t="s">
        <v>6283</v>
      </c>
      <c r="B6001" t="s">
        <v>10244</v>
      </c>
    </row>
    <row r="6002" spans="1:2">
      <c r="A6002" s="1" t="s">
        <v>6284</v>
      </c>
      <c r="B6002" t="s">
        <v>10224</v>
      </c>
    </row>
    <row r="6003" spans="1:2">
      <c r="A6003" s="1" t="s">
        <v>6285</v>
      </c>
      <c r="B6003" t="s">
        <v>10225</v>
      </c>
    </row>
    <row r="6004" spans="1:2">
      <c r="A6004" s="1" t="s">
        <v>6286</v>
      </c>
      <c r="B6004" t="s">
        <v>10262</v>
      </c>
    </row>
    <row r="6005" spans="1:2">
      <c r="A6005" s="1" t="s">
        <v>6287</v>
      </c>
      <c r="B6005" t="s">
        <v>901</v>
      </c>
    </row>
    <row r="6006" spans="1:2">
      <c r="A6006" s="1" t="s">
        <v>6288</v>
      </c>
      <c r="B6006" t="s">
        <v>10414</v>
      </c>
    </row>
    <row r="6007" spans="1:2">
      <c r="A6007" s="1" t="s">
        <v>6289</v>
      </c>
      <c r="B6007" t="s">
        <v>10287</v>
      </c>
    </row>
    <row r="6008" spans="1:2">
      <c r="A6008" s="1" t="s">
        <v>350</v>
      </c>
      <c r="B6008" t="s">
        <v>10261</v>
      </c>
    </row>
    <row r="6009" spans="1:2">
      <c r="A6009" s="1" t="s">
        <v>6290</v>
      </c>
      <c r="B6009" t="s">
        <v>901</v>
      </c>
    </row>
    <row r="6010" spans="1:2">
      <c r="A6010" s="1" t="s">
        <v>6291</v>
      </c>
      <c r="B6010" t="s">
        <v>10283</v>
      </c>
    </row>
    <row r="6011" spans="1:2">
      <c r="A6011" s="1" t="s">
        <v>6292</v>
      </c>
      <c r="B6011" t="s">
        <v>10229</v>
      </c>
    </row>
    <row r="6012" spans="1:2">
      <c r="A6012" s="1" t="s">
        <v>6293</v>
      </c>
      <c r="B6012" t="s">
        <v>10341</v>
      </c>
    </row>
    <row r="6013" spans="1:2">
      <c r="A6013" s="1" t="s">
        <v>6294</v>
      </c>
      <c r="B6013" t="s">
        <v>10225</v>
      </c>
    </row>
    <row r="6014" spans="1:2">
      <c r="A6014" s="1" t="s">
        <v>6295</v>
      </c>
      <c r="B6014" t="s">
        <v>10244</v>
      </c>
    </row>
    <row r="6015" spans="1:2">
      <c r="A6015" s="1" t="s">
        <v>6296</v>
      </c>
      <c r="B6015" t="s">
        <v>10345</v>
      </c>
    </row>
    <row r="6016" spans="1:2">
      <c r="A6016" s="1" t="s">
        <v>6297</v>
      </c>
      <c r="B6016" t="s">
        <v>10264</v>
      </c>
    </row>
    <row r="6017" spans="1:2">
      <c r="A6017" s="1" t="s">
        <v>6298</v>
      </c>
      <c r="B6017" t="s">
        <v>10287</v>
      </c>
    </row>
    <row r="6018" spans="1:2">
      <c r="A6018" s="1" t="s">
        <v>6299</v>
      </c>
      <c r="B6018" t="s">
        <v>10230</v>
      </c>
    </row>
    <row r="6019" spans="1:2">
      <c r="A6019" s="1" t="s">
        <v>6300</v>
      </c>
      <c r="B6019" t="s">
        <v>10364</v>
      </c>
    </row>
    <row r="6020" spans="1:2">
      <c r="A6020" s="1" t="s">
        <v>6301</v>
      </c>
      <c r="B6020" t="s">
        <v>901</v>
      </c>
    </row>
    <row r="6021" spans="1:2">
      <c r="A6021" s="1" t="s">
        <v>6302</v>
      </c>
      <c r="B6021" t="s">
        <v>10230</v>
      </c>
    </row>
    <row r="6022" spans="1:2">
      <c r="A6022" s="1" t="s">
        <v>6303</v>
      </c>
      <c r="B6022" t="s">
        <v>10230</v>
      </c>
    </row>
    <row r="6023" spans="1:2">
      <c r="A6023" s="1" t="s">
        <v>6304</v>
      </c>
      <c r="B6023" t="s">
        <v>10234</v>
      </c>
    </row>
    <row r="6024" spans="1:2">
      <c r="A6024" s="1" t="s">
        <v>6305</v>
      </c>
      <c r="B6024" t="s">
        <v>10230</v>
      </c>
    </row>
    <row r="6025" spans="1:2">
      <c r="A6025" s="1" t="s">
        <v>6306</v>
      </c>
      <c r="B6025" t="s">
        <v>10240</v>
      </c>
    </row>
    <row r="6026" spans="1:2">
      <c r="A6026" s="1" t="s">
        <v>6307</v>
      </c>
      <c r="B6026" t="s">
        <v>10356</v>
      </c>
    </row>
    <row r="6027" spans="1:2">
      <c r="A6027" s="1" t="s">
        <v>6308</v>
      </c>
      <c r="B6027" t="s">
        <v>10370</v>
      </c>
    </row>
    <row r="6028" spans="1:2">
      <c r="A6028" s="1" t="s">
        <v>6309</v>
      </c>
      <c r="B6028" t="s">
        <v>10252</v>
      </c>
    </row>
    <row r="6029" spans="1:2">
      <c r="A6029" s="1" t="s">
        <v>6310</v>
      </c>
      <c r="B6029" t="s">
        <v>10240</v>
      </c>
    </row>
    <row r="6030" spans="1:2">
      <c r="A6030" s="1" t="s">
        <v>6311</v>
      </c>
      <c r="B6030" t="s">
        <v>901</v>
      </c>
    </row>
    <row r="6031" spans="1:2">
      <c r="A6031" s="1" t="s">
        <v>6312</v>
      </c>
      <c r="B6031" t="s">
        <v>10248</v>
      </c>
    </row>
    <row r="6032" spans="1:2">
      <c r="A6032" s="1" t="s">
        <v>6313</v>
      </c>
      <c r="B6032" t="s">
        <v>10259</v>
      </c>
    </row>
    <row r="6033" spans="1:2">
      <c r="A6033" s="1" t="s">
        <v>6314</v>
      </c>
      <c r="B6033" t="s">
        <v>10500</v>
      </c>
    </row>
    <row r="6034" spans="1:2">
      <c r="A6034" s="1" t="s">
        <v>6315</v>
      </c>
      <c r="B6034" t="s">
        <v>10266</v>
      </c>
    </row>
    <row r="6035" spans="1:2">
      <c r="A6035" s="1" t="s">
        <v>6316</v>
      </c>
      <c r="B6035" t="s">
        <v>10245</v>
      </c>
    </row>
    <row r="6036" spans="1:2">
      <c r="A6036" s="1" t="s">
        <v>6317</v>
      </c>
      <c r="B6036" t="s">
        <v>10272</v>
      </c>
    </row>
    <row r="6037" spans="1:2">
      <c r="A6037" s="1" t="s">
        <v>6318</v>
      </c>
      <c r="B6037" t="s">
        <v>10457</v>
      </c>
    </row>
    <row r="6038" spans="1:2">
      <c r="A6038" s="1" t="s">
        <v>6319</v>
      </c>
      <c r="B6038" t="s">
        <v>901</v>
      </c>
    </row>
    <row r="6039" spans="1:2">
      <c r="A6039" s="1" t="s">
        <v>6320</v>
      </c>
      <c r="B6039" t="s">
        <v>10266</v>
      </c>
    </row>
    <row r="6040" spans="1:2">
      <c r="A6040" s="1" t="s">
        <v>6321</v>
      </c>
      <c r="B6040" t="s">
        <v>10437</v>
      </c>
    </row>
    <row r="6041" spans="1:2">
      <c r="A6041" s="1" t="s">
        <v>6322</v>
      </c>
      <c r="B6041" t="s">
        <v>10279</v>
      </c>
    </row>
    <row r="6042" spans="1:2">
      <c r="A6042" s="1" t="s">
        <v>6323</v>
      </c>
      <c r="B6042" t="s">
        <v>10364</v>
      </c>
    </row>
    <row r="6043" spans="1:2">
      <c r="A6043" s="1" t="s">
        <v>6324</v>
      </c>
      <c r="B6043" t="s">
        <v>10240</v>
      </c>
    </row>
    <row r="6044" spans="1:2">
      <c r="A6044" s="1" t="s">
        <v>6325</v>
      </c>
      <c r="B6044" t="s">
        <v>10445</v>
      </c>
    </row>
    <row r="6045" spans="1:2">
      <c r="A6045" s="1" t="s">
        <v>6326</v>
      </c>
      <c r="B6045" t="s">
        <v>10272</v>
      </c>
    </row>
    <row r="6046" spans="1:2">
      <c r="A6046" s="1" t="s">
        <v>6327</v>
      </c>
      <c r="B6046" t="s">
        <v>901</v>
      </c>
    </row>
    <row r="6047" spans="1:2">
      <c r="A6047" s="1" t="s">
        <v>6328</v>
      </c>
      <c r="B6047" t="s">
        <v>10291</v>
      </c>
    </row>
    <row r="6048" spans="1:2">
      <c r="A6048" s="1" t="s">
        <v>6329</v>
      </c>
      <c r="B6048" t="s">
        <v>10231</v>
      </c>
    </row>
    <row r="6049" spans="1:2">
      <c r="A6049" s="1" t="s">
        <v>6330</v>
      </c>
      <c r="B6049" t="s">
        <v>10329</v>
      </c>
    </row>
    <row r="6050" spans="1:2">
      <c r="A6050" s="1" t="s">
        <v>6331</v>
      </c>
      <c r="B6050" t="s">
        <v>10323</v>
      </c>
    </row>
    <row r="6051" spans="1:2">
      <c r="A6051" s="1" t="s">
        <v>6332</v>
      </c>
      <c r="B6051" t="s">
        <v>10234</v>
      </c>
    </row>
    <row r="6052" spans="1:2">
      <c r="A6052" s="1" t="s">
        <v>6333</v>
      </c>
      <c r="B6052" t="s">
        <v>10327</v>
      </c>
    </row>
    <row r="6053" spans="1:2">
      <c r="A6053" s="1" t="s">
        <v>6334</v>
      </c>
      <c r="B6053" t="s">
        <v>10229</v>
      </c>
    </row>
    <row r="6054" spans="1:2">
      <c r="A6054" s="1" t="s">
        <v>6335</v>
      </c>
      <c r="B6054" t="s">
        <v>10393</v>
      </c>
    </row>
    <row r="6055" spans="1:2">
      <c r="A6055" s="1" t="s">
        <v>6336</v>
      </c>
      <c r="B6055" t="s">
        <v>10263</v>
      </c>
    </row>
    <row r="6056" spans="1:2">
      <c r="A6056" s="1" t="s">
        <v>6337</v>
      </c>
      <c r="B6056" t="s">
        <v>901</v>
      </c>
    </row>
    <row r="6057" spans="1:2">
      <c r="A6057" s="1" t="s">
        <v>6338</v>
      </c>
      <c r="B6057" t="s">
        <v>10234</v>
      </c>
    </row>
    <row r="6058" spans="1:2">
      <c r="A6058" s="1" t="s">
        <v>6339</v>
      </c>
      <c r="B6058" t="s">
        <v>10230</v>
      </c>
    </row>
    <row r="6059" spans="1:2">
      <c r="A6059" s="1" t="s">
        <v>6340</v>
      </c>
      <c r="B6059" t="s">
        <v>10232</v>
      </c>
    </row>
    <row r="6060" spans="1:2">
      <c r="A6060" s="1" t="s">
        <v>6341</v>
      </c>
      <c r="B6060" t="s">
        <v>10303</v>
      </c>
    </row>
    <row r="6061" spans="1:2">
      <c r="A6061" s="1" t="s">
        <v>6342</v>
      </c>
      <c r="B6061" t="s">
        <v>10292</v>
      </c>
    </row>
    <row r="6062" spans="1:2">
      <c r="A6062" s="1" t="s">
        <v>6343</v>
      </c>
      <c r="B6062" t="s">
        <v>10411</v>
      </c>
    </row>
    <row r="6063" spans="1:2">
      <c r="A6063" s="1" t="s">
        <v>6344</v>
      </c>
      <c r="B6063" t="s">
        <v>10272</v>
      </c>
    </row>
    <row r="6064" spans="1:2">
      <c r="A6064" s="1" t="s">
        <v>6345</v>
      </c>
      <c r="B6064" t="s">
        <v>10232</v>
      </c>
    </row>
    <row r="6065" spans="1:2">
      <c r="A6065" s="1" t="s">
        <v>6346</v>
      </c>
      <c r="B6065" t="s">
        <v>10240</v>
      </c>
    </row>
    <row r="6066" spans="1:2">
      <c r="A6066" s="1" t="s">
        <v>6347</v>
      </c>
      <c r="B6066" t="s">
        <v>10239</v>
      </c>
    </row>
    <row r="6067" spans="1:2">
      <c r="A6067" s="1" t="s">
        <v>6348</v>
      </c>
      <c r="B6067" t="s">
        <v>10264</v>
      </c>
    </row>
    <row r="6068" spans="1:2">
      <c r="A6068" s="1" t="s">
        <v>6349</v>
      </c>
      <c r="B6068" t="s">
        <v>10399</v>
      </c>
    </row>
    <row r="6069" spans="1:2">
      <c r="A6069" s="1" t="s">
        <v>6350</v>
      </c>
      <c r="B6069" t="s">
        <v>10278</v>
      </c>
    </row>
    <row r="6070" spans="1:2">
      <c r="A6070" s="1" t="s">
        <v>708</v>
      </c>
      <c r="B6070" t="s">
        <v>10499</v>
      </c>
    </row>
    <row r="6071" spans="1:2">
      <c r="A6071" s="1" t="s">
        <v>6351</v>
      </c>
      <c r="B6071" t="s">
        <v>10403</v>
      </c>
    </row>
    <row r="6072" spans="1:2">
      <c r="A6072" s="1" t="s">
        <v>6352</v>
      </c>
      <c r="B6072" t="s">
        <v>10278</v>
      </c>
    </row>
    <row r="6073" spans="1:2">
      <c r="A6073" s="1" t="s">
        <v>6353</v>
      </c>
      <c r="B6073" t="s">
        <v>10224</v>
      </c>
    </row>
    <row r="6074" spans="1:2">
      <c r="A6074" s="1" t="s">
        <v>6354</v>
      </c>
      <c r="B6074" t="s">
        <v>10230</v>
      </c>
    </row>
    <row r="6075" spans="1:2">
      <c r="A6075" s="1" t="s">
        <v>6355</v>
      </c>
      <c r="B6075" t="s">
        <v>10244</v>
      </c>
    </row>
    <row r="6076" spans="1:2">
      <c r="A6076" s="1" t="s">
        <v>6356</v>
      </c>
      <c r="B6076" t="s">
        <v>10307</v>
      </c>
    </row>
    <row r="6077" spans="1:2">
      <c r="A6077" s="1" t="s">
        <v>6357</v>
      </c>
      <c r="B6077" t="s">
        <v>10377</v>
      </c>
    </row>
    <row r="6078" spans="1:2">
      <c r="A6078" s="1" t="s">
        <v>6358</v>
      </c>
      <c r="B6078" t="s">
        <v>10286</v>
      </c>
    </row>
    <row r="6079" spans="1:2">
      <c r="A6079" s="1" t="s">
        <v>6359</v>
      </c>
      <c r="B6079" t="s">
        <v>10364</v>
      </c>
    </row>
    <row r="6080" spans="1:2">
      <c r="A6080" s="1" t="s">
        <v>6360</v>
      </c>
      <c r="B6080" t="s">
        <v>10245</v>
      </c>
    </row>
    <row r="6081" spans="1:2">
      <c r="A6081" s="1" t="s">
        <v>6361</v>
      </c>
      <c r="B6081" t="s">
        <v>10230</v>
      </c>
    </row>
    <row r="6082" spans="1:2">
      <c r="A6082" s="1" t="s">
        <v>6362</v>
      </c>
      <c r="B6082" t="s">
        <v>10272</v>
      </c>
    </row>
    <row r="6083" spans="1:2">
      <c r="A6083" s="1" t="s">
        <v>6363</v>
      </c>
      <c r="B6083" t="s">
        <v>10292</v>
      </c>
    </row>
    <row r="6084" spans="1:2">
      <c r="A6084" s="1" t="s">
        <v>6364</v>
      </c>
      <c r="B6084" t="s">
        <v>10234</v>
      </c>
    </row>
    <row r="6085" spans="1:2">
      <c r="A6085" s="1" t="s">
        <v>6365</v>
      </c>
      <c r="B6085" t="s">
        <v>10245</v>
      </c>
    </row>
    <row r="6086" spans="1:2">
      <c r="A6086" s="1" t="s">
        <v>6366</v>
      </c>
      <c r="B6086" t="s">
        <v>10369</v>
      </c>
    </row>
    <row r="6087" spans="1:2">
      <c r="A6087" s="1" t="s">
        <v>147</v>
      </c>
      <c r="B6087" t="s">
        <v>10234</v>
      </c>
    </row>
    <row r="6088" spans="1:2">
      <c r="A6088" s="1" t="s">
        <v>6367</v>
      </c>
      <c r="B6088" t="s">
        <v>10286</v>
      </c>
    </row>
    <row r="6089" spans="1:2">
      <c r="A6089" s="1" t="s">
        <v>271</v>
      </c>
      <c r="B6089" t="s">
        <v>10519</v>
      </c>
    </row>
    <row r="6090" spans="1:2">
      <c r="A6090" s="1" t="s">
        <v>6368</v>
      </c>
      <c r="B6090" t="s">
        <v>10395</v>
      </c>
    </row>
    <row r="6091" spans="1:2">
      <c r="A6091" s="1" t="s">
        <v>6369</v>
      </c>
      <c r="B6091" t="s">
        <v>10410</v>
      </c>
    </row>
    <row r="6092" spans="1:2">
      <c r="A6092" s="1" t="s">
        <v>6370</v>
      </c>
      <c r="B6092" t="s">
        <v>10270</v>
      </c>
    </row>
    <row r="6093" spans="1:2">
      <c r="A6093" s="1" t="s">
        <v>6371</v>
      </c>
      <c r="B6093" t="s">
        <v>10240</v>
      </c>
    </row>
    <row r="6094" spans="1:2">
      <c r="A6094" s="1" t="s">
        <v>6372</v>
      </c>
      <c r="B6094" t="s">
        <v>10273</v>
      </c>
    </row>
    <row r="6095" spans="1:2">
      <c r="A6095" s="1" t="s">
        <v>6373</v>
      </c>
      <c r="B6095" t="s">
        <v>10424</v>
      </c>
    </row>
    <row r="6096" spans="1:2">
      <c r="A6096" s="1" t="s">
        <v>6374</v>
      </c>
      <c r="B6096" t="s">
        <v>10305</v>
      </c>
    </row>
    <row r="6097" spans="1:2">
      <c r="A6097" s="1" t="s">
        <v>6375</v>
      </c>
      <c r="B6097" t="s">
        <v>10225</v>
      </c>
    </row>
    <row r="6098" spans="1:2">
      <c r="A6098" s="1" t="s">
        <v>6376</v>
      </c>
      <c r="B6098" t="s">
        <v>10370</v>
      </c>
    </row>
    <row r="6099" spans="1:2">
      <c r="A6099" s="1" t="s">
        <v>6377</v>
      </c>
      <c r="B6099" t="s">
        <v>10442</v>
      </c>
    </row>
    <row r="6100" spans="1:2">
      <c r="A6100" s="1" t="s">
        <v>6378</v>
      </c>
      <c r="B6100" t="s">
        <v>10244</v>
      </c>
    </row>
    <row r="6101" spans="1:2">
      <c r="A6101" s="1" t="s">
        <v>6379</v>
      </c>
      <c r="B6101" t="s">
        <v>10245</v>
      </c>
    </row>
    <row r="6102" spans="1:2">
      <c r="A6102" s="1" t="s">
        <v>370</v>
      </c>
      <c r="B6102" t="s">
        <v>10234</v>
      </c>
    </row>
    <row r="6103" spans="1:2">
      <c r="A6103" s="1" t="s">
        <v>6380</v>
      </c>
      <c r="B6103" t="s">
        <v>10266</v>
      </c>
    </row>
    <row r="6104" spans="1:2">
      <c r="A6104" s="1" t="s">
        <v>6381</v>
      </c>
      <c r="B6104" t="s">
        <v>10477</v>
      </c>
    </row>
    <row r="6105" spans="1:2">
      <c r="A6105" s="1" t="s">
        <v>6382</v>
      </c>
      <c r="B6105" t="s">
        <v>10232</v>
      </c>
    </row>
    <row r="6106" spans="1:2">
      <c r="A6106" s="1" t="s">
        <v>6383</v>
      </c>
      <c r="B6106" t="s">
        <v>10255</v>
      </c>
    </row>
    <row r="6107" spans="1:2">
      <c r="A6107" s="1" t="s">
        <v>6384</v>
      </c>
      <c r="B6107" t="s">
        <v>10234</v>
      </c>
    </row>
    <row r="6108" spans="1:2">
      <c r="A6108" s="1" t="s">
        <v>6385</v>
      </c>
      <c r="B6108" t="s">
        <v>10287</v>
      </c>
    </row>
    <row r="6109" spans="1:2">
      <c r="A6109" s="1" t="s">
        <v>6386</v>
      </c>
      <c r="B6109" t="s">
        <v>10245</v>
      </c>
    </row>
    <row r="6110" spans="1:2">
      <c r="A6110" s="1" t="s">
        <v>6387</v>
      </c>
      <c r="B6110" t="s">
        <v>10224</v>
      </c>
    </row>
    <row r="6111" spans="1:2">
      <c r="A6111" s="1" t="s">
        <v>6388</v>
      </c>
      <c r="B6111" t="s">
        <v>10308</v>
      </c>
    </row>
    <row r="6112" spans="1:2">
      <c r="A6112" s="1" t="s">
        <v>6389</v>
      </c>
      <c r="B6112" t="s">
        <v>10222</v>
      </c>
    </row>
    <row r="6113" spans="1:2">
      <c r="A6113" s="1" t="s">
        <v>6390</v>
      </c>
      <c r="B6113" t="s">
        <v>10272</v>
      </c>
    </row>
    <row r="6114" spans="1:2">
      <c r="A6114" s="1" t="s">
        <v>6391</v>
      </c>
      <c r="B6114" t="s">
        <v>10245</v>
      </c>
    </row>
    <row r="6115" spans="1:2">
      <c r="A6115" s="1" t="s">
        <v>6392</v>
      </c>
      <c r="B6115" t="s">
        <v>10232</v>
      </c>
    </row>
    <row r="6116" spans="1:2">
      <c r="A6116" s="1" t="s">
        <v>6393</v>
      </c>
      <c r="B6116" t="s">
        <v>10256</v>
      </c>
    </row>
    <row r="6117" spans="1:2">
      <c r="A6117" s="1" t="s">
        <v>107</v>
      </c>
      <c r="B6117" t="s">
        <v>10250</v>
      </c>
    </row>
    <row r="6118" spans="1:2">
      <c r="A6118" s="1" t="s">
        <v>6394</v>
      </c>
      <c r="B6118" t="s">
        <v>10278</v>
      </c>
    </row>
    <row r="6119" spans="1:2">
      <c r="A6119" s="1" t="s">
        <v>219</v>
      </c>
      <c r="B6119" t="s">
        <v>10283</v>
      </c>
    </row>
    <row r="6120" spans="1:2">
      <c r="A6120" s="1" t="s">
        <v>6395</v>
      </c>
      <c r="B6120" t="s">
        <v>10319</v>
      </c>
    </row>
    <row r="6121" spans="1:2">
      <c r="A6121" s="1" t="s">
        <v>6396</v>
      </c>
      <c r="B6121" t="s">
        <v>10317</v>
      </c>
    </row>
    <row r="6122" spans="1:2">
      <c r="A6122" s="1" t="s">
        <v>6397</v>
      </c>
      <c r="B6122" t="s">
        <v>10406</v>
      </c>
    </row>
    <row r="6123" spans="1:2">
      <c r="A6123" s="1" t="s">
        <v>111</v>
      </c>
      <c r="B6123" t="s">
        <v>10290</v>
      </c>
    </row>
    <row r="6124" spans="1:2">
      <c r="A6124" s="1" t="s">
        <v>6398</v>
      </c>
      <c r="B6124" t="s">
        <v>10490</v>
      </c>
    </row>
    <row r="6125" spans="1:2">
      <c r="A6125" s="1" t="s">
        <v>6399</v>
      </c>
      <c r="B6125" t="s">
        <v>10224</v>
      </c>
    </row>
    <row r="6126" spans="1:2">
      <c r="A6126" s="1" t="s">
        <v>6400</v>
      </c>
      <c r="B6126" t="s">
        <v>10277</v>
      </c>
    </row>
    <row r="6127" spans="1:2">
      <c r="A6127" s="1" t="s">
        <v>6401</v>
      </c>
      <c r="B6127" t="s">
        <v>10377</v>
      </c>
    </row>
    <row r="6128" spans="1:2">
      <c r="A6128" s="1" t="s">
        <v>6402</v>
      </c>
      <c r="B6128" t="s">
        <v>10240</v>
      </c>
    </row>
    <row r="6129" spans="1:2">
      <c r="A6129" s="1" t="s">
        <v>6403</v>
      </c>
      <c r="B6129" t="s">
        <v>10233</v>
      </c>
    </row>
    <row r="6130" spans="1:2">
      <c r="A6130" s="1" t="s">
        <v>6404</v>
      </c>
      <c r="B6130" t="s">
        <v>10288</v>
      </c>
    </row>
    <row r="6131" spans="1:2">
      <c r="A6131" s="1" t="s">
        <v>6405</v>
      </c>
      <c r="B6131" t="s">
        <v>10250</v>
      </c>
    </row>
    <row r="6132" spans="1:2">
      <c r="A6132" s="1" t="s">
        <v>6406</v>
      </c>
      <c r="B6132" t="s">
        <v>10272</v>
      </c>
    </row>
    <row r="6133" spans="1:2">
      <c r="A6133" s="1" t="s">
        <v>6407</v>
      </c>
      <c r="B6133" t="s">
        <v>10273</v>
      </c>
    </row>
    <row r="6134" spans="1:2">
      <c r="A6134" s="1" t="s">
        <v>6408</v>
      </c>
      <c r="B6134" t="s">
        <v>10284</v>
      </c>
    </row>
    <row r="6135" spans="1:2">
      <c r="A6135" s="1" t="s">
        <v>6409</v>
      </c>
      <c r="B6135" t="s">
        <v>10292</v>
      </c>
    </row>
    <row r="6136" spans="1:2">
      <c r="A6136" s="1" t="s">
        <v>6410</v>
      </c>
      <c r="B6136" t="s">
        <v>10292</v>
      </c>
    </row>
    <row r="6137" spans="1:2">
      <c r="A6137" s="1" t="s">
        <v>6411</v>
      </c>
      <c r="B6137" t="s">
        <v>10245</v>
      </c>
    </row>
    <row r="6138" spans="1:2">
      <c r="A6138" s="1" t="s">
        <v>6412</v>
      </c>
      <c r="B6138" t="s">
        <v>10261</v>
      </c>
    </row>
    <row r="6139" spans="1:2">
      <c r="A6139" s="1" t="s">
        <v>6413</v>
      </c>
      <c r="B6139" t="s">
        <v>10305</v>
      </c>
    </row>
    <row r="6140" spans="1:2">
      <c r="A6140" s="1" t="s">
        <v>6414</v>
      </c>
      <c r="B6140" t="s">
        <v>10272</v>
      </c>
    </row>
    <row r="6141" spans="1:2">
      <c r="A6141" s="1" t="s">
        <v>6415</v>
      </c>
      <c r="B6141" t="s">
        <v>10424</v>
      </c>
    </row>
    <row r="6142" spans="1:2">
      <c r="A6142" s="1" t="s">
        <v>6416</v>
      </c>
      <c r="B6142" t="s">
        <v>10233</v>
      </c>
    </row>
    <row r="6143" spans="1:2">
      <c r="A6143" s="1" t="s">
        <v>6417</v>
      </c>
      <c r="B6143" t="s">
        <v>10230</v>
      </c>
    </row>
    <row r="6144" spans="1:2">
      <c r="A6144" s="1" t="s">
        <v>6418</v>
      </c>
      <c r="B6144" t="s">
        <v>10411</v>
      </c>
    </row>
    <row r="6145" spans="1:2">
      <c r="A6145" s="1" t="s">
        <v>6419</v>
      </c>
      <c r="B6145" t="s">
        <v>10230</v>
      </c>
    </row>
    <row r="6146" spans="1:2">
      <c r="A6146" s="1" t="s">
        <v>6420</v>
      </c>
      <c r="B6146" t="s">
        <v>10230</v>
      </c>
    </row>
    <row r="6147" spans="1:2">
      <c r="A6147" s="1" t="s">
        <v>28</v>
      </c>
      <c r="B6147" t="s">
        <v>10361</v>
      </c>
    </row>
    <row r="6148" spans="1:2">
      <c r="A6148" s="1" t="s">
        <v>6421</v>
      </c>
      <c r="B6148" t="s">
        <v>10426</v>
      </c>
    </row>
    <row r="6149" spans="1:2">
      <c r="A6149" s="1" t="s">
        <v>324</v>
      </c>
      <c r="B6149" t="s">
        <v>10468</v>
      </c>
    </row>
    <row r="6150" spans="1:2">
      <c r="A6150" s="1" t="s">
        <v>6422</v>
      </c>
      <c r="B6150" t="s">
        <v>10260</v>
      </c>
    </row>
    <row r="6151" spans="1:2">
      <c r="A6151" s="1" t="s">
        <v>6423</v>
      </c>
      <c r="B6151" t="s">
        <v>10234</v>
      </c>
    </row>
    <row r="6152" spans="1:2">
      <c r="A6152" s="1" t="s">
        <v>6424</v>
      </c>
      <c r="B6152" t="s">
        <v>10364</v>
      </c>
    </row>
    <row r="6153" spans="1:2">
      <c r="A6153" s="1" t="s">
        <v>6425</v>
      </c>
      <c r="B6153" t="s">
        <v>10286</v>
      </c>
    </row>
    <row r="6154" spans="1:2">
      <c r="A6154" s="1" t="s">
        <v>6426</v>
      </c>
      <c r="B6154" t="s">
        <v>10371</v>
      </c>
    </row>
    <row r="6155" spans="1:2">
      <c r="A6155" s="1" t="s">
        <v>6427</v>
      </c>
      <c r="B6155" t="s">
        <v>10312</v>
      </c>
    </row>
    <row r="6156" spans="1:2">
      <c r="A6156" s="1" t="s">
        <v>6428</v>
      </c>
      <c r="B6156" t="s">
        <v>10442</v>
      </c>
    </row>
    <row r="6157" spans="1:2">
      <c r="A6157" s="1" t="s">
        <v>6429</v>
      </c>
      <c r="B6157" t="s">
        <v>10357</v>
      </c>
    </row>
    <row r="6158" spans="1:2">
      <c r="A6158" s="1" t="s">
        <v>6430</v>
      </c>
      <c r="B6158" t="s">
        <v>10287</v>
      </c>
    </row>
    <row r="6159" spans="1:2">
      <c r="A6159" s="1" t="s">
        <v>6431</v>
      </c>
      <c r="B6159" t="s">
        <v>10287</v>
      </c>
    </row>
    <row r="6160" spans="1:2">
      <c r="A6160" s="1" t="s">
        <v>6432</v>
      </c>
      <c r="B6160" t="s">
        <v>10327</v>
      </c>
    </row>
    <row r="6161" spans="1:2">
      <c r="A6161" s="1" t="s">
        <v>6433</v>
      </c>
      <c r="B6161" t="s">
        <v>10230</v>
      </c>
    </row>
    <row r="6162" spans="1:2">
      <c r="A6162" s="1" t="s">
        <v>6434</v>
      </c>
      <c r="B6162" t="s">
        <v>10225</v>
      </c>
    </row>
    <row r="6163" spans="1:2">
      <c r="A6163" s="1" t="s">
        <v>6435</v>
      </c>
      <c r="B6163" t="s">
        <v>10234</v>
      </c>
    </row>
    <row r="6164" spans="1:2">
      <c r="A6164" s="1" t="s">
        <v>6436</v>
      </c>
      <c r="B6164" t="s">
        <v>10240</v>
      </c>
    </row>
    <row r="6165" spans="1:2">
      <c r="A6165" s="1" t="s">
        <v>6437</v>
      </c>
      <c r="B6165" t="s">
        <v>10292</v>
      </c>
    </row>
    <row r="6166" spans="1:2">
      <c r="A6166" s="1" t="s">
        <v>6438</v>
      </c>
      <c r="B6166" t="s">
        <v>10266</v>
      </c>
    </row>
    <row r="6167" spans="1:2">
      <c r="A6167" s="1" t="s">
        <v>6439</v>
      </c>
      <c r="B6167" t="s">
        <v>10312</v>
      </c>
    </row>
    <row r="6168" spans="1:2">
      <c r="A6168" s="1" t="s">
        <v>6440</v>
      </c>
      <c r="B6168" t="s">
        <v>10240</v>
      </c>
    </row>
    <row r="6169" spans="1:2">
      <c r="A6169" s="1" t="s">
        <v>6441</v>
      </c>
      <c r="B6169" t="s">
        <v>10266</v>
      </c>
    </row>
    <row r="6170" spans="1:2">
      <c r="A6170" s="1" t="s">
        <v>6442</v>
      </c>
      <c r="B6170" t="s">
        <v>10240</v>
      </c>
    </row>
    <row r="6171" spans="1:2">
      <c r="A6171" s="1" t="s">
        <v>6443</v>
      </c>
      <c r="B6171" t="s">
        <v>10293</v>
      </c>
    </row>
    <row r="6172" spans="1:2">
      <c r="A6172" s="1" t="s">
        <v>6444</v>
      </c>
      <c r="B6172" t="s">
        <v>10305</v>
      </c>
    </row>
    <row r="6173" spans="1:2">
      <c r="A6173" s="1" t="s">
        <v>6445</v>
      </c>
      <c r="B6173" t="s">
        <v>10377</v>
      </c>
    </row>
    <row r="6174" spans="1:2">
      <c r="A6174" s="1" t="s">
        <v>6446</v>
      </c>
      <c r="B6174" t="s">
        <v>10286</v>
      </c>
    </row>
    <row r="6175" spans="1:2">
      <c r="A6175" s="1" t="s">
        <v>6447</v>
      </c>
      <c r="B6175" t="s">
        <v>10398</v>
      </c>
    </row>
    <row r="6176" spans="1:2">
      <c r="A6176" s="1" t="s">
        <v>6448</v>
      </c>
      <c r="B6176" t="s">
        <v>901</v>
      </c>
    </row>
    <row r="6177" spans="1:2">
      <c r="A6177" s="1" t="s">
        <v>6449</v>
      </c>
      <c r="B6177" t="s">
        <v>10276</v>
      </c>
    </row>
    <row r="6178" spans="1:2">
      <c r="A6178" s="1" t="s">
        <v>6450</v>
      </c>
      <c r="B6178" t="s">
        <v>10249</v>
      </c>
    </row>
    <row r="6179" spans="1:2">
      <c r="A6179" s="1" t="s">
        <v>6451</v>
      </c>
      <c r="B6179" t="s">
        <v>10287</v>
      </c>
    </row>
    <row r="6180" spans="1:2">
      <c r="A6180" s="1" t="s">
        <v>6452</v>
      </c>
      <c r="B6180" t="s">
        <v>10241</v>
      </c>
    </row>
    <row r="6181" spans="1:2">
      <c r="A6181" s="1" t="s">
        <v>6453</v>
      </c>
      <c r="B6181" t="s">
        <v>10234</v>
      </c>
    </row>
    <row r="6182" spans="1:2">
      <c r="A6182" s="1" t="s">
        <v>6454</v>
      </c>
      <c r="B6182" t="s">
        <v>10278</v>
      </c>
    </row>
    <row r="6183" spans="1:2">
      <c r="A6183" s="1" t="s">
        <v>6455</v>
      </c>
      <c r="B6183" t="s">
        <v>10245</v>
      </c>
    </row>
    <row r="6184" spans="1:2">
      <c r="A6184" s="1" t="s">
        <v>6456</v>
      </c>
      <c r="B6184" t="s">
        <v>10309</v>
      </c>
    </row>
    <row r="6185" spans="1:2">
      <c r="A6185" s="1" t="s">
        <v>6457</v>
      </c>
      <c r="B6185" t="s">
        <v>10234</v>
      </c>
    </row>
    <row r="6186" spans="1:2">
      <c r="A6186" s="1" t="s">
        <v>6458</v>
      </c>
      <c r="B6186" t="s">
        <v>10481</v>
      </c>
    </row>
    <row r="6187" spans="1:2">
      <c r="A6187" s="1" t="s">
        <v>30</v>
      </c>
      <c r="B6187" t="s">
        <v>10250</v>
      </c>
    </row>
    <row r="6188" spans="1:2">
      <c r="A6188" s="1" t="s">
        <v>6459</v>
      </c>
      <c r="B6188" t="s">
        <v>10228</v>
      </c>
    </row>
    <row r="6189" spans="1:2">
      <c r="A6189" s="1" t="s">
        <v>6460</v>
      </c>
      <c r="B6189" t="s">
        <v>10456</v>
      </c>
    </row>
    <row r="6190" spans="1:2">
      <c r="A6190" s="1" t="s">
        <v>6461</v>
      </c>
      <c r="B6190" t="s">
        <v>10239</v>
      </c>
    </row>
    <row r="6191" spans="1:2">
      <c r="A6191" s="1" t="s">
        <v>6462</v>
      </c>
      <c r="B6191" t="s">
        <v>10420</v>
      </c>
    </row>
    <row r="6192" spans="1:2">
      <c r="A6192" s="1" t="s">
        <v>6463</v>
      </c>
      <c r="B6192" t="s">
        <v>10230</v>
      </c>
    </row>
    <row r="6193" spans="1:2">
      <c r="A6193" s="1" t="s">
        <v>6464</v>
      </c>
      <c r="B6193" t="s">
        <v>10319</v>
      </c>
    </row>
    <row r="6194" spans="1:2">
      <c r="A6194" s="1" t="s">
        <v>6465</v>
      </c>
      <c r="B6194" t="s">
        <v>10262</v>
      </c>
    </row>
    <row r="6195" spans="1:2">
      <c r="A6195" s="1" t="s">
        <v>6466</v>
      </c>
      <c r="B6195" t="s">
        <v>10266</v>
      </c>
    </row>
    <row r="6196" spans="1:2">
      <c r="A6196" s="1" t="s">
        <v>6467</v>
      </c>
      <c r="B6196" t="s">
        <v>10319</v>
      </c>
    </row>
    <row r="6197" spans="1:2">
      <c r="A6197" s="1" t="s">
        <v>6468</v>
      </c>
      <c r="B6197" t="s">
        <v>10261</v>
      </c>
    </row>
    <row r="6198" spans="1:2">
      <c r="A6198" s="1" t="s">
        <v>6469</v>
      </c>
      <c r="B6198" t="s">
        <v>10234</v>
      </c>
    </row>
    <row r="6199" spans="1:2">
      <c r="A6199" s="1" t="s">
        <v>6470</v>
      </c>
      <c r="B6199" t="s">
        <v>10516</v>
      </c>
    </row>
    <row r="6200" spans="1:2">
      <c r="A6200" s="1" t="s">
        <v>6471</v>
      </c>
      <c r="B6200" t="s">
        <v>10284</v>
      </c>
    </row>
    <row r="6201" spans="1:2">
      <c r="A6201" s="1" t="s">
        <v>117</v>
      </c>
      <c r="B6201" t="s">
        <v>10298</v>
      </c>
    </row>
    <row r="6202" spans="1:2">
      <c r="A6202" s="1" t="s">
        <v>6472</v>
      </c>
      <c r="B6202" t="s">
        <v>10278</v>
      </c>
    </row>
    <row r="6203" spans="1:2">
      <c r="A6203" s="1" t="s">
        <v>6473</v>
      </c>
      <c r="B6203" t="s">
        <v>10255</v>
      </c>
    </row>
    <row r="6204" spans="1:2">
      <c r="A6204" s="1" t="s">
        <v>6474</v>
      </c>
      <c r="B6204" t="s">
        <v>10399</v>
      </c>
    </row>
    <row r="6205" spans="1:2">
      <c r="A6205" s="1" t="s">
        <v>6475</v>
      </c>
      <c r="B6205" t="s">
        <v>10345</v>
      </c>
    </row>
    <row r="6206" spans="1:2">
      <c r="A6206" s="1" t="s">
        <v>6476</v>
      </c>
      <c r="B6206" t="s">
        <v>10225</v>
      </c>
    </row>
    <row r="6207" spans="1:2">
      <c r="A6207" s="1" t="s">
        <v>6477</v>
      </c>
      <c r="B6207" t="s">
        <v>10326</v>
      </c>
    </row>
    <row r="6208" spans="1:2">
      <c r="A6208" s="1" t="s">
        <v>6478</v>
      </c>
      <c r="B6208" t="s">
        <v>10234</v>
      </c>
    </row>
    <row r="6209" spans="1:2">
      <c r="A6209" s="1" t="s">
        <v>6479</v>
      </c>
      <c r="B6209" t="s">
        <v>10245</v>
      </c>
    </row>
    <row r="6210" spans="1:2">
      <c r="A6210" s="1" t="s">
        <v>6480</v>
      </c>
      <c r="B6210" t="s">
        <v>10241</v>
      </c>
    </row>
    <row r="6211" spans="1:2">
      <c r="A6211" s="1" t="s">
        <v>6481</v>
      </c>
      <c r="B6211" t="s">
        <v>10387</v>
      </c>
    </row>
    <row r="6212" spans="1:2">
      <c r="A6212" s="1" t="s">
        <v>6482</v>
      </c>
      <c r="B6212" t="s">
        <v>10234</v>
      </c>
    </row>
    <row r="6213" spans="1:2">
      <c r="A6213" s="1" t="s">
        <v>6483</v>
      </c>
      <c r="B6213" t="s">
        <v>10399</v>
      </c>
    </row>
    <row r="6214" spans="1:2">
      <c r="A6214" s="1" t="s">
        <v>6484</v>
      </c>
      <c r="B6214" t="s">
        <v>10239</v>
      </c>
    </row>
    <row r="6215" spans="1:2">
      <c r="A6215" s="1" t="s">
        <v>6485</v>
      </c>
      <c r="B6215" t="s">
        <v>10370</v>
      </c>
    </row>
    <row r="6216" spans="1:2">
      <c r="A6216" s="1" t="s">
        <v>6486</v>
      </c>
      <c r="B6216" t="s">
        <v>10287</v>
      </c>
    </row>
    <row r="6217" spans="1:2">
      <c r="A6217" s="1" t="s">
        <v>6487</v>
      </c>
      <c r="B6217" t="s">
        <v>10240</v>
      </c>
    </row>
    <row r="6218" spans="1:2">
      <c r="A6218" s="1" t="s">
        <v>6488</v>
      </c>
      <c r="B6218" t="s">
        <v>901</v>
      </c>
    </row>
    <row r="6219" spans="1:2">
      <c r="A6219" s="1" t="s">
        <v>6489</v>
      </c>
      <c r="B6219" t="s">
        <v>10283</v>
      </c>
    </row>
    <row r="6220" spans="1:2">
      <c r="A6220" s="1" t="s">
        <v>6490</v>
      </c>
      <c r="B6220" t="s">
        <v>10259</v>
      </c>
    </row>
    <row r="6221" spans="1:2">
      <c r="A6221" s="1" t="s">
        <v>6491</v>
      </c>
      <c r="B6221" t="s">
        <v>10453</v>
      </c>
    </row>
    <row r="6222" spans="1:2">
      <c r="A6222" s="1" t="s">
        <v>6492</v>
      </c>
      <c r="B6222" t="s">
        <v>10277</v>
      </c>
    </row>
    <row r="6223" spans="1:2">
      <c r="A6223" s="1" t="s">
        <v>6493</v>
      </c>
      <c r="B6223" t="s">
        <v>10262</v>
      </c>
    </row>
    <row r="6224" spans="1:2">
      <c r="A6224" s="1" t="s">
        <v>6494</v>
      </c>
      <c r="B6224" t="s">
        <v>10250</v>
      </c>
    </row>
    <row r="6225" spans="1:2">
      <c r="A6225" s="1" t="s">
        <v>6495</v>
      </c>
      <c r="B6225" t="s">
        <v>10292</v>
      </c>
    </row>
    <row r="6226" spans="1:2">
      <c r="A6226" s="1" t="s">
        <v>6496</v>
      </c>
      <c r="B6226" t="s">
        <v>10457</v>
      </c>
    </row>
    <row r="6227" spans="1:2">
      <c r="A6227" s="1" t="s">
        <v>6497</v>
      </c>
      <c r="B6227" t="s">
        <v>10410</v>
      </c>
    </row>
    <row r="6228" spans="1:2">
      <c r="A6228" s="1" t="s">
        <v>507</v>
      </c>
      <c r="B6228" t="s">
        <v>10277</v>
      </c>
    </row>
    <row r="6229" spans="1:2">
      <c r="A6229" s="1" t="s">
        <v>6498</v>
      </c>
      <c r="B6229" t="s">
        <v>10244</v>
      </c>
    </row>
    <row r="6230" spans="1:2">
      <c r="A6230" s="1" t="s">
        <v>6499</v>
      </c>
      <c r="B6230" t="s">
        <v>10479</v>
      </c>
    </row>
    <row r="6231" spans="1:2">
      <c r="A6231" s="1" t="s">
        <v>6500</v>
      </c>
      <c r="B6231" t="s">
        <v>10503</v>
      </c>
    </row>
    <row r="6232" spans="1:2">
      <c r="A6232" s="1" t="s">
        <v>6501</v>
      </c>
      <c r="B6232" t="s">
        <v>10421</v>
      </c>
    </row>
    <row r="6233" spans="1:2">
      <c r="A6233" s="1" t="s">
        <v>6502</v>
      </c>
      <c r="B6233" t="s">
        <v>10272</v>
      </c>
    </row>
    <row r="6234" spans="1:2">
      <c r="A6234" s="1" t="s">
        <v>6503</v>
      </c>
      <c r="B6234" t="s">
        <v>10230</v>
      </c>
    </row>
    <row r="6235" spans="1:2">
      <c r="A6235" s="1" t="s">
        <v>6504</v>
      </c>
      <c r="B6235" t="s">
        <v>10465</v>
      </c>
    </row>
    <row r="6236" spans="1:2">
      <c r="A6236" s="1" t="s">
        <v>6505</v>
      </c>
      <c r="B6236" t="s">
        <v>10262</v>
      </c>
    </row>
    <row r="6237" spans="1:2">
      <c r="A6237" s="1" t="s">
        <v>6506</v>
      </c>
      <c r="B6237" t="s">
        <v>10244</v>
      </c>
    </row>
    <row r="6238" spans="1:2">
      <c r="A6238" s="1" t="s">
        <v>6507</v>
      </c>
      <c r="B6238" t="s">
        <v>10245</v>
      </c>
    </row>
    <row r="6239" spans="1:2">
      <c r="A6239" s="1" t="s">
        <v>6508</v>
      </c>
      <c r="B6239" t="s">
        <v>10309</v>
      </c>
    </row>
    <row r="6240" spans="1:2">
      <c r="A6240" s="1" t="s">
        <v>6509</v>
      </c>
      <c r="B6240" t="s">
        <v>10520</v>
      </c>
    </row>
    <row r="6241" spans="1:2">
      <c r="A6241" s="1" t="s">
        <v>6510</v>
      </c>
      <c r="B6241" t="s">
        <v>10225</v>
      </c>
    </row>
    <row r="6242" spans="1:2">
      <c r="A6242" s="1" t="s">
        <v>586</v>
      </c>
      <c r="B6242" t="s">
        <v>10260</v>
      </c>
    </row>
    <row r="6243" spans="1:2">
      <c r="A6243" s="1" t="s">
        <v>6511</v>
      </c>
      <c r="B6243" t="s">
        <v>10269</v>
      </c>
    </row>
    <row r="6244" spans="1:2">
      <c r="A6244" s="1" t="s">
        <v>6512</v>
      </c>
      <c r="B6244" t="s">
        <v>901</v>
      </c>
    </row>
    <row r="6245" spans="1:2">
      <c r="A6245" s="1" t="s">
        <v>6513</v>
      </c>
      <c r="B6245" t="s">
        <v>10229</v>
      </c>
    </row>
    <row r="6246" spans="1:2">
      <c r="A6246" s="1" t="s">
        <v>6514</v>
      </c>
      <c r="B6246" t="s">
        <v>10345</v>
      </c>
    </row>
    <row r="6247" spans="1:2">
      <c r="A6247" s="1" t="s">
        <v>404</v>
      </c>
      <c r="B6247" t="s">
        <v>10389</v>
      </c>
    </row>
    <row r="6248" spans="1:2">
      <c r="A6248" s="1" t="s">
        <v>6515</v>
      </c>
      <c r="B6248" t="s">
        <v>10521</v>
      </c>
    </row>
    <row r="6249" spans="1:2">
      <c r="A6249" s="1" t="s">
        <v>6516</v>
      </c>
      <c r="B6249" t="s">
        <v>10287</v>
      </c>
    </row>
    <row r="6250" spans="1:2">
      <c r="A6250" s="1" t="s">
        <v>6517</v>
      </c>
      <c r="B6250" t="s">
        <v>10276</v>
      </c>
    </row>
    <row r="6251" spans="1:2">
      <c r="A6251" s="1" t="s">
        <v>6518</v>
      </c>
      <c r="B6251" t="s">
        <v>901</v>
      </c>
    </row>
    <row r="6252" spans="1:2">
      <c r="A6252" s="1" t="s">
        <v>6519</v>
      </c>
      <c r="B6252" t="s">
        <v>901</v>
      </c>
    </row>
    <row r="6253" spans="1:2">
      <c r="A6253" s="1" t="s">
        <v>6520</v>
      </c>
      <c r="B6253" t="s">
        <v>10409</v>
      </c>
    </row>
    <row r="6254" spans="1:2">
      <c r="A6254" s="1" t="s">
        <v>6521</v>
      </c>
      <c r="B6254" t="s">
        <v>10240</v>
      </c>
    </row>
    <row r="6255" spans="1:2">
      <c r="A6255" s="1" t="s">
        <v>6522</v>
      </c>
      <c r="B6255" t="s">
        <v>10305</v>
      </c>
    </row>
    <row r="6256" spans="1:2">
      <c r="A6256" s="1" t="s">
        <v>6523</v>
      </c>
      <c r="B6256" t="s">
        <v>10255</v>
      </c>
    </row>
    <row r="6257" spans="1:2">
      <c r="A6257" s="1" t="s">
        <v>6524</v>
      </c>
      <c r="B6257" t="s">
        <v>10288</v>
      </c>
    </row>
    <row r="6258" spans="1:2">
      <c r="A6258" s="1" t="s">
        <v>530</v>
      </c>
      <c r="B6258" t="s">
        <v>10255</v>
      </c>
    </row>
    <row r="6259" spans="1:2">
      <c r="A6259" s="1" t="s">
        <v>6525</v>
      </c>
      <c r="B6259" t="s">
        <v>10446</v>
      </c>
    </row>
    <row r="6260" spans="1:2">
      <c r="A6260" s="1" t="s">
        <v>6526</v>
      </c>
      <c r="B6260" t="s">
        <v>10244</v>
      </c>
    </row>
    <row r="6261" spans="1:2">
      <c r="A6261" s="1" t="s">
        <v>6527</v>
      </c>
      <c r="B6261" t="s">
        <v>10343</v>
      </c>
    </row>
    <row r="6262" spans="1:2">
      <c r="A6262" s="1" t="s">
        <v>6528</v>
      </c>
      <c r="B6262" t="s">
        <v>10224</v>
      </c>
    </row>
    <row r="6263" spans="1:2">
      <c r="A6263" s="1" t="s">
        <v>6529</v>
      </c>
      <c r="B6263" t="s">
        <v>10245</v>
      </c>
    </row>
    <row r="6264" spans="1:2">
      <c r="A6264" s="1" t="s">
        <v>6530</v>
      </c>
      <c r="B6264" t="s">
        <v>10302</v>
      </c>
    </row>
    <row r="6265" spans="1:2">
      <c r="A6265" s="1" t="s">
        <v>6531</v>
      </c>
      <c r="B6265" t="s">
        <v>10319</v>
      </c>
    </row>
    <row r="6266" spans="1:2">
      <c r="A6266" s="1" t="s">
        <v>6532</v>
      </c>
      <c r="B6266" t="s">
        <v>10286</v>
      </c>
    </row>
    <row r="6267" spans="1:2">
      <c r="A6267" s="1" t="s">
        <v>6533</v>
      </c>
      <c r="B6267" t="s">
        <v>10225</v>
      </c>
    </row>
    <row r="6268" spans="1:2">
      <c r="A6268" s="1" t="s">
        <v>6534</v>
      </c>
      <c r="B6268" t="s">
        <v>10329</v>
      </c>
    </row>
    <row r="6269" spans="1:2">
      <c r="A6269" s="1" t="s">
        <v>54</v>
      </c>
      <c r="B6269" t="s">
        <v>10302</v>
      </c>
    </row>
    <row r="6270" spans="1:2">
      <c r="A6270" s="1" t="s">
        <v>6535</v>
      </c>
      <c r="B6270" t="s">
        <v>10319</v>
      </c>
    </row>
    <row r="6271" spans="1:2">
      <c r="A6271" s="1" t="s">
        <v>6536</v>
      </c>
      <c r="B6271" t="s">
        <v>10272</v>
      </c>
    </row>
    <row r="6272" spans="1:2">
      <c r="A6272" s="1" t="s">
        <v>6537</v>
      </c>
      <c r="B6272" t="s">
        <v>10240</v>
      </c>
    </row>
    <row r="6273" spans="1:2">
      <c r="A6273" s="1" t="s">
        <v>6538</v>
      </c>
      <c r="B6273" t="s">
        <v>10280</v>
      </c>
    </row>
    <row r="6274" spans="1:2">
      <c r="A6274" s="1" t="s">
        <v>6539</v>
      </c>
      <c r="B6274" t="s">
        <v>10255</v>
      </c>
    </row>
    <row r="6275" spans="1:2">
      <c r="A6275" s="1" t="s">
        <v>6540</v>
      </c>
      <c r="B6275" t="s">
        <v>10286</v>
      </c>
    </row>
    <row r="6276" spans="1:2">
      <c r="A6276" s="1" t="s">
        <v>6541</v>
      </c>
      <c r="B6276" t="s">
        <v>901</v>
      </c>
    </row>
    <row r="6277" spans="1:2">
      <c r="A6277" s="1" t="s">
        <v>6542</v>
      </c>
      <c r="B6277" t="s">
        <v>10377</v>
      </c>
    </row>
    <row r="6278" spans="1:2">
      <c r="A6278" s="1" t="s">
        <v>6543</v>
      </c>
      <c r="B6278" t="s">
        <v>10230</v>
      </c>
    </row>
    <row r="6279" spans="1:2">
      <c r="A6279" s="1" t="s">
        <v>6544</v>
      </c>
      <c r="B6279" t="s">
        <v>10245</v>
      </c>
    </row>
    <row r="6280" spans="1:2">
      <c r="A6280" s="1" t="s">
        <v>6545</v>
      </c>
      <c r="B6280" t="s">
        <v>10231</v>
      </c>
    </row>
    <row r="6281" spans="1:2">
      <c r="A6281" s="1" t="s">
        <v>6546</v>
      </c>
      <c r="B6281" t="s">
        <v>10413</v>
      </c>
    </row>
    <row r="6282" spans="1:2">
      <c r="A6282" s="1" t="s">
        <v>6547</v>
      </c>
      <c r="B6282" t="s">
        <v>10435</v>
      </c>
    </row>
    <row r="6283" spans="1:2">
      <c r="A6283" s="1" t="s">
        <v>6548</v>
      </c>
      <c r="B6283" t="s">
        <v>10240</v>
      </c>
    </row>
    <row r="6284" spans="1:2">
      <c r="A6284" s="1" t="s">
        <v>6549</v>
      </c>
      <c r="B6284" t="s">
        <v>10266</v>
      </c>
    </row>
    <row r="6285" spans="1:2">
      <c r="A6285" s="1" t="s">
        <v>6550</v>
      </c>
      <c r="B6285" t="s">
        <v>10322</v>
      </c>
    </row>
    <row r="6286" spans="1:2">
      <c r="A6286" s="1" t="s">
        <v>6551</v>
      </c>
      <c r="B6286" t="s">
        <v>10240</v>
      </c>
    </row>
    <row r="6287" spans="1:2">
      <c r="A6287" s="1" t="s">
        <v>6552</v>
      </c>
      <c r="B6287" t="s">
        <v>10311</v>
      </c>
    </row>
    <row r="6288" spans="1:2">
      <c r="A6288" s="1" t="s">
        <v>6553</v>
      </c>
      <c r="B6288" t="s">
        <v>10234</v>
      </c>
    </row>
    <row r="6289" spans="1:2">
      <c r="A6289" s="1" t="s">
        <v>6554</v>
      </c>
      <c r="B6289" t="s">
        <v>10256</v>
      </c>
    </row>
    <row r="6290" spans="1:2">
      <c r="A6290" s="1" t="s">
        <v>6555</v>
      </c>
      <c r="B6290" t="s">
        <v>10319</v>
      </c>
    </row>
    <row r="6291" spans="1:2">
      <c r="A6291" s="1" t="s">
        <v>6556</v>
      </c>
      <c r="B6291" t="s">
        <v>10456</v>
      </c>
    </row>
    <row r="6292" spans="1:2">
      <c r="A6292" s="1" t="s">
        <v>6557</v>
      </c>
      <c r="B6292" t="s">
        <v>10245</v>
      </c>
    </row>
    <row r="6293" spans="1:2">
      <c r="A6293" s="1" t="s">
        <v>6558</v>
      </c>
      <c r="B6293" t="s">
        <v>10240</v>
      </c>
    </row>
    <row r="6294" spans="1:2">
      <c r="A6294" s="1" t="s">
        <v>593</v>
      </c>
      <c r="B6294" t="s">
        <v>10252</v>
      </c>
    </row>
    <row r="6295" spans="1:2">
      <c r="A6295" s="1" t="s">
        <v>6559</v>
      </c>
      <c r="B6295" t="s">
        <v>10399</v>
      </c>
    </row>
    <row r="6296" spans="1:2">
      <c r="A6296" s="1" t="s">
        <v>162</v>
      </c>
      <c r="B6296" t="s">
        <v>10280</v>
      </c>
    </row>
    <row r="6297" spans="1:2">
      <c r="A6297" s="1" t="s">
        <v>6560</v>
      </c>
      <c r="B6297" t="s">
        <v>901</v>
      </c>
    </row>
    <row r="6298" spans="1:2">
      <c r="A6298" s="1" t="s">
        <v>6561</v>
      </c>
      <c r="B6298" t="s">
        <v>10256</v>
      </c>
    </row>
    <row r="6299" spans="1:2">
      <c r="A6299" s="1" t="s">
        <v>6562</v>
      </c>
      <c r="B6299" t="s">
        <v>10350</v>
      </c>
    </row>
    <row r="6300" spans="1:2">
      <c r="A6300" s="1" t="s">
        <v>6563</v>
      </c>
      <c r="B6300" t="s">
        <v>10230</v>
      </c>
    </row>
    <row r="6301" spans="1:2">
      <c r="A6301" s="1" t="s">
        <v>6564</v>
      </c>
      <c r="B6301" t="s">
        <v>10288</v>
      </c>
    </row>
    <row r="6302" spans="1:2">
      <c r="A6302" s="1" t="s">
        <v>6565</v>
      </c>
      <c r="B6302" t="s">
        <v>10240</v>
      </c>
    </row>
    <row r="6303" spans="1:2">
      <c r="A6303" s="1" t="s">
        <v>116</v>
      </c>
      <c r="B6303" t="s">
        <v>10250</v>
      </c>
    </row>
    <row r="6304" spans="1:2">
      <c r="A6304" s="1" t="s">
        <v>6566</v>
      </c>
      <c r="B6304" t="s">
        <v>10288</v>
      </c>
    </row>
    <row r="6305" spans="1:2">
      <c r="A6305" s="1" t="s">
        <v>81</v>
      </c>
      <c r="B6305" t="s">
        <v>10250</v>
      </c>
    </row>
    <row r="6306" spans="1:2">
      <c r="A6306" s="1" t="s">
        <v>6567</v>
      </c>
      <c r="B6306" t="s">
        <v>10272</v>
      </c>
    </row>
    <row r="6307" spans="1:2">
      <c r="A6307" s="1" t="s">
        <v>6568</v>
      </c>
      <c r="B6307" t="s">
        <v>10239</v>
      </c>
    </row>
    <row r="6308" spans="1:2">
      <c r="A6308" s="1" t="s">
        <v>6569</v>
      </c>
      <c r="B6308" t="s">
        <v>901</v>
      </c>
    </row>
    <row r="6309" spans="1:2">
      <c r="A6309" s="1" t="s">
        <v>6570</v>
      </c>
      <c r="B6309" t="s">
        <v>10292</v>
      </c>
    </row>
    <row r="6310" spans="1:2">
      <c r="A6310" s="1" t="s">
        <v>6571</v>
      </c>
      <c r="B6310" t="s">
        <v>10230</v>
      </c>
    </row>
    <row r="6311" spans="1:2">
      <c r="A6311" s="1" t="s">
        <v>6572</v>
      </c>
      <c r="B6311" t="s">
        <v>10230</v>
      </c>
    </row>
    <row r="6312" spans="1:2">
      <c r="A6312" s="1" t="s">
        <v>6573</v>
      </c>
      <c r="B6312" t="s">
        <v>10234</v>
      </c>
    </row>
    <row r="6313" spans="1:2">
      <c r="A6313" s="1" t="s">
        <v>6574</v>
      </c>
      <c r="B6313" t="s">
        <v>10250</v>
      </c>
    </row>
    <row r="6314" spans="1:2">
      <c r="A6314" s="1" t="s">
        <v>6575</v>
      </c>
      <c r="B6314" t="s">
        <v>10234</v>
      </c>
    </row>
    <row r="6315" spans="1:2">
      <c r="A6315" s="1" t="s">
        <v>6576</v>
      </c>
      <c r="B6315" t="s">
        <v>10265</v>
      </c>
    </row>
    <row r="6316" spans="1:2">
      <c r="A6316" s="1" t="s">
        <v>6577</v>
      </c>
      <c r="B6316" t="s">
        <v>10371</v>
      </c>
    </row>
    <row r="6317" spans="1:2">
      <c r="A6317" s="1" t="s">
        <v>6578</v>
      </c>
      <c r="B6317" t="s">
        <v>10252</v>
      </c>
    </row>
    <row r="6318" spans="1:2">
      <c r="A6318" s="1" t="s">
        <v>6579</v>
      </c>
      <c r="B6318" t="s">
        <v>10280</v>
      </c>
    </row>
    <row r="6319" spans="1:2">
      <c r="A6319" s="1" t="s">
        <v>623</v>
      </c>
      <c r="B6319" t="s">
        <v>10398</v>
      </c>
    </row>
    <row r="6320" spans="1:2">
      <c r="A6320" s="1" t="s">
        <v>196</v>
      </c>
      <c r="B6320" t="s">
        <v>10451</v>
      </c>
    </row>
    <row r="6321" spans="1:2">
      <c r="A6321" s="1" t="s">
        <v>6580</v>
      </c>
      <c r="B6321" t="s">
        <v>10245</v>
      </c>
    </row>
    <row r="6322" spans="1:2">
      <c r="A6322" s="1" t="s">
        <v>6581</v>
      </c>
      <c r="B6322" t="s">
        <v>10244</v>
      </c>
    </row>
    <row r="6323" spans="1:2">
      <c r="A6323" s="1" t="s">
        <v>6582</v>
      </c>
      <c r="B6323" t="s">
        <v>10240</v>
      </c>
    </row>
    <row r="6324" spans="1:2">
      <c r="A6324" s="1" t="s">
        <v>6583</v>
      </c>
      <c r="B6324" t="s">
        <v>10240</v>
      </c>
    </row>
    <row r="6325" spans="1:2">
      <c r="A6325" s="1" t="s">
        <v>6584</v>
      </c>
      <c r="B6325" t="s">
        <v>10399</v>
      </c>
    </row>
    <row r="6326" spans="1:2">
      <c r="A6326" s="1" t="s">
        <v>6585</v>
      </c>
      <c r="B6326" t="s">
        <v>10230</v>
      </c>
    </row>
    <row r="6327" spans="1:2">
      <c r="A6327" s="1" t="s">
        <v>6586</v>
      </c>
      <c r="B6327" t="s">
        <v>10255</v>
      </c>
    </row>
    <row r="6328" spans="1:2">
      <c r="A6328" s="1" t="s">
        <v>6587</v>
      </c>
      <c r="B6328" t="s">
        <v>10230</v>
      </c>
    </row>
    <row r="6329" spans="1:2">
      <c r="A6329" s="1" t="s">
        <v>6588</v>
      </c>
      <c r="B6329" t="s">
        <v>10234</v>
      </c>
    </row>
    <row r="6330" spans="1:2">
      <c r="A6330" s="1" t="s">
        <v>6589</v>
      </c>
      <c r="B6330" t="s">
        <v>10230</v>
      </c>
    </row>
    <row r="6331" spans="1:2">
      <c r="A6331" s="1" t="s">
        <v>6590</v>
      </c>
      <c r="B6331" t="s">
        <v>10234</v>
      </c>
    </row>
    <row r="6332" spans="1:2">
      <c r="A6332" s="1" t="s">
        <v>6591</v>
      </c>
      <c r="B6332" t="s">
        <v>10233</v>
      </c>
    </row>
    <row r="6333" spans="1:2">
      <c r="A6333" s="1" t="s">
        <v>6592</v>
      </c>
      <c r="B6333" t="s">
        <v>10345</v>
      </c>
    </row>
    <row r="6334" spans="1:2">
      <c r="A6334" s="1" t="s">
        <v>6593</v>
      </c>
      <c r="B6334" t="s">
        <v>10470</v>
      </c>
    </row>
    <row r="6335" spans="1:2">
      <c r="A6335" s="1" t="s">
        <v>6594</v>
      </c>
      <c r="B6335" t="s">
        <v>10233</v>
      </c>
    </row>
    <row r="6336" spans="1:2">
      <c r="A6336" s="1" t="s">
        <v>6595</v>
      </c>
      <c r="B6336" t="s">
        <v>10234</v>
      </c>
    </row>
    <row r="6337" spans="1:2">
      <c r="A6337" s="1" t="s">
        <v>6596</v>
      </c>
      <c r="B6337" t="s">
        <v>10234</v>
      </c>
    </row>
    <row r="6338" spans="1:2">
      <c r="A6338" s="1" t="s">
        <v>6597</v>
      </c>
      <c r="B6338" t="s">
        <v>10238</v>
      </c>
    </row>
    <row r="6339" spans="1:2">
      <c r="A6339" s="1" t="s">
        <v>6598</v>
      </c>
      <c r="B6339" t="s">
        <v>10239</v>
      </c>
    </row>
    <row r="6340" spans="1:2">
      <c r="A6340" s="1" t="s">
        <v>6599</v>
      </c>
      <c r="B6340" t="s">
        <v>901</v>
      </c>
    </row>
    <row r="6341" spans="1:2">
      <c r="A6341" s="1" t="s">
        <v>6600</v>
      </c>
      <c r="B6341" t="s">
        <v>10453</v>
      </c>
    </row>
    <row r="6342" spans="1:2">
      <c r="A6342" s="1" t="s">
        <v>6601</v>
      </c>
      <c r="B6342" t="s">
        <v>10323</v>
      </c>
    </row>
    <row r="6343" spans="1:2">
      <c r="A6343" s="1" t="s">
        <v>6602</v>
      </c>
      <c r="B6343" t="s">
        <v>10232</v>
      </c>
    </row>
    <row r="6344" spans="1:2">
      <c r="A6344" s="1" t="s">
        <v>6603</v>
      </c>
      <c r="B6344" t="s">
        <v>10472</v>
      </c>
    </row>
    <row r="6345" spans="1:2">
      <c r="A6345" s="1" t="s">
        <v>6604</v>
      </c>
      <c r="B6345" t="s">
        <v>10272</v>
      </c>
    </row>
    <row r="6346" spans="1:2">
      <c r="A6346" s="1" t="s">
        <v>6605</v>
      </c>
      <c r="B6346" t="s">
        <v>10224</v>
      </c>
    </row>
    <row r="6347" spans="1:2">
      <c r="A6347" s="1" t="s">
        <v>6606</v>
      </c>
      <c r="B6347" t="s">
        <v>10399</v>
      </c>
    </row>
    <row r="6348" spans="1:2">
      <c r="A6348" s="1" t="s">
        <v>6607</v>
      </c>
      <c r="B6348" t="s">
        <v>10276</v>
      </c>
    </row>
    <row r="6349" spans="1:2">
      <c r="A6349" s="1" t="s">
        <v>6608</v>
      </c>
      <c r="B6349" t="s">
        <v>10256</v>
      </c>
    </row>
    <row r="6350" spans="1:2">
      <c r="A6350" s="1" t="s">
        <v>6609</v>
      </c>
      <c r="B6350" t="s">
        <v>10245</v>
      </c>
    </row>
    <row r="6351" spans="1:2">
      <c r="A6351" s="1" t="s">
        <v>6610</v>
      </c>
      <c r="B6351" t="s">
        <v>10445</v>
      </c>
    </row>
    <row r="6352" spans="1:2">
      <c r="A6352" s="1" t="s">
        <v>6611</v>
      </c>
      <c r="B6352" t="s">
        <v>10522</v>
      </c>
    </row>
    <row r="6353" spans="1:2">
      <c r="A6353" s="1" t="s">
        <v>6612</v>
      </c>
      <c r="B6353" t="s">
        <v>10276</v>
      </c>
    </row>
    <row r="6354" spans="1:2">
      <c r="A6354" s="1" t="s">
        <v>6613</v>
      </c>
      <c r="B6354" t="s">
        <v>10233</v>
      </c>
    </row>
    <row r="6355" spans="1:2">
      <c r="A6355" s="1" t="s">
        <v>6614</v>
      </c>
      <c r="B6355" t="s">
        <v>10345</v>
      </c>
    </row>
    <row r="6356" spans="1:2">
      <c r="A6356" s="1" t="s">
        <v>6615</v>
      </c>
      <c r="B6356" t="s">
        <v>10238</v>
      </c>
    </row>
    <row r="6357" spans="1:2">
      <c r="A6357" s="1" t="s">
        <v>6616</v>
      </c>
      <c r="B6357" t="s">
        <v>10244</v>
      </c>
    </row>
    <row r="6358" spans="1:2">
      <c r="A6358" s="1" t="s">
        <v>6617</v>
      </c>
      <c r="B6358" t="s">
        <v>10245</v>
      </c>
    </row>
    <row r="6359" spans="1:2">
      <c r="A6359" s="1" t="s">
        <v>6618</v>
      </c>
      <c r="B6359" t="s">
        <v>10263</v>
      </c>
    </row>
    <row r="6360" spans="1:2">
      <c r="A6360" s="1" t="s">
        <v>6619</v>
      </c>
      <c r="B6360" t="s">
        <v>10377</v>
      </c>
    </row>
    <row r="6361" spans="1:2">
      <c r="A6361" s="1" t="s">
        <v>6620</v>
      </c>
      <c r="B6361" t="s">
        <v>10256</v>
      </c>
    </row>
    <row r="6362" spans="1:2">
      <c r="A6362" s="1" t="s">
        <v>6621</v>
      </c>
      <c r="B6362" t="s">
        <v>10239</v>
      </c>
    </row>
    <row r="6363" spans="1:2">
      <c r="A6363" s="1" t="s">
        <v>6622</v>
      </c>
      <c r="B6363" t="s">
        <v>10303</v>
      </c>
    </row>
    <row r="6364" spans="1:2">
      <c r="A6364" s="1" t="s">
        <v>6623</v>
      </c>
      <c r="B6364" t="s">
        <v>10244</v>
      </c>
    </row>
    <row r="6365" spans="1:2">
      <c r="A6365" s="1" t="s">
        <v>526</v>
      </c>
      <c r="B6365" t="s">
        <v>10279</v>
      </c>
    </row>
    <row r="6366" spans="1:2">
      <c r="A6366" s="1" t="s">
        <v>6624</v>
      </c>
      <c r="B6366" t="s">
        <v>10292</v>
      </c>
    </row>
    <row r="6367" spans="1:2">
      <c r="A6367" s="1" t="s">
        <v>109</v>
      </c>
      <c r="B6367" t="s">
        <v>10288</v>
      </c>
    </row>
    <row r="6368" spans="1:2">
      <c r="A6368" s="1" t="s">
        <v>6625</v>
      </c>
      <c r="B6368" t="s">
        <v>10269</v>
      </c>
    </row>
    <row r="6369" spans="1:2">
      <c r="A6369" s="1" t="s">
        <v>6626</v>
      </c>
      <c r="B6369" t="s">
        <v>10276</v>
      </c>
    </row>
    <row r="6370" spans="1:2">
      <c r="A6370" s="1" t="s">
        <v>991</v>
      </c>
      <c r="B6370" t="s">
        <v>10364</v>
      </c>
    </row>
    <row r="6371" spans="1:2">
      <c r="A6371" s="1" t="s">
        <v>6627</v>
      </c>
      <c r="B6371" t="s">
        <v>10302</v>
      </c>
    </row>
    <row r="6372" spans="1:2">
      <c r="A6372" s="1" t="s">
        <v>6628</v>
      </c>
      <c r="B6372" t="s">
        <v>10240</v>
      </c>
    </row>
    <row r="6373" spans="1:2">
      <c r="A6373" s="1" t="s">
        <v>6629</v>
      </c>
      <c r="B6373" t="s">
        <v>10523</v>
      </c>
    </row>
    <row r="6374" spans="1:2">
      <c r="A6374" s="1" t="s">
        <v>6630</v>
      </c>
      <c r="B6374" t="s">
        <v>10263</v>
      </c>
    </row>
    <row r="6375" spans="1:2">
      <c r="A6375" s="1" t="s">
        <v>6631</v>
      </c>
      <c r="B6375" t="s">
        <v>10312</v>
      </c>
    </row>
    <row r="6376" spans="1:2">
      <c r="A6376" s="1" t="s">
        <v>6632</v>
      </c>
      <c r="B6376" t="s">
        <v>10393</v>
      </c>
    </row>
    <row r="6377" spans="1:2">
      <c r="A6377" s="1" t="s">
        <v>6633</v>
      </c>
      <c r="B6377" t="s">
        <v>10243</v>
      </c>
    </row>
    <row r="6378" spans="1:2">
      <c r="A6378" s="1" t="s">
        <v>6634</v>
      </c>
      <c r="B6378" t="s">
        <v>10240</v>
      </c>
    </row>
    <row r="6379" spans="1:2">
      <c r="A6379" s="1" t="s">
        <v>6635</v>
      </c>
      <c r="B6379" t="s">
        <v>10252</v>
      </c>
    </row>
    <row r="6380" spans="1:2">
      <c r="A6380" s="1" t="s">
        <v>6636</v>
      </c>
      <c r="B6380" t="s">
        <v>10252</v>
      </c>
    </row>
    <row r="6381" spans="1:2">
      <c r="A6381" s="1" t="s">
        <v>6637</v>
      </c>
      <c r="B6381" t="s">
        <v>10276</v>
      </c>
    </row>
    <row r="6382" spans="1:2">
      <c r="A6382" s="1" t="s">
        <v>6638</v>
      </c>
      <c r="B6382" t="s">
        <v>10239</v>
      </c>
    </row>
    <row r="6383" spans="1:2">
      <c r="A6383" s="1" t="s">
        <v>6639</v>
      </c>
      <c r="B6383" t="s">
        <v>10245</v>
      </c>
    </row>
    <row r="6384" spans="1:2">
      <c r="A6384" s="1" t="s">
        <v>6640</v>
      </c>
      <c r="B6384" t="s">
        <v>10234</v>
      </c>
    </row>
    <row r="6385" spans="1:2">
      <c r="A6385" s="1" t="s">
        <v>6641</v>
      </c>
      <c r="B6385" t="s">
        <v>10245</v>
      </c>
    </row>
    <row r="6386" spans="1:2">
      <c r="A6386" s="1" t="s">
        <v>6642</v>
      </c>
      <c r="B6386" t="s">
        <v>10230</v>
      </c>
    </row>
    <row r="6387" spans="1:2">
      <c r="A6387" s="1" t="s">
        <v>573</v>
      </c>
      <c r="B6387" t="s">
        <v>10229</v>
      </c>
    </row>
    <row r="6388" spans="1:2">
      <c r="A6388" s="1" t="s">
        <v>6643</v>
      </c>
      <c r="B6388" t="s">
        <v>10401</v>
      </c>
    </row>
    <row r="6389" spans="1:2">
      <c r="A6389" s="1" t="s">
        <v>6644</v>
      </c>
      <c r="B6389" t="s">
        <v>10251</v>
      </c>
    </row>
    <row r="6390" spans="1:2">
      <c r="A6390" s="1" t="s">
        <v>6645</v>
      </c>
      <c r="B6390" t="s">
        <v>10225</v>
      </c>
    </row>
    <row r="6391" spans="1:2">
      <c r="A6391" s="1" t="s">
        <v>6646</v>
      </c>
      <c r="B6391" t="s">
        <v>10500</v>
      </c>
    </row>
    <row r="6392" spans="1:2">
      <c r="A6392" s="1" t="s">
        <v>6647</v>
      </c>
      <c r="B6392" t="s">
        <v>10500</v>
      </c>
    </row>
    <row r="6393" spans="1:2">
      <c r="A6393" s="1" t="s">
        <v>6648</v>
      </c>
      <c r="B6393" t="s">
        <v>10524</v>
      </c>
    </row>
    <row r="6394" spans="1:2">
      <c r="A6394" s="1" t="s">
        <v>6649</v>
      </c>
      <c r="B6394" t="s">
        <v>10292</v>
      </c>
    </row>
    <row r="6395" spans="1:2">
      <c r="A6395" s="1" t="s">
        <v>6650</v>
      </c>
      <c r="B6395" t="s">
        <v>10240</v>
      </c>
    </row>
    <row r="6396" spans="1:2">
      <c r="A6396" s="1" t="s">
        <v>6651</v>
      </c>
      <c r="B6396" t="s">
        <v>10424</v>
      </c>
    </row>
    <row r="6397" spans="1:2">
      <c r="A6397" s="1" t="s">
        <v>6652</v>
      </c>
      <c r="B6397" t="s">
        <v>10283</v>
      </c>
    </row>
    <row r="6398" spans="1:2">
      <c r="A6398" s="1" t="s">
        <v>6653</v>
      </c>
      <c r="B6398" t="s">
        <v>10256</v>
      </c>
    </row>
    <row r="6399" spans="1:2">
      <c r="A6399" s="1" t="s">
        <v>6654</v>
      </c>
      <c r="B6399" t="s">
        <v>10429</v>
      </c>
    </row>
    <row r="6400" spans="1:2">
      <c r="A6400" s="1" t="s">
        <v>6655</v>
      </c>
      <c r="B6400" t="s">
        <v>901</v>
      </c>
    </row>
    <row r="6401" spans="1:2">
      <c r="A6401" s="1" t="s">
        <v>6656</v>
      </c>
      <c r="B6401" t="s">
        <v>10230</v>
      </c>
    </row>
    <row r="6402" spans="1:2">
      <c r="A6402" s="1" t="s">
        <v>6657</v>
      </c>
      <c r="B6402" t="s">
        <v>10290</v>
      </c>
    </row>
    <row r="6403" spans="1:2">
      <c r="A6403" s="1" t="s">
        <v>6658</v>
      </c>
      <c r="B6403" t="s">
        <v>10525</v>
      </c>
    </row>
    <row r="6404" spans="1:2">
      <c r="A6404" s="1" t="s">
        <v>6659</v>
      </c>
      <c r="B6404" t="s">
        <v>10230</v>
      </c>
    </row>
    <row r="6405" spans="1:2">
      <c r="A6405" s="1" t="s">
        <v>6660</v>
      </c>
      <c r="B6405" t="s">
        <v>10345</v>
      </c>
    </row>
    <row r="6406" spans="1:2">
      <c r="A6406" s="1" t="s">
        <v>6661</v>
      </c>
      <c r="B6406" t="s">
        <v>10230</v>
      </c>
    </row>
    <row r="6407" spans="1:2">
      <c r="A6407" s="1" t="s">
        <v>6662</v>
      </c>
      <c r="B6407" t="s">
        <v>10234</v>
      </c>
    </row>
    <row r="6408" spans="1:2">
      <c r="A6408" s="1" t="s">
        <v>6663</v>
      </c>
      <c r="B6408" t="s">
        <v>10266</v>
      </c>
    </row>
    <row r="6409" spans="1:2">
      <c r="A6409" s="1" t="s">
        <v>6664</v>
      </c>
      <c r="B6409" t="s">
        <v>10252</v>
      </c>
    </row>
    <row r="6410" spans="1:2">
      <c r="A6410" s="1" t="s">
        <v>6665</v>
      </c>
      <c r="B6410" t="s">
        <v>10230</v>
      </c>
    </row>
    <row r="6411" spans="1:2">
      <c r="A6411" s="1" t="s">
        <v>6666</v>
      </c>
      <c r="B6411" t="s">
        <v>10336</v>
      </c>
    </row>
    <row r="6412" spans="1:2">
      <c r="A6412" s="1" t="s">
        <v>6667</v>
      </c>
      <c r="B6412" t="s">
        <v>10356</v>
      </c>
    </row>
    <row r="6413" spans="1:2">
      <c r="A6413" s="1" t="s">
        <v>6668</v>
      </c>
      <c r="B6413" t="s">
        <v>10240</v>
      </c>
    </row>
    <row r="6414" spans="1:2">
      <c r="A6414" s="1" t="s">
        <v>269</v>
      </c>
      <c r="B6414" t="s">
        <v>10229</v>
      </c>
    </row>
    <row r="6415" spans="1:2">
      <c r="A6415" s="1" t="s">
        <v>6669</v>
      </c>
      <c r="B6415" t="s">
        <v>10312</v>
      </c>
    </row>
    <row r="6416" spans="1:2">
      <c r="A6416" s="1" t="s">
        <v>6670</v>
      </c>
      <c r="B6416" t="s">
        <v>10319</v>
      </c>
    </row>
    <row r="6417" spans="1:2">
      <c r="A6417" s="1" t="s">
        <v>6671</v>
      </c>
      <c r="B6417" t="s">
        <v>10238</v>
      </c>
    </row>
    <row r="6418" spans="1:2">
      <c r="A6418" s="1" t="s">
        <v>6672</v>
      </c>
      <c r="B6418" t="s">
        <v>10276</v>
      </c>
    </row>
    <row r="6419" spans="1:2">
      <c r="A6419" s="1" t="s">
        <v>6673</v>
      </c>
      <c r="B6419" t="s">
        <v>10278</v>
      </c>
    </row>
    <row r="6420" spans="1:2">
      <c r="A6420" s="1" t="s">
        <v>6674</v>
      </c>
      <c r="B6420" t="s">
        <v>10250</v>
      </c>
    </row>
    <row r="6421" spans="1:2">
      <c r="A6421" s="1" t="s">
        <v>131</v>
      </c>
      <c r="B6421" t="s">
        <v>10287</v>
      </c>
    </row>
    <row r="6422" spans="1:2">
      <c r="A6422" s="1" t="s">
        <v>6675</v>
      </c>
      <c r="B6422" t="s">
        <v>10240</v>
      </c>
    </row>
    <row r="6423" spans="1:2">
      <c r="A6423" s="1" t="s">
        <v>6676</v>
      </c>
      <c r="B6423" t="s">
        <v>10315</v>
      </c>
    </row>
    <row r="6424" spans="1:2">
      <c r="A6424" s="1" t="s">
        <v>6677</v>
      </c>
      <c r="B6424" t="s">
        <v>10389</v>
      </c>
    </row>
    <row r="6425" spans="1:2">
      <c r="A6425" s="1" t="s">
        <v>6678</v>
      </c>
      <c r="B6425" t="s">
        <v>901</v>
      </c>
    </row>
    <row r="6426" spans="1:2">
      <c r="A6426" s="1" t="s">
        <v>6679</v>
      </c>
      <c r="B6426" t="s">
        <v>901</v>
      </c>
    </row>
    <row r="6427" spans="1:2">
      <c r="A6427" s="1" t="s">
        <v>6680</v>
      </c>
      <c r="B6427" t="s">
        <v>10230</v>
      </c>
    </row>
    <row r="6428" spans="1:2">
      <c r="A6428" s="1" t="s">
        <v>6681</v>
      </c>
      <c r="B6428" t="s">
        <v>10345</v>
      </c>
    </row>
    <row r="6429" spans="1:2">
      <c r="A6429" s="1" t="s">
        <v>478</v>
      </c>
      <c r="B6429" t="s">
        <v>10263</v>
      </c>
    </row>
    <row r="6430" spans="1:2">
      <c r="A6430" s="1" t="s">
        <v>6682</v>
      </c>
      <c r="B6430" t="s">
        <v>10283</v>
      </c>
    </row>
    <row r="6431" spans="1:2">
      <c r="A6431" s="1" t="s">
        <v>198</v>
      </c>
      <c r="B6431" t="s">
        <v>10240</v>
      </c>
    </row>
    <row r="6432" spans="1:2">
      <c r="A6432" s="1" t="s">
        <v>6683</v>
      </c>
      <c r="B6432" t="s">
        <v>10231</v>
      </c>
    </row>
    <row r="6433" spans="1:2">
      <c r="A6433" s="1" t="s">
        <v>6684</v>
      </c>
      <c r="B6433" t="s">
        <v>10234</v>
      </c>
    </row>
    <row r="6434" spans="1:2">
      <c r="A6434" s="1" t="s">
        <v>6685</v>
      </c>
      <c r="B6434" t="s">
        <v>10245</v>
      </c>
    </row>
    <row r="6435" spans="1:2">
      <c r="A6435" s="1" t="s">
        <v>6686</v>
      </c>
      <c r="B6435" t="s">
        <v>10277</v>
      </c>
    </row>
    <row r="6436" spans="1:2">
      <c r="A6436" s="1" t="s">
        <v>6687</v>
      </c>
      <c r="B6436" t="s">
        <v>10234</v>
      </c>
    </row>
    <row r="6437" spans="1:2">
      <c r="A6437" s="1" t="s">
        <v>6688</v>
      </c>
      <c r="B6437" t="s">
        <v>10312</v>
      </c>
    </row>
    <row r="6438" spans="1:2">
      <c r="A6438" s="1" t="s">
        <v>6689</v>
      </c>
      <c r="B6438" t="s">
        <v>10225</v>
      </c>
    </row>
    <row r="6439" spans="1:2">
      <c r="A6439" s="1" t="s">
        <v>6690</v>
      </c>
      <c r="B6439" t="s">
        <v>10233</v>
      </c>
    </row>
    <row r="6440" spans="1:2">
      <c r="A6440" s="1" t="s">
        <v>6691</v>
      </c>
      <c r="B6440" t="s">
        <v>10286</v>
      </c>
    </row>
    <row r="6441" spans="1:2">
      <c r="A6441" s="1" t="s">
        <v>6692</v>
      </c>
      <c r="B6441" t="s">
        <v>10239</v>
      </c>
    </row>
    <row r="6442" spans="1:2">
      <c r="A6442" s="1" t="s">
        <v>6693</v>
      </c>
      <c r="B6442" t="s">
        <v>10445</v>
      </c>
    </row>
    <row r="6443" spans="1:2">
      <c r="A6443" s="1" t="s">
        <v>6694</v>
      </c>
      <c r="B6443" t="s">
        <v>10282</v>
      </c>
    </row>
    <row r="6444" spans="1:2">
      <c r="A6444" s="1" t="s">
        <v>6695</v>
      </c>
      <c r="B6444" t="s">
        <v>10233</v>
      </c>
    </row>
    <row r="6445" spans="1:2">
      <c r="A6445" s="1" t="s">
        <v>6696</v>
      </c>
      <c r="B6445" t="s">
        <v>10513</v>
      </c>
    </row>
    <row r="6446" spans="1:2">
      <c r="A6446" s="1" t="s">
        <v>6697</v>
      </c>
      <c r="B6446" t="s">
        <v>10334</v>
      </c>
    </row>
    <row r="6447" spans="1:2">
      <c r="A6447" s="1" t="s">
        <v>6698</v>
      </c>
      <c r="B6447" t="s">
        <v>10280</v>
      </c>
    </row>
    <row r="6448" spans="1:2">
      <c r="A6448" s="1" t="s">
        <v>6699</v>
      </c>
      <c r="B6448" t="s">
        <v>10526</v>
      </c>
    </row>
    <row r="6449" spans="1:2">
      <c r="A6449" s="1" t="s">
        <v>6700</v>
      </c>
      <c r="B6449" t="s">
        <v>10403</v>
      </c>
    </row>
    <row r="6450" spans="1:2">
      <c r="A6450" s="1" t="s">
        <v>6701</v>
      </c>
      <c r="B6450" t="s">
        <v>10256</v>
      </c>
    </row>
    <row r="6451" spans="1:2">
      <c r="A6451" s="1" t="s">
        <v>71</v>
      </c>
      <c r="B6451" t="s">
        <v>10277</v>
      </c>
    </row>
    <row r="6452" spans="1:2">
      <c r="A6452" s="1" t="s">
        <v>58</v>
      </c>
      <c r="B6452" t="s">
        <v>10310</v>
      </c>
    </row>
    <row r="6453" spans="1:2">
      <c r="A6453" s="1" t="s">
        <v>6702</v>
      </c>
      <c r="B6453" t="s">
        <v>10231</v>
      </c>
    </row>
    <row r="6454" spans="1:2">
      <c r="A6454" s="1" t="s">
        <v>6703</v>
      </c>
      <c r="B6454" t="s">
        <v>10462</v>
      </c>
    </row>
    <row r="6455" spans="1:2">
      <c r="A6455" s="1" t="s">
        <v>6704</v>
      </c>
      <c r="B6455" t="s">
        <v>10319</v>
      </c>
    </row>
    <row r="6456" spans="1:2">
      <c r="A6456" s="1" t="s">
        <v>6705</v>
      </c>
      <c r="B6456" t="s">
        <v>10231</v>
      </c>
    </row>
    <row r="6457" spans="1:2">
      <c r="A6457" s="1" t="s">
        <v>6706</v>
      </c>
      <c r="B6457" t="s">
        <v>10231</v>
      </c>
    </row>
    <row r="6458" spans="1:2">
      <c r="A6458" s="1" t="s">
        <v>6707</v>
      </c>
      <c r="B6458" t="s">
        <v>10284</v>
      </c>
    </row>
    <row r="6459" spans="1:2">
      <c r="A6459" s="1" t="s">
        <v>6708</v>
      </c>
      <c r="B6459" t="s">
        <v>10280</v>
      </c>
    </row>
    <row r="6460" spans="1:2">
      <c r="A6460" s="1" t="s">
        <v>6709</v>
      </c>
      <c r="B6460" t="s">
        <v>10441</v>
      </c>
    </row>
    <row r="6461" spans="1:2">
      <c r="A6461" s="1" t="s">
        <v>6710</v>
      </c>
      <c r="B6461" t="s">
        <v>10245</v>
      </c>
    </row>
    <row r="6462" spans="1:2">
      <c r="A6462" s="1" t="s">
        <v>6711</v>
      </c>
      <c r="B6462" t="s">
        <v>10258</v>
      </c>
    </row>
    <row r="6463" spans="1:2">
      <c r="A6463" s="1" t="s">
        <v>6712</v>
      </c>
      <c r="B6463" t="s">
        <v>10234</v>
      </c>
    </row>
    <row r="6464" spans="1:2">
      <c r="A6464" s="1" t="s">
        <v>6713</v>
      </c>
      <c r="B6464" t="s">
        <v>10234</v>
      </c>
    </row>
    <row r="6465" spans="1:2">
      <c r="A6465" s="1" t="s">
        <v>6714</v>
      </c>
      <c r="B6465" t="s">
        <v>10463</v>
      </c>
    </row>
    <row r="6466" spans="1:2">
      <c r="A6466" s="1" t="s">
        <v>6715</v>
      </c>
      <c r="B6466" t="s">
        <v>10245</v>
      </c>
    </row>
    <row r="6467" spans="1:2">
      <c r="A6467" s="1" t="s">
        <v>6716</v>
      </c>
      <c r="B6467" t="s">
        <v>10283</v>
      </c>
    </row>
    <row r="6468" spans="1:2">
      <c r="A6468" s="1" t="s">
        <v>6717</v>
      </c>
      <c r="B6468" t="s">
        <v>10240</v>
      </c>
    </row>
    <row r="6469" spans="1:2">
      <c r="A6469" s="1" t="s">
        <v>6718</v>
      </c>
      <c r="B6469" t="s">
        <v>10234</v>
      </c>
    </row>
    <row r="6470" spans="1:2">
      <c r="A6470" s="1" t="s">
        <v>6719</v>
      </c>
      <c r="B6470" t="s">
        <v>10316</v>
      </c>
    </row>
    <row r="6471" spans="1:2">
      <c r="A6471" s="1" t="s">
        <v>6720</v>
      </c>
      <c r="B6471" t="s">
        <v>10500</v>
      </c>
    </row>
    <row r="6472" spans="1:2">
      <c r="A6472" s="1" t="s">
        <v>6721</v>
      </c>
      <c r="B6472" t="s">
        <v>10327</v>
      </c>
    </row>
    <row r="6473" spans="1:2">
      <c r="A6473" s="1" t="s">
        <v>6722</v>
      </c>
      <c r="B6473" t="s">
        <v>10424</v>
      </c>
    </row>
    <row r="6474" spans="1:2">
      <c r="A6474" s="1" t="s">
        <v>6723</v>
      </c>
      <c r="B6474" t="s">
        <v>10230</v>
      </c>
    </row>
    <row r="6475" spans="1:2">
      <c r="A6475" s="1" t="s">
        <v>6724</v>
      </c>
      <c r="B6475" t="s">
        <v>10240</v>
      </c>
    </row>
    <row r="6476" spans="1:2">
      <c r="A6476" s="1" t="s">
        <v>6725</v>
      </c>
      <c r="B6476" t="s">
        <v>10366</v>
      </c>
    </row>
    <row r="6477" spans="1:2">
      <c r="A6477" s="1" t="s">
        <v>6726</v>
      </c>
      <c r="B6477" t="s">
        <v>10298</v>
      </c>
    </row>
    <row r="6478" spans="1:2">
      <c r="A6478" s="1" t="s">
        <v>6727</v>
      </c>
      <c r="B6478" t="s">
        <v>10261</v>
      </c>
    </row>
    <row r="6479" spans="1:2">
      <c r="A6479" s="1" t="s">
        <v>6728</v>
      </c>
      <c r="B6479" t="s">
        <v>10345</v>
      </c>
    </row>
    <row r="6480" spans="1:2">
      <c r="A6480" s="1" t="s">
        <v>6729</v>
      </c>
      <c r="B6480" t="s">
        <v>10424</v>
      </c>
    </row>
    <row r="6481" spans="1:2">
      <c r="A6481" s="1" t="s">
        <v>6730</v>
      </c>
      <c r="B6481" t="s">
        <v>10507</v>
      </c>
    </row>
    <row r="6482" spans="1:2">
      <c r="A6482" s="1" t="s">
        <v>6731</v>
      </c>
      <c r="B6482" t="s">
        <v>10224</v>
      </c>
    </row>
    <row r="6483" spans="1:2">
      <c r="A6483" s="1" t="s">
        <v>6732</v>
      </c>
      <c r="B6483" t="s">
        <v>10238</v>
      </c>
    </row>
    <row r="6484" spans="1:2">
      <c r="A6484" s="1" t="s">
        <v>6733</v>
      </c>
      <c r="B6484" t="s">
        <v>10292</v>
      </c>
    </row>
    <row r="6485" spans="1:2">
      <c r="A6485" s="1" t="s">
        <v>6734</v>
      </c>
      <c r="B6485" t="s">
        <v>10286</v>
      </c>
    </row>
    <row r="6486" spans="1:2">
      <c r="A6486" s="1" t="s">
        <v>6735</v>
      </c>
      <c r="B6486" t="s">
        <v>10273</v>
      </c>
    </row>
    <row r="6487" spans="1:2">
      <c r="A6487" s="1" t="s">
        <v>6736</v>
      </c>
      <c r="B6487" t="s">
        <v>10230</v>
      </c>
    </row>
    <row r="6488" spans="1:2">
      <c r="A6488" s="1" t="s">
        <v>6737</v>
      </c>
      <c r="B6488" t="s">
        <v>10282</v>
      </c>
    </row>
    <row r="6489" spans="1:2">
      <c r="A6489" s="1" t="s">
        <v>6738</v>
      </c>
      <c r="B6489" t="s">
        <v>10277</v>
      </c>
    </row>
    <row r="6490" spans="1:2">
      <c r="A6490" s="1" t="s">
        <v>6739</v>
      </c>
      <c r="B6490" t="s">
        <v>10272</v>
      </c>
    </row>
    <row r="6491" spans="1:2">
      <c r="A6491" s="1" t="s">
        <v>6740</v>
      </c>
      <c r="B6491" t="s">
        <v>10345</v>
      </c>
    </row>
    <row r="6492" spans="1:2">
      <c r="A6492" s="1" t="s">
        <v>285</v>
      </c>
      <c r="B6492" t="s">
        <v>10280</v>
      </c>
    </row>
    <row r="6493" spans="1:2">
      <c r="A6493" s="1" t="s">
        <v>6741</v>
      </c>
      <c r="B6493" t="s">
        <v>10245</v>
      </c>
    </row>
    <row r="6494" spans="1:2">
      <c r="A6494" s="1" t="s">
        <v>6742</v>
      </c>
      <c r="B6494" t="s">
        <v>10276</v>
      </c>
    </row>
    <row r="6495" spans="1:2">
      <c r="A6495" s="1" t="s">
        <v>6743</v>
      </c>
      <c r="B6495" t="s">
        <v>10506</v>
      </c>
    </row>
    <row r="6496" spans="1:2">
      <c r="A6496" s="1" t="s">
        <v>6744</v>
      </c>
      <c r="B6496" t="s">
        <v>10319</v>
      </c>
    </row>
    <row r="6497" spans="1:2">
      <c r="A6497" s="1" t="s">
        <v>6745</v>
      </c>
      <c r="B6497" t="s">
        <v>10527</v>
      </c>
    </row>
    <row r="6498" spans="1:2">
      <c r="A6498" s="1" t="s">
        <v>6746</v>
      </c>
      <c r="B6498" t="s">
        <v>10283</v>
      </c>
    </row>
    <row r="6499" spans="1:2">
      <c r="A6499" s="1" t="s">
        <v>6747</v>
      </c>
      <c r="B6499" t="s">
        <v>10322</v>
      </c>
    </row>
    <row r="6500" spans="1:2">
      <c r="A6500" s="1" t="s">
        <v>185</v>
      </c>
      <c r="B6500" t="s">
        <v>10298</v>
      </c>
    </row>
    <row r="6501" spans="1:2">
      <c r="A6501" s="1" t="s">
        <v>6748</v>
      </c>
      <c r="B6501" t="s">
        <v>10442</v>
      </c>
    </row>
    <row r="6502" spans="1:2">
      <c r="A6502" s="1" t="s">
        <v>6749</v>
      </c>
      <c r="B6502" t="s">
        <v>10302</v>
      </c>
    </row>
    <row r="6503" spans="1:2">
      <c r="A6503" s="1" t="s">
        <v>6750</v>
      </c>
      <c r="B6503" t="s">
        <v>10345</v>
      </c>
    </row>
    <row r="6504" spans="1:2">
      <c r="A6504" s="1" t="s">
        <v>6751</v>
      </c>
      <c r="B6504" t="s">
        <v>10234</v>
      </c>
    </row>
    <row r="6505" spans="1:2">
      <c r="A6505" s="1" t="s">
        <v>6752</v>
      </c>
      <c r="B6505" t="s">
        <v>901</v>
      </c>
    </row>
    <row r="6506" spans="1:2">
      <c r="A6506" s="1" t="s">
        <v>6753</v>
      </c>
      <c r="B6506" t="s">
        <v>10230</v>
      </c>
    </row>
    <row r="6507" spans="1:2">
      <c r="A6507" s="1" t="s">
        <v>6754</v>
      </c>
      <c r="B6507" t="s">
        <v>10230</v>
      </c>
    </row>
    <row r="6508" spans="1:2">
      <c r="A6508" s="1" t="s">
        <v>6755</v>
      </c>
      <c r="B6508" t="s">
        <v>10287</v>
      </c>
    </row>
    <row r="6509" spans="1:2">
      <c r="A6509" s="1" t="s">
        <v>6756</v>
      </c>
      <c r="B6509" t="s">
        <v>10276</v>
      </c>
    </row>
    <row r="6510" spans="1:2">
      <c r="A6510" s="1" t="s">
        <v>6757</v>
      </c>
      <c r="B6510" t="s">
        <v>10245</v>
      </c>
    </row>
    <row r="6511" spans="1:2">
      <c r="A6511" s="1" t="s">
        <v>6758</v>
      </c>
      <c r="B6511" t="s">
        <v>10283</v>
      </c>
    </row>
    <row r="6512" spans="1:2">
      <c r="A6512" s="1" t="s">
        <v>6759</v>
      </c>
      <c r="B6512" t="s">
        <v>10245</v>
      </c>
    </row>
    <row r="6513" spans="1:2">
      <c r="A6513" s="1" t="s">
        <v>6760</v>
      </c>
      <c r="B6513" t="s">
        <v>10292</v>
      </c>
    </row>
    <row r="6514" spans="1:2">
      <c r="A6514" s="1" t="s">
        <v>6761</v>
      </c>
      <c r="B6514" t="s">
        <v>10399</v>
      </c>
    </row>
    <row r="6515" spans="1:2">
      <c r="A6515" s="1" t="s">
        <v>6762</v>
      </c>
      <c r="B6515" t="s">
        <v>10230</v>
      </c>
    </row>
    <row r="6516" spans="1:2">
      <c r="A6516" s="1" t="s">
        <v>6763</v>
      </c>
      <c r="B6516" t="s">
        <v>10418</v>
      </c>
    </row>
    <row r="6517" spans="1:2">
      <c r="A6517" s="1" t="s">
        <v>6764</v>
      </c>
      <c r="B6517" t="s">
        <v>10456</v>
      </c>
    </row>
    <row r="6518" spans="1:2">
      <c r="A6518" s="1" t="s">
        <v>6765</v>
      </c>
      <c r="B6518" t="s">
        <v>901</v>
      </c>
    </row>
    <row r="6519" spans="1:2">
      <c r="A6519" s="1" t="s">
        <v>6766</v>
      </c>
      <c r="B6519" t="s">
        <v>10245</v>
      </c>
    </row>
    <row r="6520" spans="1:2">
      <c r="A6520" s="1" t="s">
        <v>6767</v>
      </c>
      <c r="B6520" t="s">
        <v>10292</v>
      </c>
    </row>
    <row r="6521" spans="1:2">
      <c r="A6521" s="1" t="s">
        <v>6768</v>
      </c>
      <c r="B6521" t="s">
        <v>901</v>
      </c>
    </row>
    <row r="6522" spans="1:2">
      <c r="A6522" s="1" t="s">
        <v>6769</v>
      </c>
      <c r="B6522" t="s">
        <v>10272</v>
      </c>
    </row>
    <row r="6523" spans="1:2">
      <c r="A6523" s="1" t="s">
        <v>6770</v>
      </c>
      <c r="B6523" t="s">
        <v>10393</v>
      </c>
    </row>
    <row r="6524" spans="1:2">
      <c r="A6524" s="1" t="s">
        <v>6771</v>
      </c>
      <c r="B6524" t="s">
        <v>10256</v>
      </c>
    </row>
    <row r="6525" spans="1:2">
      <c r="A6525" s="1" t="s">
        <v>6772</v>
      </c>
      <c r="B6525" t="s">
        <v>10230</v>
      </c>
    </row>
    <row r="6526" spans="1:2">
      <c r="A6526" s="1" t="s">
        <v>6773</v>
      </c>
      <c r="B6526" t="s">
        <v>10449</v>
      </c>
    </row>
    <row r="6527" spans="1:2">
      <c r="A6527" s="1" t="s">
        <v>6774</v>
      </c>
      <c r="B6527" t="s">
        <v>10319</v>
      </c>
    </row>
    <row r="6528" spans="1:2">
      <c r="A6528" s="1" t="s">
        <v>6775</v>
      </c>
      <c r="B6528" t="s">
        <v>10345</v>
      </c>
    </row>
    <row r="6529" spans="1:2">
      <c r="A6529" s="1" t="s">
        <v>6776</v>
      </c>
      <c r="B6529" t="s">
        <v>10230</v>
      </c>
    </row>
    <row r="6530" spans="1:2">
      <c r="A6530" s="1" t="s">
        <v>6777</v>
      </c>
      <c r="B6530" t="s">
        <v>10245</v>
      </c>
    </row>
    <row r="6531" spans="1:2">
      <c r="A6531" s="1" t="s">
        <v>6778</v>
      </c>
      <c r="B6531" t="s">
        <v>10528</v>
      </c>
    </row>
    <row r="6532" spans="1:2">
      <c r="A6532" s="1" t="s">
        <v>6779</v>
      </c>
      <c r="B6532" t="s">
        <v>10228</v>
      </c>
    </row>
    <row r="6533" spans="1:2">
      <c r="A6533" s="1" t="s">
        <v>6780</v>
      </c>
      <c r="B6533" t="s">
        <v>10231</v>
      </c>
    </row>
    <row r="6534" spans="1:2">
      <c r="A6534" s="1" t="s">
        <v>6781</v>
      </c>
      <c r="B6534" t="s">
        <v>10272</v>
      </c>
    </row>
    <row r="6535" spans="1:2">
      <c r="A6535" s="1" t="s">
        <v>6782</v>
      </c>
      <c r="B6535" t="s">
        <v>10500</v>
      </c>
    </row>
    <row r="6536" spans="1:2">
      <c r="A6536" s="1" t="s">
        <v>6783</v>
      </c>
      <c r="B6536" t="s">
        <v>10245</v>
      </c>
    </row>
    <row r="6537" spans="1:2">
      <c r="A6537" s="1" t="s">
        <v>6784</v>
      </c>
      <c r="B6537" t="s">
        <v>10387</v>
      </c>
    </row>
    <row r="6538" spans="1:2">
      <c r="A6538" s="1" t="s">
        <v>6785</v>
      </c>
      <c r="B6538" t="s">
        <v>10230</v>
      </c>
    </row>
    <row r="6539" spans="1:2">
      <c r="A6539" s="1" t="s">
        <v>6786</v>
      </c>
      <c r="B6539" t="s">
        <v>10529</v>
      </c>
    </row>
    <row r="6540" spans="1:2">
      <c r="A6540" s="1" t="s">
        <v>6787</v>
      </c>
      <c r="B6540" t="s">
        <v>10230</v>
      </c>
    </row>
    <row r="6541" spans="1:2">
      <c r="A6541" s="1" t="s">
        <v>6788</v>
      </c>
      <c r="B6541" t="s">
        <v>10266</v>
      </c>
    </row>
    <row r="6542" spans="1:2">
      <c r="A6542" s="1" t="s">
        <v>6789</v>
      </c>
      <c r="B6542" t="s">
        <v>10234</v>
      </c>
    </row>
    <row r="6543" spans="1:2">
      <c r="A6543" s="1" t="s">
        <v>6790</v>
      </c>
      <c r="B6543" t="s">
        <v>10528</v>
      </c>
    </row>
    <row r="6544" spans="1:2">
      <c r="A6544" s="1" t="s">
        <v>6791</v>
      </c>
      <c r="B6544" t="s">
        <v>10276</v>
      </c>
    </row>
    <row r="6545" spans="1:2">
      <c r="A6545" s="1" t="s">
        <v>211</v>
      </c>
      <c r="B6545" t="s">
        <v>10524</v>
      </c>
    </row>
    <row r="6546" spans="1:2">
      <c r="A6546" s="1" t="s">
        <v>6792</v>
      </c>
      <c r="B6546" t="s">
        <v>10450</v>
      </c>
    </row>
    <row r="6547" spans="1:2">
      <c r="A6547" s="1" t="s">
        <v>6793</v>
      </c>
      <c r="B6547" t="s">
        <v>10230</v>
      </c>
    </row>
    <row r="6548" spans="1:2">
      <c r="A6548" s="1" t="s">
        <v>6794</v>
      </c>
      <c r="B6548" t="s">
        <v>10424</v>
      </c>
    </row>
    <row r="6549" spans="1:2">
      <c r="A6549" s="1" t="s">
        <v>6795</v>
      </c>
      <c r="B6549" t="s">
        <v>10424</v>
      </c>
    </row>
    <row r="6550" spans="1:2">
      <c r="A6550" s="1" t="s">
        <v>6796</v>
      </c>
      <c r="B6550" t="s">
        <v>10343</v>
      </c>
    </row>
    <row r="6551" spans="1:2">
      <c r="A6551" s="1" t="s">
        <v>6797</v>
      </c>
      <c r="B6551" t="s">
        <v>10231</v>
      </c>
    </row>
    <row r="6552" spans="1:2">
      <c r="A6552" s="1" t="s">
        <v>6798</v>
      </c>
      <c r="B6552" t="s">
        <v>10383</v>
      </c>
    </row>
    <row r="6553" spans="1:2">
      <c r="A6553" s="1" t="s">
        <v>6799</v>
      </c>
      <c r="B6553" t="s">
        <v>901</v>
      </c>
    </row>
    <row r="6554" spans="1:2">
      <c r="A6554" s="1" t="s">
        <v>6800</v>
      </c>
      <c r="B6554" t="s">
        <v>901</v>
      </c>
    </row>
    <row r="6555" spans="1:2">
      <c r="A6555" s="1" t="s">
        <v>6801</v>
      </c>
      <c r="B6555" t="s">
        <v>901</v>
      </c>
    </row>
    <row r="6556" spans="1:2">
      <c r="A6556" s="1" t="s">
        <v>6802</v>
      </c>
      <c r="B6556" t="s">
        <v>901</v>
      </c>
    </row>
    <row r="6557" spans="1:2">
      <c r="A6557" s="1" t="s">
        <v>6803</v>
      </c>
      <c r="B6557" t="s">
        <v>901</v>
      </c>
    </row>
    <row r="6558" spans="1:2">
      <c r="A6558" s="1" t="s">
        <v>6804</v>
      </c>
      <c r="B6558" t="s">
        <v>901</v>
      </c>
    </row>
    <row r="6559" spans="1:2">
      <c r="A6559" s="1" t="s">
        <v>6805</v>
      </c>
      <c r="B6559" t="s">
        <v>901</v>
      </c>
    </row>
    <row r="6560" spans="1:2">
      <c r="A6560" s="1" t="s">
        <v>6806</v>
      </c>
      <c r="B6560" t="s">
        <v>901</v>
      </c>
    </row>
    <row r="6561" spans="1:2">
      <c r="A6561" s="1" t="s">
        <v>6807</v>
      </c>
      <c r="B6561" t="s">
        <v>901</v>
      </c>
    </row>
    <row r="6562" spans="1:2">
      <c r="A6562" s="1" t="s">
        <v>6808</v>
      </c>
      <c r="B6562" t="s">
        <v>901</v>
      </c>
    </row>
    <row r="6563" spans="1:2">
      <c r="A6563" s="1" t="s">
        <v>6809</v>
      </c>
      <c r="B6563" t="s">
        <v>901</v>
      </c>
    </row>
    <row r="6564" spans="1:2">
      <c r="A6564" s="1" t="s">
        <v>6810</v>
      </c>
      <c r="B6564" t="s">
        <v>901</v>
      </c>
    </row>
    <row r="6565" spans="1:2">
      <c r="A6565" s="1" t="s">
        <v>6811</v>
      </c>
      <c r="B6565" t="s">
        <v>901</v>
      </c>
    </row>
    <row r="6566" spans="1:2">
      <c r="A6566" s="1" t="s">
        <v>6812</v>
      </c>
      <c r="B6566" t="s">
        <v>901</v>
      </c>
    </row>
    <row r="6567" spans="1:2">
      <c r="A6567" s="1" t="s">
        <v>6813</v>
      </c>
      <c r="B6567" t="s">
        <v>901</v>
      </c>
    </row>
    <row r="6568" spans="1:2">
      <c r="A6568" s="1" t="s">
        <v>6814</v>
      </c>
      <c r="B6568" t="s">
        <v>901</v>
      </c>
    </row>
    <row r="6569" spans="1:2">
      <c r="A6569" s="1" t="s">
        <v>6815</v>
      </c>
      <c r="B6569" t="s">
        <v>901</v>
      </c>
    </row>
    <row r="6570" spans="1:2">
      <c r="A6570" s="1" t="s">
        <v>6816</v>
      </c>
      <c r="B6570" t="s">
        <v>901</v>
      </c>
    </row>
    <row r="6571" spans="1:2">
      <c r="A6571" s="1" t="s">
        <v>6817</v>
      </c>
      <c r="B6571" t="s">
        <v>901</v>
      </c>
    </row>
    <row r="6572" spans="1:2">
      <c r="A6572" s="1" t="s">
        <v>6818</v>
      </c>
      <c r="B6572" t="s">
        <v>901</v>
      </c>
    </row>
    <row r="6573" spans="1:2">
      <c r="A6573" s="1" t="s">
        <v>6819</v>
      </c>
      <c r="B6573" t="s">
        <v>901</v>
      </c>
    </row>
    <row r="6574" spans="1:2">
      <c r="A6574" s="1" t="s">
        <v>6820</v>
      </c>
      <c r="B6574" t="s">
        <v>901</v>
      </c>
    </row>
    <row r="6575" spans="1:2">
      <c r="A6575" s="1" t="s">
        <v>6821</v>
      </c>
      <c r="B6575" t="s">
        <v>901</v>
      </c>
    </row>
    <row r="6576" spans="1:2">
      <c r="A6576" s="1" t="s">
        <v>6822</v>
      </c>
      <c r="B6576" t="s">
        <v>901</v>
      </c>
    </row>
    <row r="6577" spans="1:2">
      <c r="A6577" s="1" t="s">
        <v>6823</v>
      </c>
      <c r="B6577" t="s">
        <v>901</v>
      </c>
    </row>
    <row r="6578" spans="1:2">
      <c r="A6578" s="1" t="s">
        <v>6824</v>
      </c>
      <c r="B6578" t="s">
        <v>901</v>
      </c>
    </row>
    <row r="6579" spans="1:2">
      <c r="A6579" s="1" t="s">
        <v>6825</v>
      </c>
      <c r="B6579" t="s">
        <v>901</v>
      </c>
    </row>
    <row r="6580" spans="1:2">
      <c r="A6580" s="1" t="s">
        <v>6826</v>
      </c>
      <c r="B6580" t="s">
        <v>901</v>
      </c>
    </row>
    <row r="6581" spans="1:2">
      <c r="A6581" s="1" t="s">
        <v>6827</v>
      </c>
      <c r="B6581" t="s">
        <v>901</v>
      </c>
    </row>
    <row r="6582" spans="1:2">
      <c r="A6582" s="1" t="s">
        <v>6828</v>
      </c>
      <c r="B6582" t="s">
        <v>901</v>
      </c>
    </row>
    <row r="6583" spans="1:2">
      <c r="A6583" s="1" t="s">
        <v>6829</v>
      </c>
      <c r="B6583" t="s">
        <v>901</v>
      </c>
    </row>
    <row r="6584" spans="1:2">
      <c r="A6584" s="1" t="s">
        <v>6830</v>
      </c>
      <c r="B6584" t="s">
        <v>901</v>
      </c>
    </row>
    <row r="6585" spans="1:2">
      <c r="A6585" s="1" t="s">
        <v>6831</v>
      </c>
      <c r="B6585" t="s">
        <v>901</v>
      </c>
    </row>
    <row r="6586" spans="1:2">
      <c r="A6586" s="1" t="s">
        <v>6832</v>
      </c>
      <c r="B6586" t="s">
        <v>901</v>
      </c>
    </row>
    <row r="6587" spans="1:2">
      <c r="A6587" s="1" t="s">
        <v>6833</v>
      </c>
      <c r="B6587" t="s">
        <v>901</v>
      </c>
    </row>
    <row r="6588" spans="1:2">
      <c r="A6588" s="1" t="s">
        <v>6834</v>
      </c>
      <c r="B6588" t="s">
        <v>901</v>
      </c>
    </row>
    <row r="6589" spans="1:2">
      <c r="A6589" s="1" t="s">
        <v>6835</v>
      </c>
      <c r="B6589" t="s">
        <v>901</v>
      </c>
    </row>
    <row r="6590" spans="1:2">
      <c r="A6590" s="1" t="s">
        <v>6836</v>
      </c>
      <c r="B6590" t="s">
        <v>901</v>
      </c>
    </row>
    <row r="6591" spans="1:2">
      <c r="A6591" s="1" t="s">
        <v>6837</v>
      </c>
      <c r="B6591" t="s">
        <v>901</v>
      </c>
    </row>
    <row r="6592" spans="1:2">
      <c r="A6592" s="1" t="s">
        <v>6838</v>
      </c>
      <c r="B6592" t="s">
        <v>901</v>
      </c>
    </row>
    <row r="6593" spans="1:2">
      <c r="A6593" s="1" t="s">
        <v>6839</v>
      </c>
      <c r="B6593" t="s">
        <v>901</v>
      </c>
    </row>
    <row r="6594" spans="1:2">
      <c r="A6594" s="1" t="s">
        <v>6840</v>
      </c>
      <c r="B6594" t="s">
        <v>901</v>
      </c>
    </row>
    <row r="6595" spans="1:2">
      <c r="A6595" s="1" t="s">
        <v>6841</v>
      </c>
      <c r="B6595" t="s">
        <v>901</v>
      </c>
    </row>
    <row r="6596" spans="1:2">
      <c r="A6596" s="1" t="s">
        <v>6842</v>
      </c>
      <c r="B6596" t="s">
        <v>901</v>
      </c>
    </row>
    <row r="6597" spans="1:2">
      <c r="A6597" s="1" t="s">
        <v>6843</v>
      </c>
      <c r="B6597" t="s">
        <v>901</v>
      </c>
    </row>
    <row r="6598" spans="1:2">
      <c r="A6598" s="1" t="s">
        <v>6844</v>
      </c>
      <c r="B6598" t="s">
        <v>901</v>
      </c>
    </row>
    <row r="6599" spans="1:2">
      <c r="A6599" s="1" t="s">
        <v>6845</v>
      </c>
      <c r="B6599" t="s">
        <v>901</v>
      </c>
    </row>
    <row r="6600" spans="1:2">
      <c r="A6600" s="1" t="s">
        <v>6846</v>
      </c>
      <c r="B6600" t="s">
        <v>901</v>
      </c>
    </row>
    <row r="6601" spans="1:2">
      <c r="A6601" s="1" t="s">
        <v>6847</v>
      </c>
      <c r="B6601" t="s">
        <v>901</v>
      </c>
    </row>
    <row r="6602" spans="1:2">
      <c r="A6602" s="1" t="s">
        <v>6848</v>
      </c>
      <c r="B6602" t="s">
        <v>901</v>
      </c>
    </row>
    <row r="6603" spans="1:2">
      <c r="A6603" s="1" t="s">
        <v>6849</v>
      </c>
      <c r="B6603" t="s">
        <v>901</v>
      </c>
    </row>
    <row r="6604" spans="1:2">
      <c r="A6604" s="1" t="s">
        <v>6850</v>
      </c>
      <c r="B6604" t="s">
        <v>901</v>
      </c>
    </row>
    <row r="6605" spans="1:2">
      <c r="A6605" s="1" t="s">
        <v>6851</v>
      </c>
      <c r="B6605" t="s">
        <v>901</v>
      </c>
    </row>
    <row r="6606" spans="1:2">
      <c r="A6606" s="1" t="s">
        <v>6852</v>
      </c>
      <c r="B6606" t="s">
        <v>901</v>
      </c>
    </row>
    <row r="6607" spans="1:2">
      <c r="A6607" s="1" t="s">
        <v>6853</v>
      </c>
      <c r="B6607" t="s">
        <v>901</v>
      </c>
    </row>
    <row r="6608" spans="1:2">
      <c r="A6608" s="1" t="s">
        <v>6854</v>
      </c>
      <c r="B6608" t="s">
        <v>901</v>
      </c>
    </row>
    <row r="6609" spans="1:2">
      <c r="A6609" s="1" t="s">
        <v>6855</v>
      </c>
      <c r="B6609" t="s">
        <v>901</v>
      </c>
    </row>
    <row r="6610" spans="1:2">
      <c r="A6610" s="1" t="s">
        <v>6856</v>
      </c>
      <c r="B6610" t="s">
        <v>901</v>
      </c>
    </row>
    <row r="6611" spans="1:2">
      <c r="A6611" s="1" t="s">
        <v>6857</v>
      </c>
      <c r="B6611" t="s">
        <v>901</v>
      </c>
    </row>
    <row r="6612" spans="1:2">
      <c r="A6612" s="1" t="s">
        <v>6858</v>
      </c>
      <c r="B6612" t="s">
        <v>901</v>
      </c>
    </row>
    <row r="6613" spans="1:2">
      <c r="A6613" s="1" t="s">
        <v>6859</v>
      </c>
      <c r="B6613" t="s">
        <v>901</v>
      </c>
    </row>
    <row r="6614" spans="1:2">
      <c r="A6614" s="1" t="s">
        <v>6860</v>
      </c>
      <c r="B6614" t="s">
        <v>901</v>
      </c>
    </row>
    <row r="6615" spans="1:2">
      <c r="A6615" s="1" t="s">
        <v>6861</v>
      </c>
      <c r="B6615" t="s">
        <v>901</v>
      </c>
    </row>
    <row r="6616" spans="1:2">
      <c r="A6616" s="1" t="s">
        <v>6862</v>
      </c>
      <c r="B6616" t="s">
        <v>901</v>
      </c>
    </row>
    <row r="6617" spans="1:2">
      <c r="A6617" s="1" t="s">
        <v>6863</v>
      </c>
      <c r="B6617" t="s">
        <v>901</v>
      </c>
    </row>
    <row r="6618" spans="1:2">
      <c r="A6618" s="1" t="s">
        <v>6864</v>
      </c>
      <c r="B6618" t="s">
        <v>901</v>
      </c>
    </row>
    <row r="6619" spans="1:2">
      <c r="A6619" s="1" t="s">
        <v>6865</v>
      </c>
      <c r="B6619" t="s">
        <v>901</v>
      </c>
    </row>
    <row r="6620" spans="1:2">
      <c r="A6620" s="1" t="s">
        <v>6866</v>
      </c>
      <c r="B6620" t="s">
        <v>901</v>
      </c>
    </row>
    <row r="6621" spans="1:2">
      <c r="A6621" s="1" t="s">
        <v>6867</v>
      </c>
      <c r="B6621" t="s">
        <v>901</v>
      </c>
    </row>
    <row r="6622" spans="1:2">
      <c r="A6622" s="1" t="s">
        <v>6868</v>
      </c>
      <c r="B6622" t="s">
        <v>901</v>
      </c>
    </row>
    <row r="6623" spans="1:2">
      <c r="A6623" s="1" t="s">
        <v>6869</v>
      </c>
      <c r="B6623" t="s">
        <v>901</v>
      </c>
    </row>
    <row r="6624" spans="1:2">
      <c r="A6624" s="1" t="s">
        <v>6870</v>
      </c>
      <c r="B6624" t="s">
        <v>901</v>
      </c>
    </row>
    <row r="6625" spans="1:2">
      <c r="A6625" s="1" t="s">
        <v>6871</v>
      </c>
      <c r="B6625" t="s">
        <v>901</v>
      </c>
    </row>
    <row r="6626" spans="1:2">
      <c r="A6626" s="1" t="s">
        <v>6872</v>
      </c>
      <c r="B6626" t="s">
        <v>901</v>
      </c>
    </row>
    <row r="6627" spans="1:2">
      <c r="A6627" s="1" t="s">
        <v>6873</v>
      </c>
      <c r="B6627" t="s">
        <v>901</v>
      </c>
    </row>
    <row r="6628" spans="1:2">
      <c r="A6628" s="1" t="s">
        <v>6874</v>
      </c>
      <c r="B6628" t="s">
        <v>901</v>
      </c>
    </row>
    <row r="6629" spans="1:2">
      <c r="A6629" s="1" t="s">
        <v>6875</v>
      </c>
      <c r="B6629" t="s">
        <v>901</v>
      </c>
    </row>
    <row r="6630" spans="1:2">
      <c r="A6630" s="1" t="s">
        <v>6876</v>
      </c>
      <c r="B6630" t="s">
        <v>901</v>
      </c>
    </row>
    <row r="6631" spans="1:2">
      <c r="A6631" s="1" t="s">
        <v>6877</v>
      </c>
      <c r="B6631" t="s">
        <v>901</v>
      </c>
    </row>
    <row r="6632" spans="1:2">
      <c r="A6632" s="1" t="s">
        <v>6878</v>
      </c>
      <c r="B6632" t="s">
        <v>10308</v>
      </c>
    </row>
    <row r="6633" spans="1:2">
      <c r="A6633" s="1" t="s">
        <v>6879</v>
      </c>
      <c r="B6633" t="s">
        <v>901</v>
      </c>
    </row>
    <row r="6634" spans="1:2">
      <c r="A6634" s="1" t="s">
        <v>6880</v>
      </c>
      <c r="B6634" t="s">
        <v>901</v>
      </c>
    </row>
    <row r="6635" spans="1:2">
      <c r="A6635" s="1" t="s">
        <v>6881</v>
      </c>
      <c r="B6635" t="s">
        <v>901</v>
      </c>
    </row>
    <row r="6636" spans="1:2">
      <c r="A6636" s="1" t="s">
        <v>6882</v>
      </c>
      <c r="B6636" t="s">
        <v>901</v>
      </c>
    </row>
    <row r="6637" spans="1:2">
      <c r="A6637" s="1" t="s">
        <v>6883</v>
      </c>
      <c r="B6637" t="s">
        <v>901</v>
      </c>
    </row>
    <row r="6638" spans="1:2">
      <c r="A6638" s="1" t="s">
        <v>6884</v>
      </c>
      <c r="B6638" t="s">
        <v>901</v>
      </c>
    </row>
    <row r="6639" spans="1:2">
      <c r="A6639" s="1" t="s">
        <v>6885</v>
      </c>
      <c r="B6639" t="s">
        <v>901</v>
      </c>
    </row>
    <row r="6640" spans="1:2">
      <c r="A6640" s="1" t="s">
        <v>6886</v>
      </c>
      <c r="B6640" t="s">
        <v>901</v>
      </c>
    </row>
    <row r="6641" spans="1:2">
      <c r="A6641" s="1" t="s">
        <v>6887</v>
      </c>
      <c r="B6641" t="s">
        <v>901</v>
      </c>
    </row>
    <row r="6642" spans="1:2">
      <c r="A6642" s="1" t="s">
        <v>6888</v>
      </c>
      <c r="B6642" t="s">
        <v>901</v>
      </c>
    </row>
    <row r="6643" spans="1:2">
      <c r="A6643" s="1" t="s">
        <v>6889</v>
      </c>
      <c r="B6643" t="s">
        <v>901</v>
      </c>
    </row>
    <row r="6644" spans="1:2">
      <c r="A6644" s="1" t="s">
        <v>6890</v>
      </c>
      <c r="B6644" t="s">
        <v>901</v>
      </c>
    </row>
    <row r="6645" spans="1:2">
      <c r="A6645" s="1" t="s">
        <v>6891</v>
      </c>
      <c r="B6645" t="s">
        <v>901</v>
      </c>
    </row>
    <row r="6646" spans="1:2">
      <c r="A6646" s="1" t="s">
        <v>6892</v>
      </c>
      <c r="B6646" t="s">
        <v>901</v>
      </c>
    </row>
    <row r="6647" spans="1:2">
      <c r="A6647" s="1" t="s">
        <v>6893</v>
      </c>
      <c r="B6647" t="s">
        <v>901</v>
      </c>
    </row>
    <row r="6648" spans="1:2">
      <c r="A6648" s="1" t="s">
        <v>6894</v>
      </c>
      <c r="B6648" t="s">
        <v>901</v>
      </c>
    </row>
    <row r="6649" spans="1:2">
      <c r="A6649" s="1" t="s">
        <v>6895</v>
      </c>
      <c r="B6649" t="s">
        <v>901</v>
      </c>
    </row>
    <row r="6650" spans="1:2">
      <c r="A6650" s="1" t="s">
        <v>6896</v>
      </c>
      <c r="B6650" t="s">
        <v>901</v>
      </c>
    </row>
    <row r="6651" spans="1:2">
      <c r="A6651" s="1" t="s">
        <v>6897</v>
      </c>
      <c r="B6651" t="s">
        <v>901</v>
      </c>
    </row>
    <row r="6652" spans="1:2">
      <c r="A6652" s="1" t="s">
        <v>6898</v>
      </c>
      <c r="B6652" t="s">
        <v>901</v>
      </c>
    </row>
    <row r="6653" spans="1:2">
      <c r="A6653" s="1" t="s">
        <v>6899</v>
      </c>
      <c r="B6653" t="s">
        <v>901</v>
      </c>
    </row>
    <row r="6654" spans="1:2">
      <c r="A6654" s="1" t="s">
        <v>6900</v>
      </c>
      <c r="B6654" t="s">
        <v>901</v>
      </c>
    </row>
    <row r="6655" spans="1:2">
      <c r="A6655" s="1" t="s">
        <v>6901</v>
      </c>
      <c r="B6655" t="s">
        <v>901</v>
      </c>
    </row>
    <row r="6656" spans="1:2">
      <c r="A6656" s="1" t="s">
        <v>6902</v>
      </c>
      <c r="B6656" t="s">
        <v>901</v>
      </c>
    </row>
    <row r="6657" spans="1:2">
      <c r="A6657" s="1" t="s">
        <v>6903</v>
      </c>
      <c r="B6657" t="s">
        <v>901</v>
      </c>
    </row>
    <row r="6658" spans="1:2">
      <c r="A6658" s="1" t="s">
        <v>6904</v>
      </c>
      <c r="B6658" t="s">
        <v>901</v>
      </c>
    </row>
    <row r="6659" spans="1:2">
      <c r="A6659" s="1" t="s">
        <v>6905</v>
      </c>
      <c r="B6659" t="s">
        <v>10345</v>
      </c>
    </row>
    <row r="6660" spans="1:2">
      <c r="A6660" s="1" t="s">
        <v>6906</v>
      </c>
      <c r="B6660" t="s">
        <v>901</v>
      </c>
    </row>
    <row r="6661" spans="1:2">
      <c r="A6661" s="1" t="s">
        <v>6907</v>
      </c>
      <c r="B6661" t="s">
        <v>901</v>
      </c>
    </row>
    <row r="6662" spans="1:2">
      <c r="A6662" s="1" t="s">
        <v>6908</v>
      </c>
      <c r="B6662" t="s">
        <v>901</v>
      </c>
    </row>
    <row r="6663" spans="1:2">
      <c r="A6663" s="1" t="s">
        <v>6909</v>
      </c>
      <c r="B6663" t="s">
        <v>901</v>
      </c>
    </row>
    <row r="6664" spans="1:2">
      <c r="A6664" s="1" t="s">
        <v>6910</v>
      </c>
      <c r="B6664" t="s">
        <v>10239</v>
      </c>
    </row>
    <row r="6665" spans="1:2">
      <c r="A6665" s="1" t="s">
        <v>6911</v>
      </c>
      <c r="B6665" t="s">
        <v>10239</v>
      </c>
    </row>
    <row r="6666" spans="1:2">
      <c r="A6666" s="1" t="s">
        <v>6912</v>
      </c>
      <c r="B6666" t="s">
        <v>901</v>
      </c>
    </row>
    <row r="6667" spans="1:2">
      <c r="A6667" s="1" t="s">
        <v>6913</v>
      </c>
      <c r="B6667" t="s">
        <v>901</v>
      </c>
    </row>
    <row r="6668" spans="1:2">
      <c r="A6668" s="1" t="s">
        <v>6914</v>
      </c>
      <c r="B6668" t="s">
        <v>901</v>
      </c>
    </row>
    <row r="6669" spans="1:2">
      <c r="A6669" s="1" t="s">
        <v>6915</v>
      </c>
      <c r="B6669" t="s">
        <v>901</v>
      </c>
    </row>
    <row r="6670" spans="1:2">
      <c r="A6670" s="1" t="s">
        <v>6916</v>
      </c>
      <c r="B6670" t="s">
        <v>901</v>
      </c>
    </row>
    <row r="6671" spans="1:2">
      <c r="A6671" s="1" t="s">
        <v>6917</v>
      </c>
      <c r="B6671" t="s">
        <v>901</v>
      </c>
    </row>
    <row r="6672" spans="1:2">
      <c r="A6672" s="1" t="s">
        <v>6918</v>
      </c>
      <c r="B6672" t="s">
        <v>901</v>
      </c>
    </row>
    <row r="6673" spans="1:2">
      <c r="A6673" s="1" t="s">
        <v>6919</v>
      </c>
      <c r="B6673" t="s">
        <v>901</v>
      </c>
    </row>
    <row r="6674" spans="1:2">
      <c r="A6674" s="1" t="s">
        <v>6920</v>
      </c>
      <c r="B6674" t="s">
        <v>901</v>
      </c>
    </row>
    <row r="6675" spans="1:2">
      <c r="A6675" s="1" t="s">
        <v>6921</v>
      </c>
      <c r="B6675" t="s">
        <v>901</v>
      </c>
    </row>
    <row r="6676" spans="1:2">
      <c r="A6676" s="1" t="s">
        <v>6922</v>
      </c>
      <c r="B6676" t="s">
        <v>901</v>
      </c>
    </row>
    <row r="6677" spans="1:2">
      <c r="A6677" s="1" t="s">
        <v>6923</v>
      </c>
      <c r="B6677" t="s">
        <v>901</v>
      </c>
    </row>
    <row r="6678" spans="1:2">
      <c r="A6678" s="1" t="s">
        <v>6924</v>
      </c>
      <c r="B6678" t="s">
        <v>901</v>
      </c>
    </row>
    <row r="6679" spans="1:2">
      <c r="A6679" s="1" t="s">
        <v>6925</v>
      </c>
      <c r="B6679" t="s">
        <v>901</v>
      </c>
    </row>
    <row r="6680" spans="1:2">
      <c r="A6680" s="1" t="s">
        <v>6926</v>
      </c>
      <c r="B6680" t="s">
        <v>901</v>
      </c>
    </row>
    <row r="6681" spans="1:2">
      <c r="A6681" s="1" t="s">
        <v>6927</v>
      </c>
      <c r="B6681" t="s">
        <v>901</v>
      </c>
    </row>
    <row r="6682" spans="1:2">
      <c r="A6682" s="1" t="s">
        <v>6928</v>
      </c>
      <c r="B6682" t="s">
        <v>901</v>
      </c>
    </row>
    <row r="6683" spans="1:2">
      <c r="A6683" s="1" t="s">
        <v>6929</v>
      </c>
      <c r="B6683" t="s">
        <v>901</v>
      </c>
    </row>
    <row r="6684" spans="1:2">
      <c r="A6684" s="1" t="s">
        <v>6930</v>
      </c>
      <c r="B6684" t="s">
        <v>901</v>
      </c>
    </row>
    <row r="6685" spans="1:2">
      <c r="A6685" s="1" t="s">
        <v>6931</v>
      </c>
      <c r="B6685" t="s">
        <v>901</v>
      </c>
    </row>
    <row r="6686" spans="1:2">
      <c r="A6686" s="1" t="s">
        <v>6932</v>
      </c>
      <c r="B6686" t="s">
        <v>901</v>
      </c>
    </row>
    <row r="6687" spans="1:2">
      <c r="A6687" s="1" t="s">
        <v>6933</v>
      </c>
      <c r="B6687" t="s">
        <v>901</v>
      </c>
    </row>
    <row r="6688" spans="1:2">
      <c r="A6688" s="1" t="s">
        <v>6934</v>
      </c>
      <c r="B6688" t="s">
        <v>901</v>
      </c>
    </row>
    <row r="6689" spans="1:2">
      <c r="A6689" s="1" t="s">
        <v>6935</v>
      </c>
      <c r="B6689" t="s">
        <v>901</v>
      </c>
    </row>
    <row r="6690" spans="1:2">
      <c r="A6690" s="1" t="s">
        <v>6936</v>
      </c>
      <c r="B6690" t="s">
        <v>901</v>
      </c>
    </row>
    <row r="6691" spans="1:2">
      <c r="A6691" s="1" t="s">
        <v>6937</v>
      </c>
      <c r="B6691" t="s">
        <v>901</v>
      </c>
    </row>
    <row r="6692" spans="1:2">
      <c r="A6692" s="1" t="s">
        <v>6938</v>
      </c>
      <c r="B6692" t="s">
        <v>901</v>
      </c>
    </row>
    <row r="6693" spans="1:2">
      <c r="A6693" s="1" t="s">
        <v>6939</v>
      </c>
      <c r="B6693" t="s">
        <v>901</v>
      </c>
    </row>
    <row r="6694" spans="1:2">
      <c r="A6694" s="1" t="s">
        <v>6940</v>
      </c>
      <c r="B6694" t="s">
        <v>901</v>
      </c>
    </row>
    <row r="6695" spans="1:2">
      <c r="A6695" s="1" t="s">
        <v>6941</v>
      </c>
      <c r="B6695" t="s">
        <v>901</v>
      </c>
    </row>
    <row r="6696" spans="1:2">
      <c r="A6696" s="1" t="s">
        <v>6942</v>
      </c>
      <c r="B6696" t="s">
        <v>901</v>
      </c>
    </row>
    <row r="6697" spans="1:2">
      <c r="A6697" s="1" t="s">
        <v>6943</v>
      </c>
      <c r="B6697" t="s">
        <v>901</v>
      </c>
    </row>
    <row r="6698" spans="1:2">
      <c r="A6698" s="1" t="s">
        <v>6944</v>
      </c>
      <c r="B6698" t="s">
        <v>901</v>
      </c>
    </row>
    <row r="6699" spans="1:2">
      <c r="A6699" s="1" t="s">
        <v>6945</v>
      </c>
      <c r="B6699" t="s">
        <v>901</v>
      </c>
    </row>
    <row r="6700" spans="1:2">
      <c r="A6700" s="1" t="s">
        <v>6946</v>
      </c>
      <c r="B6700" t="s">
        <v>901</v>
      </c>
    </row>
    <row r="6701" spans="1:2">
      <c r="A6701" s="1" t="s">
        <v>6947</v>
      </c>
      <c r="B6701" t="s">
        <v>901</v>
      </c>
    </row>
    <row r="6702" spans="1:2">
      <c r="A6702" s="1" t="s">
        <v>6948</v>
      </c>
      <c r="B6702" t="s">
        <v>901</v>
      </c>
    </row>
    <row r="6703" spans="1:2">
      <c r="A6703" s="1" t="s">
        <v>6949</v>
      </c>
      <c r="B6703" t="s">
        <v>901</v>
      </c>
    </row>
    <row r="6704" spans="1:2">
      <c r="A6704" s="1" t="s">
        <v>6950</v>
      </c>
      <c r="B6704" t="s">
        <v>901</v>
      </c>
    </row>
    <row r="6705" spans="1:2">
      <c r="A6705" s="1" t="s">
        <v>6951</v>
      </c>
      <c r="B6705" t="s">
        <v>901</v>
      </c>
    </row>
    <row r="6706" spans="1:2">
      <c r="A6706" s="1" t="s">
        <v>6952</v>
      </c>
      <c r="B6706" t="s">
        <v>901</v>
      </c>
    </row>
    <row r="6707" spans="1:2">
      <c r="A6707" s="1" t="s">
        <v>6953</v>
      </c>
      <c r="B6707" t="s">
        <v>901</v>
      </c>
    </row>
    <row r="6708" spans="1:2">
      <c r="A6708" s="1" t="s">
        <v>6954</v>
      </c>
      <c r="B6708" t="s">
        <v>901</v>
      </c>
    </row>
    <row r="6709" spans="1:2">
      <c r="A6709" s="1" t="s">
        <v>6955</v>
      </c>
      <c r="B6709" t="s">
        <v>901</v>
      </c>
    </row>
    <row r="6710" spans="1:2">
      <c r="A6710" s="1" t="s">
        <v>6956</v>
      </c>
      <c r="B6710" t="s">
        <v>901</v>
      </c>
    </row>
    <row r="6711" spans="1:2">
      <c r="A6711" s="1" t="s">
        <v>6957</v>
      </c>
      <c r="B6711" t="s">
        <v>901</v>
      </c>
    </row>
    <row r="6712" spans="1:2">
      <c r="A6712" s="1" t="s">
        <v>6958</v>
      </c>
      <c r="B6712" t="s">
        <v>901</v>
      </c>
    </row>
    <row r="6713" spans="1:2">
      <c r="A6713" s="1" t="s">
        <v>6959</v>
      </c>
      <c r="B6713" t="s">
        <v>901</v>
      </c>
    </row>
    <row r="6714" spans="1:2">
      <c r="A6714" s="1" t="s">
        <v>6960</v>
      </c>
      <c r="B6714" t="s">
        <v>901</v>
      </c>
    </row>
    <row r="6715" spans="1:2">
      <c r="A6715" s="1" t="s">
        <v>6961</v>
      </c>
      <c r="B6715" t="s">
        <v>901</v>
      </c>
    </row>
    <row r="6716" spans="1:2">
      <c r="A6716" s="1" t="s">
        <v>6962</v>
      </c>
      <c r="B6716" t="s">
        <v>901</v>
      </c>
    </row>
    <row r="6717" spans="1:2">
      <c r="A6717" s="1" t="s">
        <v>6963</v>
      </c>
      <c r="B6717" t="s">
        <v>901</v>
      </c>
    </row>
    <row r="6718" spans="1:2">
      <c r="A6718" s="1" t="s">
        <v>6964</v>
      </c>
      <c r="B6718" t="s">
        <v>901</v>
      </c>
    </row>
    <row r="6719" spans="1:2">
      <c r="A6719" s="1" t="s">
        <v>6965</v>
      </c>
      <c r="B6719" t="s">
        <v>901</v>
      </c>
    </row>
    <row r="6720" spans="1:2">
      <c r="A6720" s="1" t="s">
        <v>6966</v>
      </c>
      <c r="B6720" t="s">
        <v>901</v>
      </c>
    </row>
    <row r="6721" spans="1:2">
      <c r="A6721" s="1" t="s">
        <v>6967</v>
      </c>
      <c r="B6721" t="s">
        <v>901</v>
      </c>
    </row>
    <row r="6722" spans="1:2">
      <c r="A6722" s="1" t="s">
        <v>6968</v>
      </c>
      <c r="B6722" t="s">
        <v>901</v>
      </c>
    </row>
    <row r="6723" spans="1:2">
      <c r="A6723" s="1" t="s">
        <v>6969</v>
      </c>
      <c r="B6723" t="s">
        <v>901</v>
      </c>
    </row>
    <row r="6724" spans="1:2">
      <c r="A6724" s="1" t="s">
        <v>6970</v>
      </c>
      <c r="B6724" t="s">
        <v>901</v>
      </c>
    </row>
    <row r="6725" spans="1:2">
      <c r="A6725" s="1" t="s">
        <v>6971</v>
      </c>
      <c r="B6725" t="s">
        <v>901</v>
      </c>
    </row>
    <row r="6726" spans="1:2">
      <c r="A6726" s="1" t="s">
        <v>6972</v>
      </c>
      <c r="B6726" t="s">
        <v>901</v>
      </c>
    </row>
    <row r="6727" spans="1:2">
      <c r="A6727" s="1" t="s">
        <v>6973</v>
      </c>
      <c r="B6727" t="s">
        <v>901</v>
      </c>
    </row>
    <row r="6728" spans="1:2">
      <c r="A6728" s="1" t="s">
        <v>6974</v>
      </c>
      <c r="B6728" t="s">
        <v>901</v>
      </c>
    </row>
    <row r="6729" spans="1:2">
      <c r="A6729" s="1" t="s">
        <v>6975</v>
      </c>
      <c r="B6729" t="s">
        <v>901</v>
      </c>
    </row>
    <row r="6730" spans="1:2">
      <c r="A6730" s="1" t="s">
        <v>6976</v>
      </c>
      <c r="B6730" t="s">
        <v>901</v>
      </c>
    </row>
    <row r="6731" spans="1:2">
      <c r="A6731" s="1" t="s">
        <v>6977</v>
      </c>
      <c r="B6731" t="s">
        <v>901</v>
      </c>
    </row>
    <row r="6732" spans="1:2">
      <c r="A6732" s="1" t="s">
        <v>6978</v>
      </c>
      <c r="B6732" t="s">
        <v>901</v>
      </c>
    </row>
    <row r="6733" spans="1:2">
      <c r="A6733" s="1" t="s">
        <v>6979</v>
      </c>
      <c r="B6733" t="s">
        <v>901</v>
      </c>
    </row>
    <row r="6734" spans="1:2">
      <c r="A6734" s="1" t="s">
        <v>6980</v>
      </c>
      <c r="B6734" t="s">
        <v>901</v>
      </c>
    </row>
    <row r="6735" spans="1:2">
      <c r="A6735" s="1" t="s">
        <v>6981</v>
      </c>
      <c r="B6735" t="s">
        <v>901</v>
      </c>
    </row>
    <row r="6736" spans="1:2">
      <c r="A6736" s="1" t="s">
        <v>6982</v>
      </c>
      <c r="B6736" t="s">
        <v>901</v>
      </c>
    </row>
    <row r="6737" spans="1:2">
      <c r="A6737" s="1" t="s">
        <v>6983</v>
      </c>
      <c r="B6737" t="s">
        <v>901</v>
      </c>
    </row>
    <row r="6738" spans="1:2">
      <c r="A6738" s="1" t="s">
        <v>6984</v>
      </c>
      <c r="B6738" t="s">
        <v>901</v>
      </c>
    </row>
    <row r="6739" spans="1:2">
      <c r="A6739" s="1" t="s">
        <v>6985</v>
      </c>
      <c r="B6739" t="s">
        <v>901</v>
      </c>
    </row>
    <row r="6740" spans="1:2">
      <c r="A6740" s="1" t="s">
        <v>6986</v>
      </c>
      <c r="B6740" t="s">
        <v>901</v>
      </c>
    </row>
    <row r="6741" spans="1:2">
      <c r="A6741" s="1" t="s">
        <v>6987</v>
      </c>
      <c r="B6741" t="s">
        <v>901</v>
      </c>
    </row>
    <row r="6742" spans="1:2">
      <c r="A6742" s="1" t="s">
        <v>6988</v>
      </c>
      <c r="B6742" t="s">
        <v>901</v>
      </c>
    </row>
    <row r="6743" spans="1:2">
      <c r="A6743" s="1" t="s">
        <v>6989</v>
      </c>
      <c r="B6743" t="s">
        <v>901</v>
      </c>
    </row>
    <row r="6744" spans="1:2">
      <c r="A6744" s="1" t="s">
        <v>6990</v>
      </c>
      <c r="B6744" t="s">
        <v>901</v>
      </c>
    </row>
    <row r="6745" spans="1:2">
      <c r="A6745" s="1" t="s">
        <v>6991</v>
      </c>
      <c r="B6745" t="s">
        <v>901</v>
      </c>
    </row>
    <row r="6746" spans="1:2">
      <c r="A6746" s="1" t="s">
        <v>6992</v>
      </c>
      <c r="B6746" t="s">
        <v>901</v>
      </c>
    </row>
    <row r="6747" spans="1:2">
      <c r="A6747" s="1" t="s">
        <v>6993</v>
      </c>
      <c r="B6747" t="s">
        <v>901</v>
      </c>
    </row>
    <row r="6748" spans="1:2">
      <c r="A6748" s="1" t="s">
        <v>6994</v>
      </c>
      <c r="B6748" t="s">
        <v>901</v>
      </c>
    </row>
    <row r="6749" spans="1:2">
      <c r="A6749" s="1" t="s">
        <v>6995</v>
      </c>
      <c r="B6749" t="s">
        <v>10418</v>
      </c>
    </row>
    <row r="6750" spans="1:2">
      <c r="A6750" s="1" t="s">
        <v>6996</v>
      </c>
      <c r="B6750" t="s">
        <v>901</v>
      </c>
    </row>
    <row r="6751" spans="1:2">
      <c r="A6751" s="1" t="s">
        <v>6997</v>
      </c>
      <c r="B6751" t="s">
        <v>901</v>
      </c>
    </row>
    <row r="6752" spans="1:2">
      <c r="A6752" s="1" t="s">
        <v>6998</v>
      </c>
      <c r="B6752" t="s">
        <v>901</v>
      </c>
    </row>
    <row r="6753" spans="1:2">
      <c r="A6753" s="1" t="s">
        <v>6999</v>
      </c>
      <c r="B6753" t="s">
        <v>901</v>
      </c>
    </row>
    <row r="6754" spans="1:2">
      <c r="A6754" s="1" t="s">
        <v>7000</v>
      </c>
      <c r="B6754" t="s">
        <v>901</v>
      </c>
    </row>
    <row r="6755" spans="1:2">
      <c r="A6755" s="1" t="s">
        <v>7001</v>
      </c>
      <c r="B6755" t="s">
        <v>901</v>
      </c>
    </row>
    <row r="6756" spans="1:2">
      <c r="A6756" s="1" t="s">
        <v>7002</v>
      </c>
      <c r="B6756" t="s">
        <v>901</v>
      </c>
    </row>
    <row r="6757" spans="1:2">
      <c r="A6757" s="1" t="s">
        <v>7003</v>
      </c>
      <c r="B6757" t="s">
        <v>901</v>
      </c>
    </row>
    <row r="6758" spans="1:2">
      <c r="A6758" s="1" t="s">
        <v>7004</v>
      </c>
      <c r="B6758" t="s">
        <v>901</v>
      </c>
    </row>
    <row r="6759" spans="1:2">
      <c r="A6759" s="1" t="s">
        <v>7005</v>
      </c>
      <c r="B6759" t="s">
        <v>901</v>
      </c>
    </row>
    <row r="6760" spans="1:2">
      <c r="A6760" s="1" t="s">
        <v>7006</v>
      </c>
      <c r="B6760" t="s">
        <v>901</v>
      </c>
    </row>
    <row r="6761" spans="1:2">
      <c r="A6761" s="1" t="s">
        <v>7007</v>
      </c>
      <c r="B6761" t="s">
        <v>901</v>
      </c>
    </row>
    <row r="6762" spans="1:2">
      <c r="A6762" s="1" t="s">
        <v>7008</v>
      </c>
      <c r="B6762" t="s">
        <v>901</v>
      </c>
    </row>
    <row r="6763" spans="1:2">
      <c r="A6763" s="1" t="s">
        <v>7009</v>
      </c>
      <c r="B6763" t="s">
        <v>901</v>
      </c>
    </row>
    <row r="6764" spans="1:2">
      <c r="A6764" s="1" t="s">
        <v>7010</v>
      </c>
      <c r="B6764" t="s">
        <v>901</v>
      </c>
    </row>
    <row r="6765" spans="1:2">
      <c r="A6765" s="1" t="s">
        <v>7011</v>
      </c>
      <c r="B6765" t="s">
        <v>901</v>
      </c>
    </row>
    <row r="6766" spans="1:2">
      <c r="A6766" s="1" t="s">
        <v>7012</v>
      </c>
      <c r="B6766" t="s">
        <v>901</v>
      </c>
    </row>
    <row r="6767" spans="1:2">
      <c r="A6767" s="1" t="s">
        <v>7013</v>
      </c>
      <c r="B6767" t="s">
        <v>901</v>
      </c>
    </row>
    <row r="6768" spans="1:2">
      <c r="A6768" s="1" t="s">
        <v>7014</v>
      </c>
      <c r="B6768" t="s">
        <v>901</v>
      </c>
    </row>
    <row r="6769" spans="1:2">
      <c r="A6769" s="1" t="s">
        <v>7015</v>
      </c>
      <c r="B6769" t="s">
        <v>901</v>
      </c>
    </row>
    <row r="6770" spans="1:2">
      <c r="A6770" s="1" t="s">
        <v>7016</v>
      </c>
      <c r="B6770" t="s">
        <v>10258</v>
      </c>
    </row>
    <row r="6771" spans="1:2">
      <c r="A6771" s="1" t="s">
        <v>7017</v>
      </c>
      <c r="B6771" t="s">
        <v>901</v>
      </c>
    </row>
    <row r="6772" spans="1:2">
      <c r="A6772" s="1" t="s">
        <v>7018</v>
      </c>
      <c r="B6772" t="s">
        <v>901</v>
      </c>
    </row>
    <row r="6773" spans="1:2">
      <c r="A6773" s="1" t="s">
        <v>7019</v>
      </c>
      <c r="B6773" t="s">
        <v>901</v>
      </c>
    </row>
    <row r="6774" spans="1:2">
      <c r="A6774" s="1" t="s">
        <v>7020</v>
      </c>
      <c r="B6774" t="s">
        <v>901</v>
      </c>
    </row>
    <row r="6775" spans="1:2">
      <c r="A6775" s="1" t="s">
        <v>7021</v>
      </c>
      <c r="B6775" t="s">
        <v>901</v>
      </c>
    </row>
    <row r="6776" spans="1:2">
      <c r="A6776" s="1" t="s">
        <v>7022</v>
      </c>
      <c r="B6776" t="s">
        <v>901</v>
      </c>
    </row>
    <row r="6777" spans="1:2">
      <c r="A6777" s="1" t="s">
        <v>7023</v>
      </c>
      <c r="B6777" t="s">
        <v>901</v>
      </c>
    </row>
    <row r="6778" spans="1:2">
      <c r="A6778" s="1" t="s">
        <v>7024</v>
      </c>
      <c r="B6778" t="s">
        <v>901</v>
      </c>
    </row>
    <row r="6779" spans="1:2">
      <c r="A6779" s="1" t="s">
        <v>7025</v>
      </c>
      <c r="B6779" t="s">
        <v>901</v>
      </c>
    </row>
    <row r="6780" spans="1:2">
      <c r="A6780" s="1" t="s">
        <v>7026</v>
      </c>
      <c r="B6780" t="s">
        <v>901</v>
      </c>
    </row>
    <row r="6781" spans="1:2">
      <c r="A6781" s="1" t="s">
        <v>7027</v>
      </c>
      <c r="B6781" t="s">
        <v>901</v>
      </c>
    </row>
    <row r="6782" spans="1:2">
      <c r="A6782" s="1" t="s">
        <v>7028</v>
      </c>
      <c r="B6782" t="s">
        <v>901</v>
      </c>
    </row>
    <row r="6783" spans="1:2">
      <c r="A6783" s="1" t="s">
        <v>7029</v>
      </c>
      <c r="B6783" t="s">
        <v>901</v>
      </c>
    </row>
    <row r="6784" spans="1:2">
      <c r="A6784" s="1" t="s">
        <v>7030</v>
      </c>
      <c r="B6784" t="s">
        <v>901</v>
      </c>
    </row>
    <row r="6785" spans="1:2">
      <c r="A6785" s="1" t="s">
        <v>7031</v>
      </c>
      <c r="B6785" t="s">
        <v>901</v>
      </c>
    </row>
    <row r="6786" spans="1:2">
      <c r="A6786" s="1" t="s">
        <v>7032</v>
      </c>
      <c r="B6786" t="s">
        <v>901</v>
      </c>
    </row>
    <row r="6787" spans="1:2">
      <c r="A6787" s="1" t="s">
        <v>7033</v>
      </c>
      <c r="B6787" t="s">
        <v>901</v>
      </c>
    </row>
    <row r="6788" spans="1:2">
      <c r="A6788" s="1" t="s">
        <v>7034</v>
      </c>
      <c r="B6788" t="s">
        <v>901</v>
      </c>
    </row>
    <row r="6789" spans="1:2">
      <c r="A6789" s="1" t="s">
        <v>7035</v>
      </c>
      <c r="B6789" t="s">
        <v>901</v>
      </c>
    </row>
    <row r="6790" spans="1:2">
      <c r="A6790" s="1" t="s">
        <v>7036</v>
      </c>
      <c r="B6790" t="s">
        <v>901</v>
      </c>
    </row>
    <row r="6791" spans="1:2">
      <c r="A6791" s="1" t="s">
        <v>7037</v>
      </c>
      <c r="B6791" t="s">
        <v>901</v>
      </c>
    </row>
    <row r="6792" spans="1:2">
      <c r="A6792" s="1" t="s">
        <v>7038</v>
      </c>
      <c r="B6792" t="s">
        <v>901</v>
      </c>
    </row>
    <row r="6793" spans="1:2">
      <c r="A6793" s="1" t="s">
        <v>7039</v>
      </c>
      <c r="B6793" t="s">
        <v>901</v>
      </c>
    </row>
    <row r="6794" spans="1:2">
      <c r="A6794" s="1" t="s">
        <v>7040</v>
      </c>
      <c r="B6794" t="s">
        <v>901</v>
      </c>
    </row>
    <row r="6795" spans="1:2">
      <c r="A6795" s="1" t="s">
        <v>7041</v>
      </c>
      <c r="B6795" t="s">
        <v>901</v>
      </c>
    </row>
    <row r="6796" spans="1:2">
      <c r="A6796" s="1" t="s">
        <v>7042</v>
      </c>
      <c r="B6796" t="s">
        <v>901</v>
      </c>
    </row>
    <row r="6797" spans="1:2">
      <c r="A6797" s="1" t="s">
        <v>7043</v>
      </c>
      <c r="B6797" t="s">
        <v>901</v>
      </c>
    </row>
    <row r="6798" spans="1:2">
      <c r="A6798" s="1" t="s">
        <v>7044</v>
      </c>
      <c r="B6798" t="s">
        <v>901</v>
      </c>
    </row>
    <row r="6799" spans="1:2">
      <c r="A6799" s="1" t="s">
        <v>7045</v>
      </c>
      <c r="B6799" t="s">
        <v>901</v>
      </c>
    </row>
    <row r="6800" spans="1:2">
      <c r="A6800" s="1" t="s">
        <v>7046</v>
      </c>
      <c r="B6800" t="s">
        <v>901</v>
      </c>
    </row>
    <row r="6801" spans="1:2">
      <c r="A6801" s="1" t="s">
        <v>7047</v>
      </c>
      <c r="B6801" t="s">
        <v>901</v>
      </c>
    </row>
    <row r="6802" spans="1:2">
      <c r="A6802" s="1" t="s">
        <v>7048</v>
      </c>
      <c r="B6802" t="s">
        <v>901</v>
      </c>
    </row>
    <row r="6803" spans="1:2">
      <c r="A6803" s="1" t="s">
        <v>7049</v>
      </c>
      <c r="B6803" t="s">
        <v>901</v>
      </c>
    </row>
    <row r="6804" spans="1:2">
      <c r="A6804" s="1" t="s">
        <v>7050</v>
      </c>
      <c r="B6804" t="s">
        <v>901</v>
      </c>
    </row>
    <row r="6805" spans="1:2">
      <c r="A6805" s="1" t="s">
        <v>7051</v>
      </c>
      <c r="B6805" t="s">
        <v>901</v>
      </c>
    </row>
    <row r="6806" spans="1:2">
      <c r="A6806" s="1" t="s">
        <v>7052</v>
      </c>
      <c r="B6806" t="s">
        <v>901</v>
      </c>
    </row>
    <row r="6807" spans="1:2">
      <c r="A6807" s="1" t="s">
        <v>7053</v>
      </c>
      <c r="B6807" t="s">
        <v>901</v>
      </c>
    </row>
    <row r="6808" spans="1:2">
      <c r="A6808" s="1" t="s">
        <v>7054</v>
      </c>
      <c r="B6808" t="s">
        <v>901</v>
      </c>
    </row>
    <row r="6809" spans="1:2">
      <c r="A6809" s="1" t="s">
        <v>7055</v>
      </c>
      <c r="B6809" t="s">
        <v>901</v>
      </c>
    </row>
    <row r="6810" spans="1:2">
      <c r="A6810" s="1" t="s">
        <v>7056</v>
      </c>
      <c r="B6810" t="s">
        <v>901</v>
      </c>
    </row>
    <row r="6811" spans="1:2">
      <c r="A6811" s="1" t="s">
        <v>7057</v>
      </c>
      <c r="B6811" t="s">
        <v>901</v>
      </c>
    </row>
    <row r="6812" spans="1:2">
      <c r="A6812" s="1" t="s">
        <v>7058</v>
      </c>
      <c r="B6812" t="s">
        <v>901</v>
      </c>
    </row>
    <row r="6813" spans="1:2">
      <c r="A6813" s="1" t="s">
        <v>7059</v>
      </c>
      <c r="B6813" t="s">
        <v>901</v>
      </c>
    </row>
    <row r="6814" spans="1:2">
      <c r="A6814" s="1" t="s">
        <v>7060</v>
      </c>
      <c r="B6814" t="s">
        <v>901</v>
      </c>
    </row>
    <row r="6815" spans="1:2">
      <c r="A6815" s="1" t="s">
        <v>7061</v>
      </c>
      <c r="B6815" t="s">
        <v>901</v>
      </c>
    </row>
    <row r="6816" spans="1:2">
      <c r="A6816" s="1" t="s">
        <v>7062</v>
      </c>
      <c r="B6816" t="s">
        <v>901</v>
      </c>
    </row>
    <row r="6817" spans="1:2">
      <c r="A6817" s="1" t="s">
        <v>7063</v>
      </c>
      <c r="B6817" t="s">
        <v>901</v>
      </c>
    </row>
    <row r="6818" spans="1:2">
      <c r="A6818" s="1" t="s">
        <v>7064</v>
      </c>
      <c r="B6818" t="s">
        <v>901</v>
      </c>
    </row>
    <row r="6819" spans="1:2">
      <c r="A6819" s="1" t="s">
        <v>7065</v>
      </c>
      <c r="B6819" t="s">
        <v>901</v>
      </c>
    </row>
    <row r="6820" spans="1:2">
      <c r="A6820" s="1" t="s">
        <v>7066</v>
      </c>
      <c r="B6820" t="s">
        <v>901</v>
      </c>
    </row>
    <row r="6821" spans="1:2">
      <c r="A6821" s="1" t="s">
        <v>7067</v>
      </c>
      <c r="B6821" t="s">
        <v>901</v>
      </c>
    </row>
    <row r="6822" spans="1:2">
      <c r="A6822" s="1" t="s">
        <v>7068</v>
      </c>
      <c r="B6822" t="s">
        <v>901</v>
      </c>
    </row>
    <row r="6823" spans="1:2">
      <c r="A6823" s="1" t="s">
        <v>7069</v>
      </c>
      <c r="B6823" t="s">
        <v>901</v>
      </c>
    </row>
    <row r="6824" spans="1:2">
      <c r="A6824" s="1" t="s">
        <v>7070</v>
      </c>
      <c r="B6824" t="s">
        <v>901</v>
      </c>
    </row>
    <row r="6825" spans="1:2">
      <c r="A6825" s="1" t="s">
        <v>7071</v>
      </c>
      <c r="B6825" t="s">
        <v>901</v>
      </c>
    </row>
    <row r="6826" spans="1:2">
      <c r="A6826" s="1" t="s">
        <v>7072</v>
      </c>
      <c r="B6826" t="s">
        <v>901</v>
      </c>
    </row>
    <row r="6827" spans="1:2">
      <c r="A6827" s="1" t="s">
        <v>7073</v>
      </c>
      <c r="B6827" t="s">
        <v>901</v>
      </c>
    </row>
    <row r="6828" spans="1:2">
      <c r="A6828" s="1" t="s">
        <v>7074</v>
      </c>
      <c r="B6828" t="s">
        <v>901</v>
      </c>
    </row>
    <row r="6829" spans="1:2">
      <c r="A6829" s="1" t="s">
        <v>7075</v>
      </c>
      <c r="B6829" t="s">
        <v>901</v>
      </c>
    </row>
    <row r="6830" spans="1:2">
      <c r="A6830" s="1" t="s">
        <v>7076</v>
      </c>
      <c r="B6830" t="s">
        <v>901</v>
      </c>
    </row>
    <row r="6831" spans="1:2">
      <c r="A6831" s="1" t="s">
        <v>7077</v>
      </c>
      <c r="B6831" t="s">
        <v>901</v>
      </c>
    </row>
    <row r="6832" spans="1:2">
      <c r="A6832" s="1" t="s">
        <v>7078</v>
      </c>
      <c r="B6832" t="s">
        <v>10329</v>
      </c>
    </row>
    <row r="6833" spans="1:2">
      <c r="A6833" s="1" t="s">
        <v>7079</v>
      </c>
      <c r="B6833" t="s">
        <v>901</v>
      </c>
    </row>
    <row r="6834" spans="1:2">
      <c r="A6834" s="1" t="s">
        <v>7080</v>
      </c>
      <c r="B6834" t="s">
        <v>901</v>
      </c>
    </row>
    <row r="6835" spans="1:2">
      <c r="A6835" s="1" t="s">
        <v>7081</v>
      </c>
      <c r="B6835" t="s">
        <v>901</v>
      </c>
    </row>
    <row r="6836" spans="1:2">
      <c r="A6836" s="1" t="s">
        <v>7082</v>
      </c>
      <c r="B6836" t="s">
        <v>901</v>
      </c>
    </row>
    <row r="6837" spans="1:2">
      <c r="A6837" s="1" t="s">
        <v>7083</v>
      </c>
      <c r="B6837" t="s">
        <v>901</v>
      </c>
    </row>
    <row r="6838" spans="1:2">
      <c r="A6838" s="1" t="s">
        <v>7084</v>
      </c>
      <c r="B6838" t="s">
        <v>901</v>
      </c>
    </row>
    <row r="6839" spans="1:2">
      <c r="A6839" s="1" t="s">
        <v>7085</v>
      </c>
      <c r="B6839" t="s">
        <v>901</v>
      </c>
    </row>
    <row r="6840" spans="1:2">
      <c r="A6840" s="1" t="s">
        <v>7086</v>
      </c>
      <c r="B6840" t="s">
        <v>901</v>
      </c>
    </row>
    <row r="6841" spans="1:2">
      <c r="A6841" s="1" t="s">
        <v>7087</v>
      </c>
      <c r="B6841" t="s">
        <v>901</v>
      </c>
    </row>
    <row r="6842" spans="1:2">
      <c r="A6842" s="1" t="s">
        <v>7088</v>
      </c>
      <c r="B6842" t="s">
        <v>901</v>
      </c>
    </row>
    <row r="6843" spans="1:2">
      <c r="A6843" s="1" t="s">
        <v>7089</v>
      </c>
      <c r="B6843" t="s">
        <v>901</v>
      </c>
    </row>
    <row r="6844" spans="1:2">
      <c r="A6844" s="1" t="s">
        <v>7090</v>
      </c>
      <c r="B6844" t="s">
        <v>901</v>
      </c>
    </row>
    <row r="6845" spans="1:2">
      <c r="A6845" s="1" t="s">
        <v>7091</v>
      </c>
      <c r="B6845" t="s">
        <v>901</v>
      </c>
    </row>
    <row r="6846" spans="1:2">
      <c r="A6846" s="1" t="s">
        <v>7092</v>
      </c>
      <c r="B6846" t="s">
        <v>901</v>
      </c>
    </row>
    <row r="6847" spans="1:2">
      <c r="A6847" s="1" t="s">
        <v>7093</v>
      </c>
      <c r="B6847" t="s">
        <v>901</v>
      </c>
    </row>
    <row r="6848" spans="1:2">
      <c r="A6848" s="1" t="s">
        <v>7094</v>
      </c>
      <c r="B6848" t="s">
        <v>901</v>
      </c>
    </row>
    <row r="6849" spans="1:2">
      <c r="A6849" s="1" t="s">
        <v>7095</v>
      </c>
      <c r="B6849" t="s">
        <v>901</v>
      </c>
    </row>
    <row r="6850" spans="1:2">
      <c r="A6850" s="1" t="s">
        <v>7096</v>
      </c>
      <c r="B6850" t="s">
        <v>901</v>
      </c>
    </row>
    <row r="6851" spans="1:2">
      <c r="A6851" s="1" t="s">
        <v>7097</v>
      </c>
      <c r="B6851" t="s">
        <v>901</v>
      </c>
    </row>
    <row r="6852" spans="1:2">
      <c r="A6852" s="1" t="s">
        <v>7098</v>
      </c>
      <c r="B6852" t="s">
        <v>901</v>
      </c>
    </row>
    <row r="6853" spans="1:2">
      <c r="A6853" s="1" t="s">
        <v>7099</v>
      </c>
      <c r="B6853" t="s">
        <v>901</v>
      </c>
    </row>
    <row r="6854" spans="1:2">
      <c r="A6854" s="1" t="s">
        <v>7100</v>
      </c>
      <c r="B6854" t="s">
        <v>901</v>
      </c>
    </row>
    <row r="6855" spans="1:2">
      <c r="A6855" s="1" t="s">
        <v>7101</v>
      </c>
      <c r="B6855" t="s">
        <v>901</v>
      </c>
    </row>
    <row r="6856" spans="1:2">
      <c r="A6856" s="1" t="s">
        <v>7102</v>
      </c>
      <c r="B6856" t="s">
        <v>901</v>
      </c>
    </row>
    <row r="6857" spans="1:2">
      <c r="A6857" s="1" t="s">
        <v>7103</v>
      </c>
      <c r="B6857" t="s">
        <v>901</v>
      </c>
    </row>
    <row r="6858" spans="1:2">
      <c r="A6858" s="1" t="s">
        <v>7104</v>
      </c>
      <c r="B6858" t="s">
        <v>901</v>
      </c>
    </row>
    <row r="6859" spans="1:2">
      <c r="A6859" s="1" t="s">
        <v>7105</v>
      </c>
      <c r="B6859" t="s">
        <v>901</v>
      </c>
    </row>
    <row r="6860" spans="1:2">
      <c r="A6860" s="1" t="s">
        <v>7106</v>
      </c>
      <c r="B6860" t="s">
        <v>901</v>
      </c>
    </row>
    <row r="6861" spans="1:2">
      <c r="A6861" s="1" t="s">
        <v>7107</v>
      </c>
      <c r="B6861" t="s">
        <v>901</v>
      </c>
    </row>
    <row r="6862" spans="1:2">
      <c r="A6862" s="1" t="s">
        <v>7108</v>
      </c>
      <c r="B6862" t="s">
        <v>901</v>
      </c>
    </row>
    <row r="6863" spans="1:2">
      <c r="A6863" s="1" t="s">
        <v>7109</v>
      </c>
      <c r="B6863" t="s">
        <v>901</v>
      </c>
    </row>
    <row r="6864" spans="1:2">
      <c r="A6864" s="1" t="s">
        <v>7110</v>
      </c>
      <c r="B6864" t="s">
        <v>901</v>
      </c>
    </row>
    <row r="6865" spans="1:2">
      <c r="A6865" s="1" t="s">
        <v>7111</v>
      </c>
      <c r="B6865" t="s">
        <v>901</v>
      </c>
    </row>
    <row r="6866" spans="1:2">
      <c r="A6866" s="1" t="s">
        <v>7112</v>
      </c>
      <c r="B6866" t="s">
        <v>901</v>
      </c>
    </row>
    <row r="6867" spans="1:2">
      <c r="A6867" s="1" t="s">
        <v>7113</v>
      </c>
      <c r="B6867" t="s">
        <v>901</v>
      </c>
    </row>
    <row r="6868" spans="1:2">
      <c r="A6868" s="1" t="s">
        <v>7114</v>
      </c>
      <c r="B6868" t="s">
        <v>901</v>
      </c>
    </row>
    <row r="6869" spans="1:2">
      <c r="A6869" s="1" t="s">
        <v>7115</v>
      </c>
      <c r="B6869" t="s">
        <v>901</v>
      </c>
    </row>
    <row r="6870" spans="1:2">
      <c r="A6870" s="1" t="s">
        <v>7116</v>
      </c>
      <c r="B6870" t="s">
        <v>901</v>
      </c>
    </row>
    <row r="6871" spans="1:2">
      <c r="A6871" s="1" t="s">
        <v>7117</v>
      </c>
      <c r="B6871" t="s">
        <v>901</v>
      </c>
    </row>
    <row r="6872" spans="1:2">
      <c r="A6872" s="1" t="s">
        <v>7118</v>
      </c>
      <c r="B6872" t="s">
        <v>901</v>
      </c>
    </row>
    <row r="6873" spans="1:2">
      <c r="A6873" s="1" t="s">
        <v>7119</v>
      </c>
      <c r="B6873" t="s">
        <v>901</v>
      </c>
    </row>
    <row r="6874" spans="1:2">
      <c r="A6874" s="1" t="s">
        <v>7120</v>
      </c>
      <c r="B6874" t="s">
        <v>901</v>
      </c>
    </row>
    <row r="6875" spans="1:2">
      <c r="A6875" s="1" t="s">
        <v>7121</v>
      </c>
      <c r="B6875" t="s">
        <v>901</v>
      </c>
    </row>
    <row r="6876" spans="1:2">
      <c r="A6876" s="1" t="s">
        <v>7122</v>
      </c>
      <c r="B6876" t="s">
        <v>901</v>
      </c>
    </row>
    <row r="6877" spans="1:2">
      <c r="A6877" s="1" t="s">
        <v>7123</v>
      </c>
      <c r="B6877" t="s">
        <v>901</v>
      </c>
    </row>
    <row r="6878" spans="1:2">
      <c r="A6878" s="1" t="s">
        <v>7124</v>
      </c>
      <c r="B6878" t="s">
        <v>901</v>
      </c>
    </row>
    <row r="6879" spans="1:2">
      <c r="A6879" s="1" t="s">
        <v>7125</v>
      </c>
      <c r="B6879" t="s">
        <v>901</v>
      </c>
    </row>
    <row r="6880" spans="1:2">
      <c r="A6880" s="1" t="s">
        <v>7126</v>
      </c>
      <c r="B6880" t="s">
        <v>901</v>
      </c>
    </row>
    <row r="6881" spans="1:2">
      <c r="A6881" s="1" t="s">
        <v>7127</v>
      </c>
      <c r="B6881" t="s">
        <v>901</v>
      </c>
    </row>
    <row r="6882" spans="1:2">
      <c r="A6882" s="1" t="s">
        <v>7128</v>
      </c>
      <c r="B6882" t="s">
        <v>901</v>
      </c>
    </row>
    <row r="6883" spans="1:2">
      <c r="A6883" s="1" t="s">
        <v>7129</v>
      </c>
      <c r="B6883" t="s">
        <v>901</v>
      </c>
    </row>
    <row r="6884" spans="1:2">
      <c r="A6884" s="1" t="s">
        <v>7130</v>
      </c>
      <c r="B6884" t="s">
        <v>901</v>
      </c>
    </row>
    <row r="6885" spans="1:2">
      <c r="A6885" s="1" t="s">
        <v>7131</v>
      </c>
      <c r="B6885" t="s">
        <v>901</v>
      </c>
    </row>
    <row r="6886" spans="1:2">
      <c r="A6886" s="1" t="s">
        <v>7132</v>
      </c>
      <c r="B6886" t="s">
        <v>901</v>
      </c>
    </row>
    <row r="6887" spans="1:2">
      <c r="A6887" s="1" t="s">
        <v>7133</v>
      </c>
      <c r="B6887" t="s">
        <v>901</v>
      </c>
    </row>
    <row r="6888" spans="1:2">
      <c r="A6888" s="1" t="s">
        <v>7134</v>
      </c>
      <c r="B6888" t="s">
        <v>901</v>
      </c>
    </row>
    <row r="6889" spans="1:2">
      <c r="A6889" s="1" t="s">
        <v>7135</v>
      </c>
      <c r="B6889" t="s">
        <v>901</v>
      </c>
    </row>
    <row r="6890" spans="1:2">
      <c r="A6890" s="1" t="s">
        <v>7136</v>
      </c>
      <c r="B6890" t="s">
        <v>901</v>
      </c>
    </row>
    <row r="6891" spans="1:2">
      <c r="A6891" s="1" t="s">
        <v>7137</v>
      </c>
      <c r="B6891" t="s">
        <v>901</v>
      </c>
    </row>
    <row r="6892" spans="1:2">
      <c r="A6892" s="1" t="s">
        <v>7138</v>
      </c>
      <c r="B6892" t="s">
        <v>901</v>
      </c>
    </row>
    <row r="6893" spans="1:2">
      <c r="A6893" s="1" t="s">
        <v>7139</v>
      </c>
      <c r="B6893" t="s">
        <v>901</v>
      </c>
    </row>
    <row r="6894" spans="1:2">
      <c r="A6894" s="1" t="s">
        <v>7140</v>
      </c>
      <c r="B6894" t="s">
        <v>901</v>
      </c>
    </row>
    <row r="6895" spans="1:2">
      <c r="A6895" s="1" t="s">
        <v>7141</v>
      </c>
      <c r="B6895" t="s">
        <v>901</v>
      </c>
    </row>
    <row r="6896" spans="1:2">
      <c r="A6896" s="1" t="s">
        <v>7142</v>
      </c>
      <c r="B6896" t="s">
        <v>901</v>
      </c>
    </row>
    <row r="6897" spans="1:2">
      <c r="A6897" s="1" t="s">
        <v>7143</v>
      </c>
      <c r="B6897" t="s">
        <v>901</v>
      </c>
    </row>
    <row r="6898" spans="1:2">
      <c r="A6898" s="1" t="s">
        <v>7144</v>
      </c>
      <c r="B6898" t="s">
        <v>901</v>
      </c>
    </row>
    <row r="6899" spans="1:2">
      <c r="A6899" s="1" t="s">
        <v>7145</v>
      </c>
      <c r="B6899" t="s">
        <v>901</v>
      </c>
    </row>
    <row r="6900" spans="1:2">
      <c r="A6900" s="1" t="s">
        <v>7146</v>
      </c>
      <c r="B6900" t="s">
        <v>901</v>
      </c>
    </row>
    <row r="6901" spans="1:2">
      <c r="A6901" s="1" t="s">
        <v>7147</v>
      </c>
      <c r="B6901" t="s">
        <v>901</v>
      </c>
    </row>
    <row r="6902" spans="1:2">
      <c r="A6902" s="1" t="s">
        <v>7148</v>
      </c>
      <c r="B6902" t="s">
        <v>901</v>
      </c>
    </row>
    <row r="6903" spans="1:2">
      <c r="A6903" s="1" t="s">
        <v>7149</v>
      </c>
      <c r="B6903" t="s">
        <v>901</v>
      </c>
    </row>
    <row r="6904" spans="1:2">
      <c r="A6904" s="1" t="s">
        <v>7150</v>
      </c>
      <c r="B6904" t="s">
        <v>901</v>
      </c>
    </row>
    <row r="6905" spans="1:2">
      <c r="A6905" s="1" t="s">
        <v>7151</v>
      </c>
      <c r="B6905" t="s">
        <v>901</v>
      </c>
    </row>
    <row r="6906" spans="1:2">
      <c r="A6906" s="1" t="s">
        <v>7152</v>
      </c>
      <c r="B6906" t="s">
        <v>901</v>
      </c>
    </row>
    <row r="6907" spans="1:2">
      <c r="A6907" s="1" t="s">
        <v>7153</v>
      </c>
      <c r="B6907" t="s">
        <v>901</v>
      </c>
    </row>
    <row r="6908" spans="1:2">
      <c r="A6908" s="1" t="s">
        <v>7154</v>
      </c>
      <c r="B6908" t="s">
        <v>901</v>
      </c>
    </row>
    <row r="6909" spans="1:2">
      <c r="A6909" s="1" t="s">
        <v>7155</v>
      </c>
      <c r="B6909" t="s">
        <v>901</v>
      </c>
    </row>
    <row r="6910" spans="1:2">
      <c r="A6910" s="1" t="s">
        <v>7156</v>
      </c>
      <c r="B6910" t="s">
        <v>901</v>
      </c>
    </row>
    <row r="6911" spans="1:2">
      <c r="A6911" s="1" t="s">
        <v>7157</v>
      </c>
      <c r="B6911" t="s">
        <v>901</v>
      </c>
    </row>
    <row r="6912" spans="1:2">
      <c r="A6912" s="1" t="s">
        <v>7158</v>
      </c>
      <c r="B6912" t="s">
        <v>901</v>
      </c>
    </row>
    <row r="6913" spans="1:2">
      <c r="A6913" s="1" t="s">
        <v>7159</v>
      </c>
      <c r="B6913" t="s">
        <v>901</v>
      </c>
    </row>
    <row r="6914" spans="1:2">
      <c r="A6914" s="1" t="s">
        <v>7160</v>
      </c>
      <c r="B6914" t="s">
        <v>901</v>
      </c>
    </row>
    <row r="6915" spans="1:2">
      <c r="A6915" s="1" t="s">
        <v>7161</v>
      </c>
      <c r="B6915" t="s">
        <v>901</v>
      </c>
    </row>
    <row r="6916" spans="1:2">
      <c r="A6916" s="1" t="s">
        <v>7162</v>
      </c>
      <c r="B6916" t="s">
        <v>901</v>
      </c>
    </row>
    <row r="6917" spans="1:2">
      <c r="A6917" s="1" t="s">
        <v>7163</v>
      </c>
      <c r="B6917" t="s">
        <v>901</v>
      </c>
    </row>
    <row r="6918" spans="1:2">
      <c r="A6918" s="1" t="s">
        <v>7164</v>
      </c>
      <c r="B6918" t="s">
        <v>901</v>
      </c>
    </row>
    <row r="6919" spans="1:2">
      <c r="A6919" s="1" t="s">
        <v>7165</v>
      </c>
      <c r="B6919" t="s">
        <v>901</v>
      </c>
    </row>
    <row r="6920" spans="1:2">
      <c r="A6920" s="1" t="s">
        <v>7166</v>
      </c>
      <c r="B6920" t="s">
        <v>901</v>
      </c>
    </row>
    <row r="6921" spans="1:2">
      <c r="A6921" s="1" t="s">
        <v>7167</v>
      </c>
      <c r="B6921" t="s">
        <v>901</v>
      </c>
    </row>
    <row r="6922" spans="1:2">
      <c r="A6922" s="1" t="s">
        <v>7168</v>
      </c>
      <c r="B6922" t="s">
        <v>901</v>
      </c>
    </row>
    <row r="6923" spans="1:2">
      <c r="A6923" s="1" t="s">
        <v>7169</v>
      </c>
      <c r="B6923" t="s">
        <v>901</v>
      </c>
    </row>
    <row r="6924" spans="1:2">
      <c r="A6924" s="1" t="s">
        <v>7170</v>
      </c>
      <c r="B6924" t="s">
        <v>901</v>
      </c>
    </row>
    <row r="6925" spans="1:2">
      <c r="A6925" s="1" t="s">
        <v>7171</v>
      </c>
      <c r="B6925" t="s">
        <v>901</v>
      </c>
    </row>
    <row r="6926" spans="1:2">
      <c r="A6926" s="1" t="s">
        <v>7172</v>
      </c>
      <c r="B6926" t="s">
        <v>901</v>
      </c>
    </row>
    <row r="6927" spans="1:2">
      <c r="A6927" s="1" t="s">
        <v>7173</v>
      </c>
      <c r="B6927" t="s">
        <v>901</v>
      </c>
    </row>
    <row r="6928" spans="1:2">
      <c r="A6928" s="1" t="s">
        <v>7174</v>
      </c>
      <c r="B6928" t="s">
        <v>901</v>
      </c>
    </row>
    <row r="6929" spans="1:2">
      <c r="A6929" s="1" t="s">
        <v>7175</v>
      </c>
      <c r="B6929" t="s">
        <v>901</v>
      </c>
    </row>
    <row r="6930" spans="1:2">
      <c r="A6930" s="1" t="s">
        <v>7176</v>
      </c>
      <c r="B6930" t="s">
        <v>901</v>
      </c>
    </row>
    <row r="6931" spans="1:2">
      <c r="A6931" s="1" t="s">
        <v>7177</v>
      </c>
      <c r="B6931" t="s">
        <v>901</v>
      </c>
    </row>
    <row r="6932" spans="1:2">
      <c r="A6932" s="1" t="s">
        <v>7178</v>
      </c>
      <c r="B6932" t="s">
        <v>901</v>
      </c>
    </row>
    <row r="6933" spans="1:2">
      <c r="A6933" s="1" t="s">
        <v>7179</v>
      </c>
      <c r="B6933" t="s">
        <v>901</v>
      </c>
    </row>
    <row r="6934" spans="1:2">
      <c r="A6934" s="1" t="s">
        <v>7180</v>
      </c>
      <c r="B6934" t="s">
        <v>901</v>
      </c>
    </row>
    <row r="6935" spans="1:2">
      <c r="A6935" s="1" t="s">
        <v>7181</v>
      </c>
      <c r="B6935" t="s">
        <v>901</v>
      </c>
    </row>
    <row r="6936" spans="1:2">
      <c r="A6936" s="1" t="s">
        <v>7182</v>
      </c>
      <c r="B6936" t="s">
        <v>901</v>
      </c>
    </row>
    <row r="6937" spans="1:2">
      <c r="A6937" s="1" t="s">
        <v>7183</v>
      </c>
      <c r="B6937" t="s">
        <v>901</v>
      </c>
    </row>
    <row r="6938" spans="1:2">
      <c r="A6938" s="1" t="s">
        <v>7184</v>
      </c>
      <c r="B6938" t="s">
        <v>901</v>
      </c>
    </row>
    <row r="6939" spans="1:2">
      <c r="A6939" s="1" t="s">
        <v>7185</v>
      </c>
      <c r="B6939" t="s">
        <v>901</v>
      </c>
    </row>
    <row r="6940" spans="1:2">
      <c r="A6940" s="1" t="s">
        <v>7186</v>
      </c>
      <c r="B6940" t="s">
        <v>901</v>
      </c>
    </row>
    <row r="6941" spans="1:2">
      <c r="A6941" s="1" t="s">
        <v>7187</v>
      </c>
      <c r="B6941" t="s">
        <v>901</v>
      </c>
    </row>
    <row r="6942" spans="1:2">
      <c r="A6942" s="1" t="s">
        <v>7188</v>
      </c>
      <c r="B6942" t="s">
        <v>901</v>
      </c>
    </row>
    <row r="6943" spans="1:2">
      <c r="A6943" s="1" t="s">
        <v>7189</v>
      </c>
      <c r="B6943" t="s">
        <v>901</v>
      </c>
    </row>
    <row r="6944" spans="1:2">
      <c r="A6944" s="1" t="s">
        <v>7190</v>
      </c>
      <c r="B6944" t="s">
        <v>901</v>
      </c>
    </row>
    <row r="6945" spans="1:2">
      <c r="A6945" s="1" t="s">
        <v>7191</v>
      </c>
      <c r="B6945" t="s">
        <v>901</v>
      </c>
    </row>
    <row r="6946" spans="1:2">
      <c r="A6946" s="1" t="s">
        <v>7192</v>
      </c>
      <c r="B6946" t="s">
        <v>901</v>
      </c>
    </row>
    <row r="6947" spans="1:2">
      <c r="A6947" s="1" t="s">
        <v>7193</v>
      </c>
      <c r="B6947" t="s">
        <v>901</v>
      </c>
    </row>
    <row r="6948" spans="1:2">
      <c r="A6948" s="1" t="s">
        <v>7194</v>
      </c>
      <c r="B6948" t="s">
        <v>901</v>
      </c>
    </row>
    <row r="6949" spans="1:2">
      <c r="A6949" s="1" t="s">
        <v>7195</v>
      </c>
      <c r="B6949" t="s">
        <v>901</v>
      </c>
    </row>
    <row r="6950" spans="1:2">
      <c r="A6950" s="1" t="s">
        <v>7196</v>
      </c>
      <c r="B6950" t="s">
        <v>901</v>
      </c>
    </row>
    <row r="6951" spans="1:2">
      <c r="A6951" s="1" t="s">
        <v>7197</v>
      </c>
      <c r="B6951" t="s">
        <v>901</v>
      </c>
    </row>
    <row r="6952" spans="1:2">
      <c r="A6952" s="1" t="s">
        <v>7198</v>
      </c>
      <c r="B6952" t="s">
        <v>901</v>
      </c>
    </row>
    <row r="6953" spans="1:2">
      <c r="A6953" s="1" t="s">
        <v>7199</v>
      </c>
      <c r="B6953" t="s">
        <v>901</v>
      </c>
    </row>
    <row r="6954" spans="1:2">
      <c r="A6954" s="1" t="s">
        <v>7200</v>
      </c>
      <c r="B6954" t="s">
        <v>901</v>
      </c>
    </row>
    <row r="6955" spans="1:2">
      <c r="A6955" s="1" t="s">
        <v>7201</v>
      </c>
      <c r="B6955" t="s">
        <v>901</v>
      </c>
    </row>
    <row r="6956" spans="1:2">
      <c r="A6956" s="1" t="s">
        <v>7202</v>
      </c>
      <c r="B6956" t="s">
        <v>901</v>
      </c>
    </row>
    <row r="6957" spans="1:2">
      <c r="A6957" s="1" t="s">
        <v>7203</v>
      </c>
      <c r="B6957" t="s">
        <v>901</v>
      </c>
    </row>
    <row r="6958" spans="1:2">
      <c r="A6958" s="1" t="s">
        <v>7204</v>
      </c>
      <c r="B6958" t="s">
        <v>901</v>
      </c>
    </row>
    <row r="6959" spans="1:2">
      <c r="A6959" s="1" t="s">
        <v>7205</v>
      </c>
      <c r="B6959" t="s">
        <v>901</v>
      </c>
    </row>
    <row r="6960" spans="1:2">
      <c r="A6960" s="1" t="s">
        <v>7206</v>
      </c>
      <c r="B6960" t="s">
        <v>901</v>
      </c>
    </row>
    <row r="6961" spans="1:2">
      <c r="A6961" s="1" t="s">
        <v>7207</v>
      </c>
      <c r="B6961" t="s">
        <v>10243</v>
      </c>
    </row>
    <row r="6962" spans="1:2">
      <c r="A6962" s="1" t="s">
        <v>7208</v>
      </c>
      <c r="B6962" t="s">
        <v>901</v>
      </c>
    </row>
    <row r="6963" spans="1:2">
      <c r="A6963" s="1" t="s">
        <v>7209</v>
      </c>
      <c r="B6963" t="s">
        <v>901</v>
      </c>
    </row>
    <row r="6964" spans="1:2">
      <c r="A6964" s="1" t="s">
        <v>7210</v>
      </c>
      <c r="B6964" t="s">
        <v>901</v>
      </c>
    </row>
    <row r="6965" spans="1:2">
      <c r="A6965" s="1" t="s">
        <v>7211</v>
      </c>
      <c r="B6965" t="s">
        <v>901</v>
      </c>
    </row>
    <row r="6966" spans="1:2">
      <c r="A6966" s="1" t="s">
        <v>7212</v>
      </c>
      <c r="B6966" t="s">
        <v>901</v>
      </c>
    </row>
    <row r="6967" spans="1:2">
      <c r="A6967" s="1" t="s">
        <v>7213</v>
      </c>
      <c r="B6967" t="s">
        <v>901</v>
      </c>
    </row>
    <row r="6968" spans="1:2">
      <c r="A6968" s="1" t="s">
        <v>7214</v>
      </c>
      <c r="B6968" t="s">
        <v>901</v>
      </c>
    </row>
    <row r="6969" spans="1:2">
      <c r="A6969" s="1" t="s">
        <v>7215</v>
      </c>
      <c r="B6969" t="s">
        <v>901</v>
      </c>
    </row>
    <row r="6970" spans="1:2">
      <c r="A6970" s="1" t="s">
        <v>7216</v>
      </c>
      <c r="B6970" t="s">
        <v>901</v>
      </c>
    </row>
    <row r="6971" spans="1:2">
      <c r="A6971" s="1" t="s">
        <v>7217</v>
      </c>
      <c r="B6971" t="s">
        <v>901</v>
      </c>
    </row>
    <row r="6972" spans="1:2">
      <c r="A6972" s="1" t="s">
        <v>7218</v>
      </c>
      <c r="B6972" t="s">
        <v>901</v>
      </c>
    </row>
    <row r="6973" spans="1:2">
      <c r="A6973" s="1" t="s">
        <v>7219</v>
      </c>
      <c r="B6973" t="s">
        <v>901</v>
      </c>
    </row>
    <row r="6974" spans="1:2">
      <c r="A6974" s="1" t="s">
        <v>7220</v>
      </c>
      <c r="B6974" t="s">
        <v>901</v>
      </c>
    </row>
    <row r="6975" spans="1:2">
      <c r="A6975" s="1" t="s">
        <v>7221</v>
      </c>
      <c r="B6975" t="s">
        <v>901</v>
      </c>
    </row>
    <row r="6976" spans="1:2">
      <c r="A6976" s="1" t="s">
        <v>7222</v>
      </c>
      <c r="B6976" t="s">
        <v>901</v>
      </c>
    </row>
    <row r="6977" spans="1:2">
      <c r="A6977" s="1" t="s">
        <v>7223</v>
      </c>
      <c r="B6977" t="s">
        <v>901</v>
      </c>
    </row>
    <row r="6978" spans="1:2">
      <c r="A6978" s="1" t="s">
        <v>7224</v>
      </c>
      <c r="B6978" t="s">
        <v>901</v>
      </c>
    </row>
    <row r="6979" spans="1:2">
      <c r="A6979" s="1" t="s">
        <v>7225</v>
      </c>
      <c r="B6979" t="s">
        <v>901</v>
      </c>
    </row>
    <row r="6980" spans="1:2">
      <c r="A6980" s="1" t="s">
        <v>7226</v>
      </c>
      <c r="B6980" t="s">
        <v>901</v>
      </c>
    </row>
    <row r="6981" spans="1:2">
      <c r="A6981" s="1" t="s">
        <v>7227</v>
      </c>
      <c r="B6981" t="s">
        <v>10230</v>
      </c>
    </row>
    <row r="6982" spans="1:2">
      <c r="A6982" s="1" t="s">
        <v>7228</v>
      </c>
      <c r="B6982" t="s">
        <v>901</v>
      </c>
    </row>
    <row r="6983" spans="1:2">
      <c r="A6983" s="1" t="s">
        <v>7229</v>
      </c>
      <c r="B6983" t="s">
        <v>901</v>
      </c>
    </row>
    <row r="6984" spans="1:2">
      <c r="A6984" s="1" t="s">
        <v>7230</v>
      </c>
      <c r="B6984" t="s">
        <v>901</v>
      </c>
    </row>
    <row r="6985" spans="1:2">
      <c r="A6985" s="1" t="s">
        <v>7231</v>
      </c>
      <c r="B6985" t="s">
        <v>901</v>
      </c>
    </row>
    <row r="6986" spans="1:2">
      <c r="A6986" s="1" t="s">
        <v>7232</v>
      </c>
      <c r="B6986" t="s">
        <v>901</v>
      </c>
    </row>
    <row r="6987" spans="1:2">
      <c r="A6987" s="1" t="s">
        <v>7233</v>
      </c>
      <c r="B6987" t="s">
        <v>901</v>
      </c>
    </row>
    <row r="6988" spans="1:2">
      <c r="A6988" s="1" t="s">
        <v>7234</v>
      </c>
      <c r="B6988" t="s">
        <v>901</v>
      </c>
    </row>
    <row r="6989" spans="1:2">
      <c r="A6989" s="1" t="s">
        <v>7235</v>
      </c>
      <c r="B6989" t="s">
        <v>901</v>
      </c>
    </row>
    <row r="6990" spans="1:2">
      <c r="A6990" s="1" t="s">
        <v>7236</v>
      </c>
      <c r="B6990" t="s">
        <v>901</v>
      </c>
    </row>
    <row r="6991" spans="1:2">
      <c r="A6991" s="1" t="s">
        <v>7237</v>
      </c>
      <c r="B6991" t="s">
        <v>901</v>
      </c>
    </row>
    <row r="6992" spans="1:2">
      <c r="A6992" s="1" t="s">
        <v>7238</v>
      </c>
      <c r="B6992" t="s">
        <v>901</v>
      </c>
    </row>
    <row r="6993" spans="1:2">
      <c r="A6993" s="1" t="s">
        <v>7239</v>
      </c>
      <c r="B6993" t="s">
        <v>901</v>
      </c>
    </row>
    <row r="6994" spans="1:2">
      <c r="A6994" s="1" t="s">
        <v>7240</v>
      </c>
      <c r="B6994" t="s">
        <v>901</v>
      </c>
    </row>
    <row r="6995" spans="1:2">
      <c r="A6995" s="1" t="s">
        <v>7241</v>
      </c>
      <c r="B6995" t="s">
        <v>901</v>
      </c>
    </row>
    <row r="6996" spans="1:2">
      <c r="A6996" s="1" t="s">
        <v>7242</v>
      </c>
      <c r="B6996" t="s">
        <v>901</v>
      </c>
    </row>
    <row r="6997" spans="1:2">
      <c r="A6997" s="1" t="s">
        <v>7243</v>
      </c>
      <c r="B6997" t="s">
        <v>901</v>
      </c>
    </row>
    <row r="6998" spans="1:2">
      <c r="A6998" s="1" t="s">
        <v>7244</v>
      </c>
      <c r="B6998" t="s">
        <v>901</v>
      </c>
    </row>
    <row r="6999" spans="1:2">
      <c r="A6999" s="1" t="s">
        <v>7245</v>
      </c>
      <c r="B6999" t="s">
        <v>901</v>
      </c>
    </row>
    <row r="7000" spans="1:2">
      <c r="A7000" s="1" t="s">
        <v>7246</v>
      </c>
      <c r="B7000" t="s">
        <v>901</v>
      </c>
    </row>
    <row r="7001" spans="1:2">
      <c r="A7001" s="1" t="s">
        <v>7247</v>
      </c>
      <c r="B7001" t="s">
        <v>901</v>
      </c>
    </row>
    <row r="7002" spans="1:2">
      <c r="A7002" s="1" t="s">
        <v>7248</v>
      </c>
      <c r="B7002" t="s">
        <v>10243</v>
      </c>
    </row>
    <row r="7003" spans="1:2">
      <c r="A7003" s="1" t="s">
        <v>7249</v>
      </c>
      <c r="B7003" t="s">
        <v>10405</v>
      </c>
    </row>
    <row r="7004" spans="1:2">
      <c r="A7004" s="1" t="s">
        <v>7250</v>
      </c>
      <c r="B7004" t="s">
        <v>10290</v>
      </c>
    </row>
    <row r="7005" spans="1:2">
      <c r="A7005" s="1" t="s">
        <v>7251</v>
      </c>
      <c r="B7005" t="s">
        <v>901</v>
      </c>
    </row>
    <row r="7006" spans="1:2">
      <c r="A7006" s="1" t="s">
        <v>7252</v>
      </c>
      <c r="B7006" t="s">
        <v>901</v>
      </c>
    </row>
    <row r="7007" spans="1:2">
      <c r="A7007" s="1" t="s">
        <v>7253</v>
      </c>
      <c r="B7007" t="s">
        <v>901</v>
      </c>
    </row>
    <row r="7008" spans="1:2">
      <c r="A7008" s="1" t="s">
        <v>7254</v>
      </c>
      <c r="B7008" t="s">
        <v>901</v>
      </c>
    </row>
    <row r="7009" spans="1:2">
      <c r="A7009" s="1" t="s">
        <v>7255</v>
      </c>
      <c r="B7009" t="s">
        <v>901</v>
      </c>
    </row>
    <row r="7010" spans="1:2">
      <c r="A7010" s="1" t="s">
        <v>7256</v>
      </c>
      <c r="B7010" t="s">
        <v>901</v>
      </c>
    </row>
    <row r="7011" spans="1:2">
      <c r="A7011" s="1" t="s">
        <v>7257</v>
      </c>
      <c r="B7011" t="s">
        <v>901</v>
      </c>
    </row>
    <row r="7012" spans="1:2">
      <c r="A7012" s="1" t="s">
        <v>7258</v>
      </c>
      <c r="B7012" t="s">
        <v>901</v>
      </c>
    </row>
    <row r="7013" spans="1:2">
      <c r="A7013" s="1" t="s">
        <v>7259</v>
      </c>
      <c r="B7013" t="s">
        <v>901</v>
      </c>
    </row>
    <row r="7014" spans="1:2">
      <c r="A7014" s="1" t="s">
        <v>7260</v>
      </c>
      <c r="B7014" t="s">
        <v>901</v>
      </c>
    </row>
    <row r="7015" spans="1:2">
      <c r="A7015" s="1" t="s">
        <v>7261</v>
      </c>
      <c r="B7015" t="s">
        <v>901</v>
      </c>
    </row>
    <row r="7016" spans="1:2">
      <c r="A7016" s="1" t="s">
        <v>7262</v>
      </c>
      <c r="B7016" t="s">
        <v>901</v>
      </c>
    </row>
    <row r="7017" spans="1:2">
      <c r="A7017" s="1" t="s">
        <v>7263</v>
      </c>
      <c r="B7017" t="s">
        <v>901</v>
      </c>
    </row>
    <row r="7018" spans="1:2">
      <c r="A7018" s="1" t="s">
        <v>7264</v>
      </c>
      <c r="B7018" t="s">
        <v>901</v>
      </c>
    </row>
    <row r="7019" spans="1:2">
      <c r="A7019" s="1" t="s">
        <v>7265</v>
      </c>
      <c r="B7019" t="s">
        <v>901</v>
      </c>
    </row>
    <row r="7020" spans="1:2">
      <c r="A7020" s="1" t="s">
        <v>7266</v>
      </c>
      <c r="B7020" t="s">
        <v>901</v>
      </c>
    </row>
    <row r="7021" spans="1:2">
      <c r="A7021" s="1" t="s">
        <v>7267</v>
      </c>
      <c r="B7021" t="s">
        <v>901</v>
      </c>
    </row>
    <row r="7022" spans="1:2">
      <c r="A7022" s="1" t="s">
        <v>7268</v>
      </c>
      <c r="B7022" t="s">
        <v>901</v>
      </c>
    </row>
    <row r="7023" spans="1:2">
      <c r="A7023" s="1" t="s">
        <v>7269</v>
      </c>
      <c r="B7023" t="s">
        <v>901</v>
      </c>
    </row>
    <row r="7024" spans="1:2">
      <c r="A7024" s="1" t="s">
        <v>7270</v>
      </c>
      <c r="B7024" t="s">
        <v>901</v>
      </c>
    </row>
    <row r="7025" spans="1:2">
      <c r="A7025" s="1" t="s">
        <v>7271</v>
      </c>
      <c r="B7025" t="s">
        <v>901</v>
      </c>
    </row>
    <row r="7026" spans="1:2">
      <c r="A7026" s="1" t="s">
        <v>7272</v>
      </c>
      <c r="B7026" t="s">
        <v>901</v>
      </c>
    </row>
    <row r="7027" spans="1:2">
      <c r="A7027" s="1" t="s">
        <v>7273</v>
      </c>
      <c r="B7027" t="s">
        <v>901</v>
      </c>
    </row>
    <row r="7028" spans="1:2">
      <c r="A7028" s="1" t="s">
        <v>7274</v>
      </c>
      <c r="B7028" t="s">
        <v>901</v>
      </c>
    </row>
    <row r="7029" spans="1:2">
      <c r="A7029" s="1" t="s">
        <v>7275</v>
      </c>
      <c r="B7029" t="s">
        <v>901</v>
      </c>
    </row>
    <row r="7030" spans="1:2">
      <c r="A7030" s="1" t="s">
        <v>7276</v>
      </c>
      <c r="B7030" t="s">
        <v>901</v>
      </c>
    </row>
    <row r="7031" spans="1:2">
      <c r="A7031" s="1" t="s">
        <v>7277</v>
      </c>
      <c r="B7031" t="s">
        <v>901</v>
      </c>
    </row>
    <row r="7032" spans="1:2">
      <c r="A7032" s="1" t="s">
        <v>7278</v>
      </c>
      <c r="B7032" t="s">
        <v>901</v>
      </c>
    </row>
    <row r="7033" spans="1:2">
      <c r="A7033" s="1" t="s">
        <v>7279</v>
      </c>
      <c r="B7033" t="s">
        <v>901</v>
      </c>
    </row>
    <row r="7034" spans="1:2">
      <c r="A7034" s="1" t="s">
        <v>7280</v>
      </c>
      <c r="B7034" t="s">
        <v>901</v>
      </c>
    </row>
    <row r="7035" spans="1:2">
      <c r="A7035" s="1" t="s">
        <v>7281</v>
      </c>
      <c r="B7035" t="s">
        <v>901</v>
      </c>
    </row>
    <row r="7036" spans="1:2">
      <c r="A7036" s="1" t="s">
        <v>7282</v>
      </c>
      <c r="B7036" t="s">
        <v>901</v>
      </c>
    </row>
    <row r="7037" spans="1:2">
      <c r="A7037" s="1" t="s">
        <v>7283</v>
      </c>
      <c r="B7037" t="s">
        <v>901</v>
      </c>
    </row>
    <row r="7038" spans="1:2">
      <c r="A7038" s="1" t="s">
        <v>7284</v>
      </c>
      <c r="B7038" t="s">
        <v>901</v>
      </c>
    </row>
    <row r="7039" spans="1:2">
      <c r="A7039" s="1" t="s">
        <v>7285</v>
      </c>
      <c r="B7039" t="s">
        <v>901</v>
      </c>
    </row>
    <row r="7040" spans="1:2">
      <c r="A7040" s="1" t="s">
        <v>7286</v>
      </c>
      <c r="B7040" t="s">
        <v>10372</v>
      </c>
    </row>
    <row r="7041" spans="1:2">
      <c r="A7041" s="1" t="s">
        <v>7287</v>
      </c>
      <c r="B7041" t="s">
        <v>901</v>
      </c>
    </row>
    <row r="7042" spans="1:2">
      <c r="A7042" s="1" t="s">
        <v>7288</v>
      </c>
      <c r="B7042" t="s">
        <v>901</v>
      </c>
    </row>
    <row r="7043" spans="1:2">
      <c r="A7043" s="1" t="s">
        <v>7289</v>
      </c>
      <c r="B7043" t="s">
        <v>901</v>
      </c>
    </row>
    <row r="7044" spans="1:2">
      <c r="A7044" s="1" t="s">
        <v>7290</v>
      </c>
      <c r="B7044" t="s">
        <v>901</v>
      </c>
    </row>
    <row r="7045" spans="1:2">
      <c r="A7045" s="1" t="s">
        <v>7291</v>
      </c>
      <c r="B7045" t="s">
        <v>901</v>
      </c>
    </row>
    <row r="7046" spans="1:2">
      <c r="A7046" s="1" t="s">
        <v>7292</v>
      </c>
      <c r="B7046" t="s">
        <v>901</v>
      </c>
    </row>
    <row r="7047" spans="1:2">
      <c r="A7047" s="1" t="s">
        <v>7293</v>
      </c>
      <c r="B7047" t="s">
        <v>901</v>
      </c>
    </row>
    <row r="7048" spans="1:2">
      <c r="A7048" s="1" t="s">
        <v>7294</v>
      </c>
      <c r="B7048" t="s">
        <v>901</v>
      </c>
    </row>
    <row r="7049" spans="1:2">
      <c r="A7049" s="1" t="s">
        <v>7295</v>
      </c>
      <c r="B7049" t="s">
        <v>901</v>
      </c>
    </row>
    <row r="7050" spans="1:2">
      <c r="A7050" s="1" t="s">
        <v>7296</v>
      </c>
      <c r="B7050" t="s">
        <v>901</v>
      </c>
    </row>
    <row r="7051" spans="1:2">
      <c r="A7051" s="1" t="s">
        <v>7297</v>
      </c>
      <c r="B7051" t="s">
        <v>901</v>
      </c>
    </row>
    <row r="7052" spans="1:2">
      <c r="A7052" s="1" t="s">
        <v>7298</v>
      </c>
      <c r="B7052" t="s">
        <v>901</v>
      </c>
    </row>
    <row r="7053" spans="1:2">
      <c r="A7053" s="1" t="s">
        <v>7299</v>
      </c>
      <c r="B7053" t="s">
        <v>901</v>
      </c>
    </row>
    <row r="7054" spans="1:2">
      <c r="A7054" s="1" t="s">
        <v>7300</v>
      </c>
      <c r="B7054" t="s">
        <v>901</v>
      </c>
    </row>
    <row r="7055" spans="1:2">
      <c r="A7055" s="1" t="s">
        <v>7301</v>
      </c>
      <c r="B7055" t="s">
        <v>901</v>
      </c>
    </row>
    <row r="7056" spans="1:2">
      <c r="A7056" s="1" t="s">
        <v>7302</v>
      </c>
      <c r="B7056" t="s">
        <v>901</v>
      </c>
    </row>
    <row r="7057" spans="1:2">
      <c r="A7057" s="1" t="s">
        <v>7303</v>
      </c>
      <c r="B7057" t="s">
        <v>901</v>
      </c>
    </row>
    <row r="7058" spans="1:2">
      <c r="A7058" s="1" t="s">
        <v>7304</v>
      </c>
      <c r="B7058" t="s">
        <v>901</v>
      </c>
    </row>
    <row r="7059" spans="1:2">
      <c r="A7059" s="1" t="s">
        <v>7305</v>
      </c>
      <c r="B7059" t="s">
        <v>901</v>
      </c>
    </row>
    <row r="7060" spans="1:2">
      <c r="A7060" s="1" t="s">
        <v>7306</v>
      </c>
      <c r="B7060" t="s">
        <v>901</v>
      </c>
    </row>
    <row r="7061" spans="1:2">
      <c r="A7061" s="1" t="s">
        <v>7307</v>
      </c>
      <c r="B7061" t="s">
        <v>901</v>
      </c>
    </row>
    <row r="7062" spans="1:2">
      <c r="A7062" s="1" t="s">
        <v>7308</v>
      </c>
      <c r="B7062" t="s">
        <v>901</v>
      </c>
    </row>
    <row r="7063" spans="1:2">
      <c r="A7063" s="1" t="s">
        <v>7309</v>
      </c>
      <c r="B7063" t="s">
        <v>901</v>
      </c>
    </row>
    <row r="7064" spans="1:2">
      <c r="A7064" s="1" t="s">
        <v>7310</v>
      </c>
      <c r="B7064" t="s">
        <v>901</v>
      </c>
    </row>
    <row r="7065" spans="1:2">
      <c r="A7065" s="1" t="s">
        <v>7311</v>
      </c>
      <c r="B7065" t="s">
        <v>901</v>
      </c>
    </row>
    <row r="7066" spans="1:2">
      <c r="A7066" s="1" t="s">
        <v>7312</v>
      </c>
      <c r="B7066" t="s">
        <v>901</v>
      </c>
    </row>
    <row r="7067" spans="1:2">
      <c r="A7067" s="1" t="s">
        <v>7313</v>
      </c>
      <c r="B7067" t="s">
        <v>901</v>
      </c>
    </row>
    <row r="7068" spans="1:2">
      <c r="A7068" s="1" t="s">
        <v>7314</v>
      </c>
      <c r="B7068" t="s">
        <v>901</v>
      </c>
    </row>
    <row r="7069" spans="1:2">
      <c r="A7069" s="1" t="s">
        <v>7315</v>
      </c>
      <c r="B7069" t="s">
        <v>901</v>
      </c>
    </row>
    <row r="7070" spans="1:2">
      <c r="A7070" s="1" t="s">
        <v>7316</v>
      </c>
      <c r="B7070" t="s">
        <v>901</v>
      </c>
    </row>
    <row r="7071" spans="1:2">
      <c r="A7071" s="1" t="s">
        <v>7317</v>
      </c>
      <c r="B7071" t="s">
        <v>901</v>
      </c>
    </row>
    <row r="7072" spans="1:2">
      <c r="A7072" s="1" t="s">
        <v>7318</v>
      </c>
      <c r="B7072" t="s">
        <v>901</v>
      </c>
    </row>
    <row r="7073" spans="1:2">
      <c r="A7073" s="1" t="s">
        <v>7319</v>
      </c>
      <c r="B7073" t="s">
        <v>901</v>
      </c>
    </row>
    <row r="7074" spans="1:2">
      <c r="A7074" s="1" t="s">
        <v>7320</v>
      </c>
      <c r="B7074" t="s">
        <v>901</v>
      </c>
    </row>
    <row r="7075" spans="1:2">
      <c r="A7075" s="1" t="s">
        <v>7321</v>
      </c>
      <c r="B7075" t="s">
        <v>901</v>
      </c>
    </row>
    <row r="7076" spans="1:2">
      <c r="A7076" s="1" t="s">
        <v>7322</v>
      </c>
      <c r="B7076" t="s">
        <v>901</v>
      </c>
    </row>
    <row r="7077" spans="1:2">
      <c r="A7077" s="1" t="s">
        <v>7323</v>
      </c>
      <c r="B7077" t="s">
        <v>901</v>
      </c>
    </row>
    <row r="7078" spans="1:2">
      <c r="A7078" s="1" t="s">
        <v>7324</v>
      </c>
      <c r="B7078" t="s">
        <v>901</v>
      </c>
    </row>
    <row r="7079" spans="1:2">
      <c r="A7079" s="1" t="s">
        <v>7325</v>
      </c>
      <c r="B7079" t="s">
        <v>901</v>
      </c>
    </row>
    <row r="7080" spans="1:2">
      <c r="A7080" s="1" t="s">
        <v>7326</v>
      </c>
      <c r="B7080" t="s">
        <v>901</v>
      </c>
    </row>
    <row r="7081" spans="1:2">
      <c r="A7081" s="1" t="s">
        <v>7327</v>
      </c>
      <c r="B7081" t="s">
        <v>901</v>
      </c>
    </row>
    <row r="7082" spans="1:2">
      <c r="A7082" s="1" t="s">
        <v>7328</v>
      </c>
      <c r="B7082" t="s">
        <v>901</v>
      </c>
    </row>
    <row r="7083" spans="1:2">
      <c r="A7083" s="1" t="s">
        <v>7329</v>
      </c>
      <c r="B7083" t="s">
        <v>901</v>
      </c>
    </row>
    <row r="7084" spans="1:2">
      <c r="A7084" s="1" t="s">
        <v>7330</v>
      </c>
      <c r="B7084" t="s">
        <v>901</v>
      </c>
    </row>
    <row r="7085" spans="1:2">
      <c r="A7085" s="1" t="s">
        <v>7331</v>
      </c>
      <c r="B7085" t="s">
        <v>901</v>
      </c>
    </row>
    <row r="7086" spans="1:2">
      <c r="A7086" s="1" t="s">
        <v>7332</v>
      </c>
      <c r="B7086" t="s">
        <v>901</v>
      </c>
    </row>
    <row r="7087" spans="1:2">
      <c r="A7087" s="1" t="s">
        <v>7333</v>
      </c>
      <c r="B7087" t="s">
        <v>901</v>
      </c>
    </row>
    <row r="7088" spans="1:2">
      <c r="A7088" s="1" t="s">
        <v>7334</v>
      </c>
      <c r="B7088" t="s">
        <v>901</v>
      </c>
    </row>
    <row r="7089" spans="1:2">
      <c r="A7089" s="1" t="s">
        <v>7335</v>
      </c>
      <c r="B7089" t="s">
        <v>901</v>
      </c>
    </row>
    <row r="7090" spans="1:2">
      <c r="A7090" s="1" t="s">
        <v>7336</v>
      </c>
      <c r="B7090" t="s">
        <v>901</v>
      </c>
    </row>
    <row r="7091" spans="1:2">
      <c r="A7091" s="1" t="s">
        <v>7337</v>
      </c>
      <c r="B7091" t="s">
        <v>901</v>
      </c>
    </row>
    <row r="7092" spans="1:2">
      <c r="A7092" s="1" t="s">
        <v>7338</v>
      </c>
      <c r="B7092" t="s">
        <v>901</v>
      </c>
    </row>
    <row r="7093" spans="1:2">
      <c r="A7093" s="1" t="s">
        <v>7339</v>
      </c>
      <c r="B7093" t="s">
        <v>901</v>
      </c>
    </row>
    <row r="7094" spans="1:2">
      <c r="A7094" s="1" t="s">
        <v>7340</v>
      </c>
      <c r="B7094" t="s">
        <v>901</v>
      </c>
    </row>
    <row r="7095" spans="1:2">
      <c r="A7095" s="1" t="s">
        <v>7341</v>
      </c>
      <c r="B7095" t="s">
        <v>901</v>
      </c>
    </row>
    <row r="7096" spans="1:2">
      <c r="A7096" s="1" t="s">
        <v>7342</v>
      </c>
      <c r="B7096" t="s">
        <v>901</v>
      </c>
    </row>
    <row r="7097" spans="1:2">
      <c r="A7097" s="1" t="s">
        <v>7343</v>
      </c>
      <c r="B7097" t="s">
        <v>901</v>
      </c>
    </row>
    <row r="7098" spans="1:2">
      <c r="A7098" s="1" t="s">
        <v>7344</v>
      </c>
      <c r="B7098" t="s">
        <v>901</v>
      </c>
    </row>
    <row r="7099" spans="1:2">
      <c r="A7099" s="1" t="s">
        <v>7345</v>
      </c>
      <c r="B7099" t="s">
        <v>901</v>
      </c>
    </row>
    <row r="7100" spans="1:2">
      <c r="A7100" s="1" t="s">
        <v>7346</v>
      </c>
      <c r="B7100" t="s">
        <v>901</v>
      </c>
    </row>
    <row r="7101" spans="1:2">
      <c r="A7101" s="1" t="s">
        <v>7347</v>
      </c>
      <c r="B7101" t="s">
        <v>901</v>
      </c>
    </row>
    <row r="7102" spans="1:2">
      <c r="A7102" s="1" t="s">
        <v>7348</v>
      </c>
      <c r="B7102" t="s">
        <v>901</v>
      </c>
    </row>
    <row r="7103" spans="1:2">
      <c r="A7103" s="1" t="s">
        <v>7349</v>
      </c>
      <c r="B7103" t="s">
        <v>901</v>
      </c>
    </row>
    <row r="7104" spans="1:2">
      <c r="A7104" s="1" t="s">
        <v>7350</v>
      </c>
      <c r="B7104" t="s">
        <v>901</v>
      </c>
    </row>
    <row r="7105" spans="1:2">
      <c r="A7105" s="1" t="s">
        <v>7351</v>
      </c>
      <c r="B7105" t="s">
        <v>901</v>
      </c>
    </row>
    <row r="7106" spans="1:2">
      <c r="A7106" s="1" t="s">
        <v>7352</v>
      </c>
      <c r="B7106" t="s">
        <v>901</v>
      </c>
    </row>
    <row r="7107" spans="1:2">
      <c r="A7107" s="1" t="s">
        <v>7353</v>
      </c>
      <c r="B7107" t="s">
        <v>901</v>
      </c>
    </row>
    <row r="7108" spans="1:2">
      <c r="A7108" s="1" t="s">
        <v>7354</v>
      </c>
      <c r="B7108" t="s">
        <v>901</v>
      </c>
    </row>
    <row r="7109" spans="1:2">
      <c r="A7109" s="1" t="s">
        <v>7355</v>
      </c>
      <c r="B7109" t="s">
        <v>901</v>
      </c>
    </row>
    <row r="7110" spans="1:2">
      <c r="A7110" s="1" t="s">
        <v>7356</v>
      </c>
      <c r="B7110" t="s">
        <v>901</v>
      </c>
    </row>
    <row r="7111" spans="1:2">
      <c r="A7111" s="1" t="s">
        <v>7357</v>
      </c>
      <c r="B7111" t="s">
        <v>901</v>
      </c>
    </row>
    <row r="7112" spans="1:2">
      <c r="A7112" s="1" t="s">
        <v>7358</v>
      </c>
      <c r="B7112" t="s">
        <v>901</v>
      </c>
    </row>
    <row r="7113" spans="1:2">
      <c r="A7113" s="1" t="s">
        <v>7359</v>
      </c>
      <c r="B7113" t="s">
        <v>901</v>
      </c>
    </row>
    <row r="7114" spans="1:2">
      <c r="A7114" s="1" t="s">
        <v>7360</v>
      </c>
      <c r="B7114" t="s">
        <v>901</v>
      </c>
    </row>
    <row r="7115" spans="1:2">
      <c r="A7115" s="1" t="s">
        <v>7361</v>
      </c>
      <c r="B7115" t="s">
        <v>901</v>
      </c>
    </row>
    <row r="7116" spans="1:2">
      <c r="A7116" s="1" t="s">
        <v>7362</v>
      </c>
      <c r="B7116" t="s">
        <v>901</v>
      </c>
    </row>
    <row r="7117" spans="1:2">
      <c r="A7117" s="1" t="s">
        <v>7363</v>
      </c>
      <c r="B7117" t="s">
        <v>901</v>
      </c>
    </row>
    <row r="7118" spans="1:2">
      <c r="A7118" s="1" t="s">
        <v>7364</v>
      </c>
      <c r="B7118" t="s">
        <v>901</v>
      </c>
    </row>
    <row r="7119" spans="1:2">
      <c r="A7119" s="1" t="s">
        <v>7365</v>
      </c>
      <c r="B7119" t="s">
        <v>901</v>
      </c>
    </row>
    <row r="7120" spans="1:2">
      <c r="A7120" s="1" t="s">
        <v>7366</v>
      </c>
      <c r="B7120" t="s">
        <v>901</v>
      </c>
    </row>
    <row r="7121" spans="1:2">
      <c r="A7121" s="1" t="s">
        <v>7367</v>
      </c>
      <c r="B7121" t="s">
        <v>901</v>
      </c>
    </row>
    <row r="7122" spans="1:2">
      <c r="A7122" s="1" t="s">
        <v>7368</v>
      </c>
      <c r="B7122" t="s">
        <v>901</v>
      </c>
    </row>
    <row r="7123" spans="1:2">
      <c r="A7123" s="1" t="s">
        <v>7369</v>
      </c>
      <c r="B7123" t="s">
        <v>901</v>
      </c>
    </row>
    <row r="7124" spans="1:2">
      <c r="A7124" s="1" t="s">
        <v>7370</v>
      </c>
      <c r="B7124" t="s">
        <v>901</v>
      </c>
    </row>
    <row r="7125" spans="1:2">
      <c r="A7125" s="1" t="s">
        <v>7371</v>
      </c>
      <c r="B7125" t="s">
        <v>901</v>
      </c>
    </row>
    <row r="7126" spans="1:2">
      <c r="A7126" s="1" t="s">
        <v>7372</v>
      </c>
      <c r="B7126" t="s">
        <v>901</v>
      </c>
    </row>
    <row r="7127" spans="1:2">
      <c r="A7127" s="1" t="s">
        <v>7373</v>
      </c>
      <c r="B7127" t="s">
        <v>901</v>
      </c>
    </row>
    <row r="7128" spans="1:2">
      <c r="A7128" s="1" t="s">
        <v>7374</v>
      </c>
      <c r="B7128" t="s">
        <v>901</v>
      </c>
    </row>
    <row r="7129" spans="1:2">
      <c r="A7129" s="1" t="s">
        <v>7375</v>
      </c>
      <c r="B7129" t="s">
        <v>901</v>
      </c>
    </row>
    <row r="7130" spans="1:2">
      <c r="A7130" s="1" t="s">
        <v>7376</v>
      </c>
      <c r="B7130" t="s">
        <v>901</v>
      </c>
    </row>
    <row r="7131" spans="1:2">
      <c r="A7131" s="1" t="s">
        <v>7377</v>
      </c>
      <c r="B7131" t="s">
        <v>901</v>
      </c>
    </row>
    <row r="7132" spans="1:2">
      <c r="A7132" s="1" t="s">
        <v>7378</v>
      </c>
      <c r="B7132" t="s">
        <v>901</v>
      </c>
    </row>
    <row r="7133" spans="1:2">
      <c r="A7133" s="1" t="s">
        <v>7379</v>
      </c>
      <c r="B7133" t="s">
        <v>901</v>
      </c>
    </row>
    <row r="7134" spans="1:2">
      <c r="A7134" s="1" t="s">
        <v>7380</v>
      </c>
      <c r="B7134" t="s">
        <v>901</v>
      </c>
    </row>
    <row r="7135" spans="1:2">
      <c r="A7135" s="1" t="s">
        <v>7381</v>
      </c>
      <c r="B7135" t="s">
        <v>901</v>
      </c>
    </row>
    <row r="7136" spans="1:2">
      <c r="A7136" s="1" t="s">
        <v>7382</v>
      </c>
      <c r="B7136" t="s">
        <v>901</v>
      </c>
    </row>
    <row r="7137" spans="1:2">
      <c r="A7137" s="1" t="s">
        <v>7383</v>
      </c>
      <c r="B7137" t="s">
        <v>901</v>
      </c>
    </row>
    <row r="7138" spans="1:2">
      <c r="A7138" s="1" t="s">
        <v>7384</v>
      </c>
      <c r="B7138" t="s">
        <v>901</v>
      </c>
    </row>
    <row r="7139" spans="1:2">
      <c r="A7139" s="1" t="s">
        <v>7385</v>
      </c>
      <c r="B7139" t="s">
        <v>901</v>
      </c>
    </row>
    <row r="7140" spans="1:2">
      <c r="A7140" s="1" t="s">
        <v>7386</v>
      </c>
      <c r="B7140" t="s">
        <v>901</v>
      </c>
    </row>
    <row r="7141" spans="1:2">
      <c r="A7141" s="1" t="s">
        <v>7387</v>
      </c>
      <c r="B7141" t="s">
        <v>901</v>
      </c>
    </row>
    <row r="7142" spans="1:2">
      <c r="A7142" s="1" t="s">
        <v>7388</v>
      </c>
      <c r="B7142" t="s">
        <v>901</v>
      </c>
    </row>
    <row r="7143" spans="1:2">
      <c r="A7143" s="1" t="s">
        <v>7389</v>
      </c>
      <c r="B7143" t="s">
        <v>901</v>
      </c>
    </row>
    <row r="7144" spans="1:2">
      <c r="A7144" s="1" t="s">
        <v>7390</v>
      </c>
      <c r="B7144" t="s">
        <v>901</v>
      </c>
    </row>
    <row r="7145" spans="1:2">
      <c r="A7145" s="1" t="s">
        <v>7391</v>
      </c>
      <c r="B7145" t="s">
        <v>901</v>
      </c>
    </row>
    <row r="7146" spans="1:2">
      <c r="A7146" s="1" t="s">
        <v>7392</v>
      </c>
      <c r="B7146" t="s">
        <v>901</v>
      </c>
    </row>
    <row r="7147" spans="1:2">
      <c r="A7147" s="1" t="s">
        <v>7393</v>
      </c>
      <c r="B7147" t="s">
        <v>901</v>
      </c>
    </row>
    <row r="7148" spans="1:2">
      <c r="A7148" s="1" t="s">
        <v>7394</v>
      </c>
      <c r="B7148" t="s">
        <v>901</v>
      </c>
    </row>
    <row r="7149" spans="1:2">
      <c r="A7149" s="1" t="s">
        <v>7395</v>
      </c>
      <c r="B7149" t="s">
        <v>901</v>
      </c>
    </row>
    <row r="7150" spans="1:2">
      <c r="A7150" s="1" t="s">
        <v>7396</v>
      </c>
      <c r="B7150" t="s">
        <v>901</v>
      </c>
    </row>
    <row r="7151" spans="1:2">
      <c r="A7151" s="1" t="s">
        <v>7397</v>
      </c>
      <c r="B7151" t="s">
        <v>901</v>
      </c>
    </row>
    <row r="7152" spans="1:2">
      <c r="A7152" s="1" t="s">
        <v>7398</v>
      </c>
      <c r="B7152" t="s">
        <v>901</v>
      </c>
    </row>
    <row r="7153" spans="1:2">
      <c r="A7153" s="1" t="s">
        <v>7399</v>
      </c>
      <c r="B7153" t="s">
        <v>901</v>
      </c>
    </row>
    <row r="7154" spans="1:2">
      <c r="A7154" s="1" t="s">
        <v>7400</v>
      </c>
      <c r="B7154" t="s">
        <v>901</v>
      </c>
    </row>
    <row r="7155" spans="1:2">
      <c r="A7155" s="1" t="s">
        <v>7401</v>
      </c>
      <c r="B7155" t="s">
        <v>901</v>
      </c>
    </row>
    <row r="7156" spans="1:2">
      <c r="A7156" s="1" t="s">
        <v>7402</v>
      </c>
      <c r="B7156" t="s">
        <v>901</v>
      </c>
    </row>
    <row r="7157" spans="1:2">
      <c r="A7157" s="1" t="s">
        <v>7403</v>
      </c>
      <c r="B7157" t="s">
        <v>901</v>
      </c>
    </row>
    <row r="7158" spans="1:2">
      <c r="A7158" s="1" t="s">
        <v>7404</v>
      </c>
      <c r="B7158" t="s">
        <v>901</v>
      </c>
    </row>
    <row r="7159" spans="1:2">
      <c r="A7159" s="1" t="s">
        <v>7405</v>
      </c>
      <c r="B7159" t="s">
        <v>901</v>
      </c>
    </row>
    <row r="7160" spans="1:2">
      <c r="A7160" s="1" t="s">
        <v>7406</v>
      </c>
      <c r="B7160" t="s">
        <v>901</v>
      </c>
    </row>
    <row r="7161" spans="1:2">
      <c r="A7161" s="1" t="s">
        <v>7407</v>
      </c>
      <c r="B7161" t="s">
        <v>901</v>
      </c>
    </row>
    <row r="7162" spans="1:2">
      <c r="A7162" s="1" t="s">
        <v>7408</v>
      </c>
      <c r="B7162" t="s">
        <v>901</v>
      </c>
    </row>
    <row r="7163" spans="1:2">
      <c r="A7163" s="1" t="s">
        <v>7409</v>
      </c>
      <c r="B7163" t="s">
        <v>901</v>
      </c>
    </row>
    <row r="7164" spans="1:2">
      <c r="A7164" s="1" t="s">
        <v>7410</v>
      </c>
      <c r="B7164" t="s">
        <v>901</v>
      </c>
    </row>
    <row r="7165" spans="1:2">
      <c r="A7165" s="1" t="s">
        <v>7411</v>
      </c>
      <c r="B7165" t="s">
        <v>901</v>
      </c>
    </row>
    <row r="7166" spans="1:2">
      <c r="A7166" s="1" t="s">
        <v>7412</v>
      </c>
      <c r="B7166" t="s">
        <v>901</v>
      </c>
    </row>
    <row r="7167" spans="1:2">
      <c r="A7167" s="1" t="s">
        <v>7413</v>
      </c>
      <c r="B7167" t="s">
        <v>901</v>
      </c>
    </row>
    <row r="7168" spans="1:2">
      <c r="A7168" s="1" t="s">
        <v>7414</v>
      </c>
      <c r="B7168" t="s">
        <v>901</v>
      </c>
    </row>
    <row r="7169" spans="1:2">
      <c r="A7169" s="1" t="s">
        <v>7415</v>
      </c>
      <c r="B7169" t="s">
        <v>901</v>
      </c>
    </row>
    <row r="7170" spans="1:2">
      <c r="A7170" s="1" t="s">
        <v>7416</v>
      </c>
      <c r="B7170" t="s">
        <v>901</v>
      </c>
    </row>
    <row r="7171" spans="1:2">
      <c r="A7171" s="1" t="s">
        <v>7417</v>
      </c>
      <c r="B7171" t="s">
        <v>901</v>
      </c>
    </row>
    <row r="7172" spans="1:2">
      <c r="A7172" s="1" t="s">
        <v>7418</v>
      </c>
      <c r="B7172" t="s">
        <v>901</v>
      </c>
    </row>
    <row r="7173" spans="1:2">
      <c r="A7173" s="1" t="s">
        <v>7419</v>
      </c>
      <c r="B7173" t="s">
        <v>901</v>
      </c>
    </row>
    <row r="7174" spans="1:2">
      <c r="A7174" s="1" t="s">
        <v>7420</v>
      </c>
      <c r="B7174" t="s">
        <v>901</v>
      </c>
    </row>
    <row r="7175" spans="1:2">
      <c r="A7175" s="1" t="s">
        <v>7421</v>
      </c>
      <c r="B7175" t="s">
        <v>901</v>
      </c>
    </row>
    <row r="7176" spans="1:2">
      <c r="A7176" s="1" t="s">
        <v>7422</v>
      </c>
      <c r="B7176" t="s">
        <v>901</v>
      </c>
    </row>
    <row r="7177" spans="1:2">
      <c r="A7177" s="1" t="s">
        <v>7423</v>
      </c>
      <c r="B7177" t="s">
        <v>901</v>
      </c>
    </row>
    <row r="7178" spans="1:2">
      <c r="A7178" s="1" t="s">
        <v>7424</v>
      </c>
      <c r="B7178" t="s">
        <v>901</v>
      </c>
    </row>
    <row r="7179" spans="1:2">
      <c r="A7179" s="1" t="s">
        <v>7425</v>
      </c>
      <c r="B7179" t="s">
        <v>901</v>
      </c>
    </row>
    <row r="7180" spans="1:2">
      <c r="A7180" s="1" t="s">
        <v>7426</v>
      </c>
      <c r="B7180" t="s">
        <v>901</v>
      </c>
    </row>
    <row r="7181" spans="1:2">
      <c r="A7181" s="1" t="s">
        <v>7427</v>
      </c>
      <c r="B7181" t="s">
        <v>901</v>
      </c>
    </row>
    <row r="7182" spans="1:2">
      <c r="A7182" s="1" t="s">
        <v>7428</v>
      </c>
      <c r="B7182" t="s">
        <v>901</v>
      </c>
    </row>
    <row r="7183" spans="1:2">
      <c r="A7183" s="1" t="s">
        <v>7429</v>
      </c>
      <c r="B7183" t="s">
        <v>901</v>
      </c>
    </row>
    <row r="7184" spans="1:2">
      <c r="A7184" s="1" t="s">
        <v>7430</v>
      </c>
      <c r="B7184" t="s">
        <v>901</v>
      </c>
    </row>
    <row r="7185" spans="1:2">
      <c r="A7185" s="1" t="s">
        <v>7431</v>
      </c>
      <c r="B7185" t="s">
        <v>901</v>
      </c>
    </row>
    <row r="7186" spans="1:2">
      <c r="A7186" s="1" t="s">
        <v>7432</v>
      </c>
      <c r="B7186" t="s">
        <v>901</v>
      </c>
    </row>
    <row r="7187" spans="1:2">
      <c r="A7187" s="1" t="s">
        <v>7433</v>
      </c>
      <c r="B7187" t="s">
        <v>901</v>
      </c>
    </row>
    <row r="7188" spans="1:2">
      <c r="A7188" s="1" t="s">
        <v>7434</v>
      </c>
      <c r="B7188" t="s">
        <v>901</v>
      </c>
    </row>
    <row r="7189" spans="1:2">
      <c r="A7189" s="1" t="s">
        <v>7435</v>
      </c>
      <c r="B7189" t="s">
        <v>901</v>
      </c>
    </row>
    <row r="7190" spans="1:2">
      <c r="A7190" s="1" t="s">
        <v>7436</v>
      </c>
      <c r="B7190" t="s">
        <v>901</v>
      </c>
    </row>
    <row r="7191" spans="1:2">
      <c r="A7191" s="1" t="s">
        <v>7437</v>
      </c>
      <c r="B7191" t="s">
        <v>901</v>
      </c>
    </row>
    <row r="7192" spans="1:2">
      <c r="A7192" s="1" t="s">
        <v>7438</v>
      </c>
      <c r="B7192" t="s">
        <v>901</v>
      </c>
    </row>
    <row r="7193" spans="1:2">
      <c r="A7193" s="1" t="s">
        <v>7439</v>
      </c>
      <c r="B7193" t="s">
        <v>901</v>
      </c>
    </row>
    <row r="7194" spans="1:2">
      <c r="A7194" s="1" t="s">
        <v>7440</v>
      </c>
      <c r="B7194" t="s">
        <v>901</v>
      </c>
    </row>
    <row r="7195" spans="1:2">
      <c r="A7195" s="1" t="s">
        <v>7441</v>
      </c>
      <c r="B7195" t="s">
        <v>901</v>
      </c>
    </row>
    <row r="7196" spans="1:2">
      <c r="A7196" s="1" t="s">
        <v>7442</v>
      </c>
      <c r="B7196" t="s">
        <v>901</v>
      </c>
    </row>
    <row r="7197" spans="1:2">
      <c r="A7197" s="1" t="s">
        <v>7443</v>
      </c>
      <c r="B7197" t="s">
        <v>901</v>
      </c>
    </row>
    <row r="7198" spans="1:2">
      <c r="A7198" s="1" t="s">
        <v>7444</v>
      </c>
      <c r="B7198" t="s">
        <v>901</v>
      </c>
    </row>
    <row r="7199" spans="1:2">
      <c r="A7199" s="1" t="s">
        <v>7445</v>
      </c>
      <c r="B7199" t="s">
        <v>901</v>
      </c>
    </row>
    <row r="7200" spans="1:2">
      <c r="A7200" s="1" t="s">
        <v>7446</v>
      </c>
      <c r="B7200" t="s">
        <v>901</v>
      </c>
    </row>
    <row r="7201" spans="1:2">
      <c r="A7201" s="1" t="s">
        <v>7447</v>
      </c>
      <c r="B7201" t="s">
        <v>901</v>
      </c>
    </row>
    <row r="7202" spans="1:2">
      <c r="A7202" s="1" t="s">
        <v>7448</v>
      </c>
      <c r="B7202" t="s">
        <v>901</v>
      </c>
    </row>
    <row r="7203" spans="1:2">
      <c r="A7203" s="1" t="s">
        <v>7449</v>
      </c>
      <c r="B7203" t="s">
        <v>901</v>
      </c>
    </row>
    <row r="7204" spans="1:2">
      <c r="A7204" s="1" t="s">
        <v>7450</v>
      </c>
      <c r="B7204" t="s">
        <v>901</v>
      </c>
    </row>
    <row r="7205" spans="1:2">
      <c r="A7205" s="1" t="s">
        <v>7451</v>
      </c>
      <c r="B7205" t="s">
        <v>901</v>
      </c>
    </row>
    <row r="7206" spans="1:2">
      <c r="A7206" s="1" t="s">
        <v>7452</v>
      </c>
      <c r="B7206" t="s">
        <v>901</v>
      </c>
    </row>
    <row r="7207" spans="1:2">
      <c r="A7207" s="1" t="s">
        <v>7453</v>
      </c>
      <c r="B7207" t="s">
        <v>901</v>
      </c>
    </row>
    <row r="7208" spans="1:2">
      <c r="A7208" s="1" t="s">
        <v>7454</v>
      </c>
      <c r="B7208" t="s">
        <v>901</v>
      </c>
    </row>
    <row r="7209" spans="1:2">
      <c r="A7209" s="1" t="s">
        <v>7455</v>
      </c>
      <c r="B7209" t="s">
        <v>901</v>
      </c>
    </row>
    <row r="7210" spans="1:2">
      <c r="A7210" s="1" t="s">
        <v>7456</v>
      </c>
      <c r="B7210" t="s">
        <v>901</v>
      </c>
    </row>
    <row r="7211" spans="1:2">
      <c r="A7211" s="1" t="s">
        <v>7457</v>
      </c>
      <c r="B7211" t="s">
        <v>901</v>
      </c>
    </row>
    <row r="7212" spans="1:2">
      <c r="A7212" s="1" t="s">
        <v>7458</v>
      </c>
      <c r="B7212" t="s">
        <v>901</v>
      </c>
    </row>
    <row r="7213" spans="1:2">
      <c r="A7213" s="1" t="s">
        <v>7459</v>
      </c>
      <c r="B7213" t="s">
        <v>901</v>
      </c>
    </row>
    <row r="7214" spans="1:2">
      <c r="A7214" s="1" t="s">
        <v>7460</v>
      </c>
      <c r="B7214" t="s">
        <v>901</v>
      </c>
    </row>
    <row r="7215" spans="1:2">
      <c r="A7215" s="1" t="s">
        <v>7461</v>
      </c>
      <c r="B7215" t="s">
        <v>901</v>
      </c>
    </row>
    <row r="7216" spans="1:2">
      <c r="A7216" s="1" t="s">
        <v>7462</v>
      </c>
      <c r="B7216" t="s">
        <v>901</v>
      </c>
    </row>
    <row r="7217" spans="1:2">
      <c r="A7217" s="1" t="s">
        <v>7463</v>
      </c>
      <c r="B7217" t="s">
        <v>901</v>
      </c>
    </row>
    <row r="7218" spans="1:2">
      <c r="A7218" s="1" t="s">
        <v>7464</v>
      </c>
      <c r="B7218" t="s">
        <v>901</v>
      </c>
    </row>
    <row r="7219" spans="1:2">
      <c r="A7219" s="1" t="s">
        <v>7465</v>
      </c>
      <c r="B7219" t="s">
        <v>901</v>
      </c>
    </row>
    <row r="7220" spans="1:2">
      <c r="A7220" s="1" t="s">
        <v>7466</v>
      </c>
      <c r="B7220" t="s">
        <v>901</v>
      </c>
    </row>
    <row r="7221" spans="1:2">
      <c r="A7221" s="1" t="s">
        <v>7467</v>
      </c>
      <c r="B7221" t="s">
        <v>901</v>
      </c>
    </row>
    <row r="7222" spans="1:2">
      <c r="A7222" s="1" t="s">
        <v>7468</v>
      </c>
      <c r="B7222" t="s">
        <v>901</v>
      </c>
    </row>
    <row r="7223" spans="1:2">
      <c r="A7223" s="1" t="s">
        <v>7469</v>
      </c>
      <c r="B7223" t="s">
        <v>901</v>
      </c>
    </row>
    <row r="7224" spans="1:2">
      <c r="A7224" s="1" t="s">
        <v>7470</v>
      </c>
      <c r="B7224" t="s">
        <v>901</v>
      </c>
    </row>
    <row r="7225" spans="1:2">
      <c r="A7225" s="1" t="s">
        <v>7471</v>
      </c>
      <c r="B7225" t="s">
        <v>901</v>
      </c>
    </row>
    <row r="7226" spans="1:2">
      <c r="A7226" s="1" t="s">
        <v>7472</v>
      </c>
      <c r="B7226" t="s">
        <v>901</v>
      </c>
    </row>
    <row r="7227" spans="1:2">
      <c r="A7227" s="1" t="s">
        <v>7473</v>
      </c>
      <c r="B7227" t="s">
        <v>901</v>
      </c>
    </row>
    <row r="7228" spans="1:2">
      <c r="A7228" s="1" t="s">
        <v>7474</v>
      </c>
      <c r="B7228" t="s">
        <v>901</v>
      </c>
    </row>
    <row r="7229" spans="1:2">
      <c r="A7229" s="1" t="s">
        <v>7475</v>
      </c>
      <c r="B7229" t="s">
        <v>901</v>
      </c>
    </row>
    <row r="7230" spans="1:2">
      <c r="A7230" s="1" t="s">
        <v>7476</v>
      </c>
      <c r="B7230" t="s">
        <v>901</v>
      </c>
    </row>
    <row r="7231" spans="1:2">
      <c r="A7231" s="1" t="s">
        <v>7477</v>
      </c>
      <c r="B7231" t="s">
        <v>901</v>
      </c>
    </row>
    <row r="7232" spans="1:2">
      <c r="A7232" s="1" t="s">
        <v>7478</v>
      </c>
      <c r="B7232" t="s">
        <v>901</v>
      </c>
    </row>
    <row r="7233" spans="1:2">
      <c r="A7233" s="1" t="s">
        <v>7479</v>
      </c>
      <c r="B7233" t="s">
        <v>901</v>
      </c>
    </row>
    <row r="7234" spans="1:2">
      <c r="A7234" s="1" t="s">
        <v>7480</v>
      </c>
      <c r="B7234" t="s">
        <v>901</v>
      </c>
    </row>
    <row r="7235" spans="1:2">
      <c r="A7235" s="1" t="s">
        <v>7481</v>
      </c>
      <c r="B7235" t="s">
        <v>901</v>
      </c>
    </row>
    <row r="7236" spans="1:2">
      <c r="A7236" s="1" t="s">
        <v>7482</v>
      </c>
      <c r="B7236" t="s">
        <v>901</v>
      </c>
    </row>
    <row r="7237" spans="1:2">
      <c r="A7237" s="1" t="s">
        <v>7483</v>
      </c>
      <c r="B7237" t="s">
        <v>901</v>
      </c>
    </row>
    <row r="7238" spans="1:2">
      <c r="A7238" s="1" t="s">
        <v>7484</v>
      </c>
      <c r="B7238" t="s">
        <v>901</v>
      </c>
    </row>
    <row r="7239" spans="1:2">
      <c r="A7239" s="1" t="s">
        <v>7485</v>
      </c>
      <c r="B7239" t="s">
        <v>901</v>
      </c>
    </row>
    <row r="7240" spans="1:2">
      <c r="A7240" s="1" t="s">
        <v>7486</v>
      </c>
      <c r="B7240" t="s">
        <v>901</v>
      </c>
    </row>
    <row r="7241" spans="1:2">
      <c r="A7241" s="1" t="s">
        <v>7487</v>
      </c>
      <c r="B7241" t="s">
        <v>901</v>
      </c>
    </row>
    <row r="7242" spans="1:2">
      <c r="A7242" s="1" t="s">
        <v>7488</v>
      </c>
      <c r="B7242" t="s">
        <v>901</v>
      </c>
    </row>
    <row r="7243" spans="1:2">
      <c r="A7243" s="1" t="s">
        <v>7489</v>
      </c>
      <c r="B7243" t="s">
        <v>901</v>
      </c>
    </row>
    <row r="7244" spans="1:2">
      <c r="A7244" s="1" t="s">
        <v>7490</v>
      </c>
      <c r="B7244" t="s">
        <v>901</v>
      </c>
    </row>
    <row r="7245" spans="1:2">
      <c r="A7245" s="1" t="s">
        <v>7491</v>
      </c>
      <c r="B7245" t="s">
        <v>901</v>
      </c>
    </row>
    <row r="7246" spans="1:2">
      <c r="A7246" s="1" t="s">
        <v>7492</v>
      </c>
      <c r="B7246" t="s">
        <v>901</v>
      </c>
    </row>
    <row r="7247" spans="1:2">
      <c r="A7247" s="1" t="s">
        <v>7493</v>
      </c>
      <c r="B7247" t="s">
        <v>901</v>
      </c>
    </row>
    <row r="7248" spans="1:2">
      <c r="A7248" s="1" t="s">
        <v>7494</v>
      </c>
      <c r="B7248" t="s">
        <v>901</v>
      </c>
    </row>
    <row r="7249" spans="1:2">
      <c r="A7249" s="1" t="s">
        <v>7495</v>
      </c>
      <c r="B7249" t="s">
        <v>901</v>
      </c>
    </row>
    <row r="7250" spans="1:2">
      <c r="A7250" s="1" t="s">
        <v>7496</v>
      </c>
      <c r="B7250" t="s">
        <v>901</v>
      </c>
    </row>
    <row r="7251" spans="1:2">
      <c r="A7251" s="1" t="s">
        <v>7497</v>
      </c>
      <c r="B7251" t="s">
        <v>901</v>
      </c>
    </row>
    <row r="7252" spans="1:2">
      <c r="A7252" s="1" t="s">
        <v>7498</v>
      </c>
      <c r="B7252" t="s">
        <v>901</v>
      </c>
    </row>
    <row r="7253" spans="1:2">
      <c r="A7253" s="1" t="s">
        <v>7499</v>
      </c>
      <c r="B7253" t="s">
        <v>901</v>
      </c>
    </row>
    <row r="7254" spans="1:2">
      <c r="A7254" s="1" t="s">
        <v>7500</v>
      </c>
      <c r="B7254" t="s">
        <v>901</v>
      </c>
    </row>
    <row r="7255" spans="1:2">
      <c r="A7255" s="1" t="s">
        <v>7501</v>
      </c>
      <c r="B7255" t="s">
        <v>901</v>
      </c>
    </row>
    <row r="7256" spans="1:2">
      <c r="A7256" s="1" t="s">
        <v>7502</v>
      </c>
      <c r="B7256" t="s">
        <v>901</v>
      </c>
    </row>
    <row r="7257" spans="1:2">
      <c r="A7257" s="1" t="s">
        <v>7503</v>
      </c>
      <c r="B7257" t="s">
        <v>901</v>
      </c>
    </row>
    <row r="7258" spans="1:2">
      <c r="A7258" s="1" t="s">
        <v>7504</v>
      </c>
      <c r="B7258" t="s">
        <v>901</v>
      </c>
    </row>
    <row r="7259" spans="1:2">
      <c r="A7259" s="1" t="s">
        <v>7505</v>
      </c>
      <c r="B7259" t="s">
        <v>901</v>
      </c>
    </row>
    <row r="7260" spans="1:2">
      <c r="A7260" s="1" t="s">
        <v>7506</v>
      </c>
      <c r="B7260" t="s">
        <v>901</v>
      </c>
    </row>
    <row r="7261" spans="1:2">
      <c r="A7261" s="1" t="s">
        <v>7507</v>
      </c>
      <c r="B7261" t="s">
        <v>901</v>
      </c>
    </row>
    <row r="7262" spans="1:2">
      <c r="A7262" s="1" t="s">
        <v>7508</v>
      </c>
      <c r="B7262" t="s">
        <v>901</v>
      </c>
    </row>
    <row r="7263" spans="1:2">
      <c r="A7263" s="1" t="s">
        <v>7509</v>
      </c>
      <c r="B7263" t="s">
        <v>901</v>
      </c>
    </row>
    <row r="7264" spans="1:2">
      <c r="A7264" s="1" t="s">
        <v>7510</v>
      </c>
      <c r="B7264" t="s">
        <v>901</v>
      </c>
    </row>
    <row r="7265" spans="1:2">
      <c r="A7265" s="1" t="s">
        <v>7511</v>
      </c>
      <c r="B7265" t="s">
        <v>901</v>
      </c>
    </row>
    <row r="7266" spans="1:2">
      <c r="A7266" s="1" t="s">
        <v>7512</v>
      </c>
      <c r="B7266" t="s">
        <v>901</v>
      </c>
    </row>
    <row r="7267" spans="1:2">
      <c r="A7267" s="1" t="s">
        <v>7513</v>
      </c>
      <c r="B7267" t="s">
        <v>901</v>
      </c>
    </row>
    <row r="7268" spans="1:2">
      <c r="A7268" s="1" t="s">
        <v>7514</v>
      </c>
      <c r="B7268" t="s">
        <v>901</v>
      </c>
    </row>
    <row r="7269" spans="1:2">
      <c r="A7269" s="1" t="s">
        <v>7515</v>
      </c>
      <c r="B7269" t="s">
        <v>901</v>
      </c>
    </row>
    <row r="7270" spans="1:2">
      <c r="A7270" s="1" t="s">
        <v>7516</v>
      </c>
      <c r="B7270" t="s">
        <v>901</v>
      </c>
    </row>
    <row r="7271" spans="1:2">
      <c r="A7271" s="1" t="s">
        <v>7517</v>
      </c>
      <c r="B7271" t="s">
        <v>901</v>
      </c>
    </row>
    <row r="7272" spans="1:2">
      <c r="A7272" s="1" t="s">
        <v>7518</v>
      </c>
      <c r="B7272" t="s">
        <v>901</v>
      </c>
    </row>
    <row r="7273" spans="1:2">
      <c r="A7273" s="1" t="s">
        <v>7519</v>
      </c>
      <c r="B7273" t="s">
        <v>901</v>
      </c>
    </row>
    <row r="7274" spans="1:2">
      <c r="A7274" s="1" t="s">
        <v>7520</v>
      </c>
      <c r="B7274" t="s">
        <v>901</v>
      </c>
    </row>
    <row r="7275" spans="1:2">
      <c r="A7275" s="1" t="s">
        <v>7521</v>
      </c>
      <c r="B7275" t="s">
        <v>901</v>
      </c>
    </row>
    <row r="7276" spans="1:2">
      <c r="A7276" s="1" t="s">
        <v>7522</v>
      </c>
      <c r="B7276" t="s">
        <v>901</v>
      </c>
    </row>
    <row r="7277" spans="1:2">
      <c r="A7277" s="1" t="s">
        <v>7523</v>
      </c>
      <c r="B7277" t="s">
        <v>901</v>
      </c>
    </row>
    <row r="7278" spans="1:2">
      <c r="A7278" s="1" t="s">
        <v>7524</v>
      </c>
      <c r="B7278" t="s">
        <v>901</v>
      </c>
    </row>
    <row r="7279" spans="1:2">
      <c r="A7279" s="1" t="s">
        <v>7525</v>
      </c>
      <c r="B7279" t="s">
        <v>901</v>
      </c>
    </row>
    <row r="7280" spans="1:2">
      <c r="A7280" s="1" t="s">
        <v>7526</v>
      </c>
      <c r="B7280" t="s">
        <v>901</v>
      </c>
    </row>
    <row r="7281" spans="1:2">
      <c r="A7281" s="1" t="s">
        <v>7527</v>
      </c>
      <c r="B7281" t="s">
        <v>901</v>
      </c>
    </row>
    <row r="7282" spans="1:2">
      <c r="A7282" s="1" t="s">
        <v>7528</v>
      </c>
      <c r="B7282" t="s">
        <v>901</v>
      </c>
    </row>
    <row r="7283" spans="1:2">
      <c r="A7283" s="1" t="s">
        <v>7529</v>
      </c>
      <c r="B7283" t="s">
        <v>901</v>
      </c>
    </row>
    <row r="7284" spans="1:2">
      <c r="A7284" s="1" t="s">
        <v>7530</v>
      </c>
      <c r="B7284" t="s">
        <v>901</v>
      </c>
    </row>
    <row r="7285" spans="1:2">
      <c r="A7285" s="1" t="s">
        <v>7531</v>
      </c>
      <c r="B7285" t="s">
        <v>901</v>
      </c>
    </row>
    <row r="7286" spans="1:2">
      <c r="A7286" s="1" t="s">
        <v>7532</v>
      </c>
      <c r="B7286" t="s">
        <v>901</v>
      </c>
    </row>
    <row r="7287" spans="1:2">
      <c r="A7287" s="1" t="s">
        <v>7533</v>
      </c>
      <c r="B7287" t="s">
        <v>901</v>
      </c>
    </row>
    <row r="7288" spans="1:2">
      <c r="A7288" s="1" t="s">
        <v>7534</v>
      </c>
      <c r="B7288" t="s">
        <v>901</v>
      </c>
    </row>
    <row r="7289" spans="1:2">
      <c r="A7289" s="1" t="s">
        <v>7535</v>
      </c>
      <c r="B7289" t="s">
        <v>901</v>
      </c>
    </row>
    <row r="7290" spans="1:2">
      <c r="A7290" s="1" t="s">
        <v>7536</v>
      </c>
      <c r="B7290" t="s">
        <v>901</v>
      </c>
    </row>
    <row r="7291" spans="1:2">
      <c r="A7291" s="1" t="s">
        <v>7537</v>
      </c>
      <c r="B7291" t="s">
        <v>901</v>
      </c>
    </row>
    <row r="7292" spans="1:2">
      <c r="A7292" s="1" t="s">
        <v>7538</v>
      </c>
      <c r="B7292" t="s">
        <v>901</v>
      </c>
    </row>
    <row r="7293" spans="1:2">
      <c r="A7293" s="1" t="s">
        <v>7539</v>
      </c>
      <c r="B7293" t="s">
        <v>901</v>
      </c>
    </row>
    <row r="7294" spans="1:2">
      <c r="A7294" s="1" t="s">
        <v>7540</v>
      </c>
      <c r="B7294" t="s">
        <v>901</v>
      </c>
    </row>
    <row r="7295" spans="1:2">
      <c r="A7295" s="1" t="s">
        <v>7541</v>
      </c>
      <c r="B7295" t="s">
        <v>901</v>
      </c>
    </row>
    <row r="7296" spans="1:2">
      <c r="A7296" s="1" t="s">
        <v>7542</v>
      </c>
      <c r="B7296" t="s">
        <v>901</v>
      </c>
    </row>
    <row r="7297" spans="1:2">
      <c r="A7297" s="1" t="s">
        <v>7543</v>
      </c>
      <c r="B7297" t="s">
        <v>901</v>
      </c>
    </row>
    <row r="7298" spans="1:2">
      <c r="A7298" s="1" t="s">
        <v>7544</v>
      </c>
      <c r="B7298" t="s">
        <v>901</v>
      </c>
    </row>
    <row r="7299" spans="1:2">
      <c r="A7299" s="1" t="s">
        <v>7545</v>
      </c>
      <c r="B7299" t="s">
        <v>901</v>
      </c>
    </row>
    <row r="7300" spans="1:2">
      <c r="A7300" s="1" t="s">
        <v>7546</v>
      </c>
      <c r="B7300" t="s">
        <v>901</v>
      </c>
    </row>
    <row r="7301" spans="1:2">
      <c r="A7301" s="1" t="s">
        <v>7547</v>
      </c>
      <c r="B7301" t="s">
        <v>901</v>
      </c>
    </row>
    <row r="7302" spans="1:2">
      <c r="A7302" s="1" t="s">
        <v>7548</v>
      </c>
      <c r="B7302" t="s">
        <v>901</v>
      </c>
    </row>
    <row r="7303" spans="1:2">
      <c r="A7303" s="1" t="s">
        <v>7549</v>
      </c>
      <c r="B7303" t="s">
        <v>901</v>
      </c>
    </row>
    <row r="7304" spans="1:2">
      <c r="A7304" s="1" t="s">
        <v>7550</v>
      </c>
      <c r="B7304" t="s">
        <v>901</v>
      </c>
    </row>
    <row r="7305" spans="1:2">
      <c r="A7305" s="1" t="s">
        <v>7551</v>
      </c>
      <c r="B7305" t="s">
        <v>901</v>
      </c>
    </row>
    <row r="7306" spans="1:2">
      <c r="A7306" s="1" t="s">
        <v>7552</v>
      </c>
      <c r="B7306" t="s">
        <v>901</v>
      </c>
    </row>
    <row r="7307" spans="1:2">
      <c r="A7307" s="1" t="s">
        <v>7553</v>
      </c>
      <c r="B7307" t="s">
        <v>901</v>
      </c>
    </row>
    <row r="7308" spans="1:2">
      <c r="A7308" s="1" t="s">
        <v>7554</v>
      </c>
      <c r="B7308" t="s">
        <v>901</v>
      </c>
    </row>
    <row r="7309" spans="1:2">
      <c r="A7309" s="1" t="s">
        <v>7555</v>
      </c>
      <c r="B7309" t="s">
        <v>901</v>
      </c>
    </row>
    <row r="7310" spans="1:2">
      <c r="A7310" s="1" t="s">
        <v>7556</v>
      </c>
      <c r="B7310" t="s">
        <v>901</v>
      </c>
    </row>
    <row r="7311" spans="1:2">
      <c r="A7311" s="1" t="s">
        <v>7557</v>
      </c>
      <c r="B7311" t="s">
        <v>901</v>
      </c>
    </row>
    <row r="7312" spans="1:2">
      <c r="A7312" s="1" t="s">
        <v>7558</v>
      </c>
      <c r="B7312" t="s">
        <v>901</v>
      </c>
    </row>
    <row r="7313" spans="1:2">
      <c r="A7313" s="1" t="s">
        <v>7559</v>
      </c>
      <c r="B7313" t="s">
        <v>901</v>
      </c>
    </row>
    <row r="7314" spans="1:2">
      <c r="A7314" s="1" t="s">
        <v>7560</v>
      </c>
      <c r="B7314" t="s">
        <v>901</v>
      </c>
    </row>
    <row r="7315" spans="1:2">
      <c r="A7315" s="1" t="s">
        <v>7561</v>
      </c>
      <c r="B7315" t="s">
        <v>901</v>
      </c>
    </row>
    <row r="7316" spans="1:2">
      <c r="A7316" s="1" t="s">
        <v>7562</v>
      </c>
      <c r="B7316" t="s">
        <v>901</v>
      </c>
    </row>
    <row r="7317" spans="1:2">
      <c r="A7317" s="1" t="s">
        <v>7563</v>
      </c>
      <c r="B7317" t="s">
        <v>901</v>
      </c>
    </row>
    <row r="7318" spans="1:2">
      <c r="A7318" s="1" t="s">
        <v>7564</v>
      </c>
      <c r="B7318" t="s">
        <v>901</v>
      </c>
    </row>
    <row r="7319" spans="1:2">
      <c r="A7319" s="1" t="s">
        <v>7565</v>
      </c>
      <c r="B7319" t="s">
        <v>901</v>
      </c>
    </row>
    <row r="7320" spans="1:2">
      <c r="A7320" s="1" t="s">
        <v>7566</v>
      </c>
      <c r="B7320" t="s">
        <v>901</v>
      </c>
    </row>
    <row r="7321" spans="1:2">
      <c r="A7321" s="1" t="s">
        <v>7567</v>
      </c>
      <c r="B7321" t="s">
        <v>901</v>
      </c>
    </row>
    <row r="7322" spans="1:2">
      <c r="A7322" s="1" t="s">
        <v>7568</v>
      </c>
      <c r="B7322" t="s">
        <v>901</v>
      </c>
    </row>
    <row r="7323" spans="1:2">
      <c r="A7323" s="1" t="s">
        <v>7569</v>
      </c>
      <c r="B7323" t="s">
        <v>901</v>
      </c>
    </row>
    <row r="7324" spans="1:2">
      <c r="A7324" s="1" t="s">
        <v>7570</v>
      </c>
      <c r="B7324" t="s">
        <v>901</v>
      </c>
    </row>
    <row r="7325" spans="1:2">
      <c r="A7325" s="1" t="s">
        <v>7571</v>
      </c>
      <c r="B7325" t="s">
        <v>901</v>
      </c>
    </row>
    <row r="7326" spans="1:2">
      <c r="A7326" s="1" t="s">
        <v>7572</v>
      </c>
      <c r="B7326" t="s">
        <v>901</v>
      </c>
    </row>
    <row r="7327" spans="1:2">
      <c r="A7327" s="1" t="s">
        <v>7573</v>
      </c>
      <c r="B7327" t="s">
        <v>901</v>
      </c>
    </row>
    <row r="7328" spans="1:2">
      <c r="A7328" s="1" t="s">
        <v>7574</v>
      </c>
      <c r="B7328" t="s">
        <v>901</v>
      </c>
    </row>
    <row r="7329" spans="1:2">
      <c r="A7329" s="1" t="s">
        <v>7575</v>
      </c>
      <c r="B7329" t="s">
        <v>901</v>
      </c>
    </row>
    <row r="7330" spans="1:2">
      <c r="A7330" s="1" t="s">
        <v>7576</v>
      </c>
      <c r="B7330" t="s">
        <v>901</v>
      </c>
    </row>
    <row r="7331" spans="1:2">
      <c r="A7331" s="1" t="s">
        <v>7577</v>
      </c>
      <c r="B7331" t="s">
        <v>901</v>
      </c>
    </row>
    <row r="7332" spans="1:2">
      <c r="A7332" s="1" t="s">
        <v>7578</v>
      </c>
      <c r="B7332" t="s">
        <v>901</v>
      </c>
    </row>
    <row r="7333" spans="1:2">
      <c r="A7333" s="1" t="s">
        <v>7579</v>
      </c>
      <c r="B7333" t="s">
        <v>901</v>
      </c>
    </row>
    <row r="7334" spans="1:2">
      <c r="A7334" s="1" t="s">
        <v>7580</v>
      </c>
      <c r="B7334" t="s">
        <v>901</v>
      </c>
    </row>
    <row r="7335" spans="1:2">
      <c r="A7335" s="1" t="s">
        <v>7581</v>
      </c>
      <c r="B7335" t="s">
        <v>901</v>
      </c>
    </row>
    <row r="7336" spans="1:2">
      <c r="A7336" s="1" t="s">
        <v>7582</v>
      </c>
      <c r="B7336" t="s">
        <v>901</v>
      </c>
    </row>
    <row r="7337" spans="1:2">
      <c r="A7337" s="1" t="s">
        <v>7583</v>
      </c>
      <c r="B7337" t="s">
        <v>901</v>
      </c>
    </row>
    <row r="7338" spans="1:2">
      <c r="A7338" s="1" t="s">
        <v>7584</v>
      </c>
      <c r="B7338" t="s">
        <v>901</v>
      </c>
    </row>
    <row r="7339" spans="1:2">
      <c r="A7339" s="1" t="s">
        <v>7585</v>
      </c>
      <c r="B7339" t="s">
        <v>901</v>
      </c>
    </row>
    <row r="7340" spans="1:2">
      <c r="A7340" s="1" t="s">
        <v>7586</v>
      </c>
      <c r="B7340" t="s">
        <v>901</v>
      </c>
    </row>
    <row r="7341" spans="1:2">
      <c r="A7341" s="1" t="s">
        <v>7587</v>
      </c>
      <c r="B7341" t="s">
        <v>901</v>
      </c>
    </row>
    <row r="7342" spans="1:2">
      <c r="A7342" s="1" t="s">
        <v>7588</v>
      </c>
      <c r="B7342" t="s">
        <v>901</v>
      </c>
    </row>
    <row r="7343" spans="1:2">
      <c r="A7343" s="1" t="s">
        <v>7589</v>
      </c>
      <c r="B7343" t="s">
        <v>901</v>
      </c>
    </row>
    <row r="7344" spans="1:2">
      <c r="A7344" s="1" t="s">
        <v>7590</v>
      </c>
      <c r="B7344" t="s">
        <v>901</v>
      </c>
    </row>
    <row r="7345" spans="1:2">
      <c r="A7345" s="1" t="s">
        <v>7591</v>
      </c>
      <c r="B7345" t="s">
        <v>901</v>
      </c>
    </row>
    <row r="7346" spans="1:2">
      <c r="A7346" s="1" t="s">
        <v>7592</v>
      </c>
      <c r="B7346" t="s">
        <v>901</v>
      </c>
    </row>
    <row r="7347" spans="1:2">
      <c r="A7347" s="1" t="s">
        <v>7593</v>
      </c>
      <c r="B7347" t="s">
        <v>901</v>
      </c>
    </row>
    <row r="7348" spans="1:2">
      <c r="A7348" s="1" t="s">
        <v>7594</v>
      </c>
      <c r="B7348" t="s">
        <v>901</v>
      </c>
    </row>
    <row r="7349" spans="1:2">
      <c r="A7349" s="1" t="s">
        <v>7595</v>
      </c>
      <c r="B7349" t="s">
        <v>901</v>
      </c>
    </row>
    <row r="7350" spans="1:2">
      <c r="A7350" s="1" t="s">
        <v>7596</v>
      </c>
      <c r="B7350" t="s">
        <v>901</v>
      </c>
    </row>
    <row r="7351" spans="1:2">
      <c r="A7351" s="1" t="s">
        <v>7597</v>
      </c>
      <c r="B7351" t="s">
        <v>901</v>
      </c>
    </row>
    <row r="7352" spans="1:2">
      <c r="A7352" s="1" t="s">
        <v>7598</v>
      </c>
      <c r="B7352" t="s">
        <v>901</v>
      </c>
    </row>
    <row r="7353" spans="1:2">
      <c r="A7353" s="1" t="s">
        <v>7599</v>
      </c>
      <c r="B7353" t="s">
        <v>901</v>
      </c>
    </row>
    <row r="7354" spans="1:2">
      <c r="A7354" s="1" t="s">
        <v>7600</v>
      </c>
      <c r="B7354" t="s">
        <v>901</v>
      </c>
    </row>
    <row r="7355" spans="1:2">
      <c r="A7355" s="1" t="s">
        <v>7601</v>
      </c>
      <c r="B7355" t="s">
        <v>901</v>
      </c>
    </row>
    <row r="7356" spans="1:2">
      <c r="A7356" s="1" t="s">
        <v>7602</v>
      </c>
      <c r="B7356" t="s">
        <v>901</v>
      </c>
    </row>
    <row r="7357" spans="1:2">
      <c r="A7357" s="1" t="s">
        <v>7603</v>
      </c>
      <c r="B7357" t="s">
        <v>901</v>
      </c>
    </row>
    <row r="7358" spans="1:2">
      <c r="A7358" s="1" t="s">
        <v>7604</v>
      </c>
      <c r="B7358" t="s">
        <v>901</v>
      </c>
    </row>
    <row r="7359" spans="1:2">
      <c r="A7359" s="1" t="s">
        <v>7605</v>
      </c>
      <c r="B7359" t="s">
        <v>901</v>
      </c>
    </row>
    <row r="7360" spans="1:2">
      <c r="A7360" s="1" t="s">
        <v>7606</v>
      </c>
      <c r="B7360" t="s">
        <v>901</v>
      </c>
    </row>
    <row r="7361" spans="1:2">
      <c r="A7361" s="1" t="s">
        <v>7607</v>
      </c>
      <c r="B7361" t="s">
        <v>901</v>
      </c>
    </row>
    <row r="7362" spans="1:2">
      <c r="A7362" s="1" t="s">
        <v>7608</v>
      </c>
      <c r="B7362" t="s">
        <v>901</v>
      </c>
    </row>
    <row r="7363" spans="1:2">
      <c r="A7363" s="1" t="s">
        <v>7609</v>
      </c>
      <c r="B7363" t="s">
        <v>901</v>
      </c>
    </row>
    <row r="7364" spans="1:2">
      <c r="A7364" s="1" t="s">
        <v>7610</v>
      </c>
      <c r="B7364" t="s">
        <v>901</v>
      </c>
    </row>
    <row r="7365" spans="1:2">
      <c r="A7365" s="1" t="s">
        <v>7611</v>
      </c>
      <c r="B7365" t="s">
        <v>901</v>
      </c>
    </row>
    <row r="7366" spans="1:2">
      <c r="A7366" s="1" t="s">
        <v>7612</v>
      </c>
      <c r="B7366" t="s">
        <v>901</v>
      </c>
    </row>
    <row r="7367" spans="1:2">
      <c r="A7367" s="1" t="s">
        <v>7613</v>
      </c>
      <c r="B7367" t="s">
        <v>901</v>
      </c>
    </row>
    <row r="7368" spans="1:2">
      <c r="A7368" s="1" t="s">
        <v>7614</v>
      </c>
      <c r="B7368" t="s">
        <v>901</v>
      </c>
    </row>
    <row r="7369" spans="1:2">
      <c r="A7369" s="1" t="s">
        <v>7615</v>
      </c>
      <c r="B7369" t="s">
        <v>901</v>
      </c>
    </row>
    <row r="7370" spans="1:2">
      <c r="A7370" s="1" t="s">
        <v>7616</v>
      </c>
      <c r="B7370" t="s">
        <v>901</v>
      </c>
    </row>
    <row r="7371" spans="1:2">
      <c r="A7371" s="1" t="s">
        <v>7617</v>
      </c>
      <c r="B7371" t="s">
        <v>901</v>
      </c>
    </row>
    <row r="7372" spans="1:2">
      <c r="A7372" s="1" t="s">
        <v>7618</v>
      </c>
      <c r="B7372" t="s">
        <v>901</v>
      </c>
    </row>
    <row r="7373" spans="1:2">
      <c r="A7373" s="1" t="s">
        <v>7619</v>
      </c>
      <c r="B7373" t="s">
        <v>901</v>
      </c>
    </row>
    <row r="7374" spans="1:2">
      <c r="A7374" s="1" t="s">
        <v>7620</v>
      </c>
      <c r="B7374" t="s">
        <v>901</v>
      </c>
    </row>
    <row r="7375" spans="1:2">
      <c r="A7375" s="1" t="s">
        <v>7621</v>
      </c>
      <c r="B7375" t="s">
        <v>901</v>
      </c>
    </row>
    <row r="7376" spans="1:2">
      <c r="A7376" s="1" t="s">
        <v>7622</v>
      </c>
      <c r="B7376" t="s">
        <v>901</v>
      </c>
    </row>
    <row r="7377" spans="1:2">
      <c r="A7377" s="1" t="s">
        <v>7623</v>
      </c>
      <c r="B7377" t="s">
        <v>901</v>
      </c>
    </row>
    <row r="7378" spans="1:2">
      <c r="A7378" s="1" t="s">
        <v>7624</v>
      </c>
      <c r="B7378" t="s">
        <v>901</v>
      </c>
    </row>
    <row r="7379" spans="1:2">
      <c r="A7379" s="1" t="s">
        <v>7625</v>
      </c>
      <c r="B7379" t="s">
        <v>901</v>
      </c>
    </row>
    <row r="7380" spans="1:2">
      <c r="A7380" s="1" t="s">
        <v>7626</v>
      </c>
      <c r="B7380" t="s">
        <v>901</v>
      </c>
    </row>
    <row r="7381" spans="1:2">
      <c r="A7381" s="1" t="s">
        <v>7627</v>
      </c>
      <c r="B7381" t="s">
        <v>901</v>
      </c>
    </row>
    <row r="7382" spans="1:2">
      <c r="A7382" s="1" t="s">
        <v>7628</v>
      </c>
      <c r="B7382" t="s">
        <v>901</v>
      </c>
    </row>
    <row r="7383" spans="1:2">
      <c r="A7383" s="1" t="s">
        <v>7629</v>
      </c>
      <c r="B7383" t="s">
        <v>901</v>
      </c>
    </row>
    <row r="7384" spans="1:2">
      <c r="A7384" s="1" t="s">
        <v>7630</v>
      </c>
      <c r="B7384" t="s">
        <v>901</v>
      </c>
    </row>
    <row r="7385" spans="1:2">
      <c r="A7385" s="1" t="s">
        <v>7631</v>
      </c>
      <c r="B7385" t="s">
        <v>901</v>
      </c>
    </row>
    <row r="7386" spans="1:2">
      <c r="A7386" s="1" t="s">
        <v>7632</v>
      </c>
      <c r="B7386" t="s">
        <v>901</v>
      </c>
    </row>
    <row r="7387" spans="1:2">
      <c r="A7387" s="1" t="s">
        <v>7633</v>
      </c>
      <c r="B7387" t="s">
        <v>901</v>
      </c>
    </row>
    <row r="7388" spans="1:2">
      <c r="A7388" s="1" t="s">
        <v>7634</v>
      </c>
      <c r="B7388" t="s">
        <v>901</v>
      </c>
    </row>
    <row r="7389" spans="1:2">
      <c r="A7389" s="1" t="s">
        <v>7635</v>
      </c>
      <c r="B7389" t="s">
        <v>901</v>
      </c>
    </row>
    <row r="7390" spans="1:2">
      <c r="A7390" s="1" t="s">
        <v>7636</v>
      </c>
      <c r="B7390" t="s">
        <v>901</v>
      </c>
    </row>
    <row r="7391" spans="1:2">
      <c r="A7391" s="1" t="s">
        <v>7637</v>
      </c>
      <c r="B7391" t="s">
        <v>901</v>
      </c>
    </row>
    <row r="7392" spans="1:2">
      <c r="A7392" s="1" t="s">
        <v>7638</v>
      </c>
      <c r="B7392" t="s">
        <v>901</v>
      </c>
    </row>
    <row r="7393" spans="1:2">
      <c r="A7393" s="1" t="s">
        <v>7639</v>
      </c>
      <c r="B7393" t="s">
        <v>901</v>
      </c>
    </row>
    <row r="7394" spans="1:2">
      <c r="A7394" s="1" t="s">
        <v>7640</v>
      </c>
      <c r="B7394" t="s">
        <v>901</v>
      </c>
    </row>
    <row r="7395" spans="1:2">
      <c r="A7395" s="1" t="s">
        <v>7641</v>
      </c>
      <c r="B7395" t="s">
        <v>901</v>
      </c>
    </row>
    <row r="7396" spans="1:2">
      <c r="A7396" s="1" t="s">
        <v>7642</v>
      </c>
      <c r="B7396" t="s">
        <v>901</v>
      </c>
    </row>
    <row r="7397" spans="1:2">
      <c r="A7397" s="1" t="s">
        <v>7643</v>
      </c>
      <c r="B7397" t="s">
        <v>901</v>
      </c>
    </row>
    <row r="7398" spans="1:2">
      <c r="A7398" s="1" t="s">
        <v>7644</v>
      </c>
      <c r="B7398" t="s">
        <v>901</v>
      </c>
    </row>
    <row r="7399" spans="1:2">
      <c r="A7399" s="1" t="s">
        <v>7645</v>
      </c>
      <c r="B7399" t="s">
        <v>901</v>
      </c>
    </row>
    <row r="7400" spans="1:2">
      <c r="A7400" s="1" t="s">
        <v>7646</v>
      </c>
      <c r="B7400" t="s">
        <v>901</v>
      </c>
    </row>
    <row r="7401" spans="1:2">
      <c r="A7401" s="1" t="s">
        <v>7647</v>
      </c>
      <c r="B7401" t="s">
        <v>901</v>
      </c>
    </row>
    <row r="7402" spans="1:2">
      <c r="A7402" s="1" t="s">
        <v>7648</v>
      </c>
      <c r="B7402" t="s">
        <v>901</v>
      </c>
    </row>
    <row r="7403" spans="1:2">
      <c r="A7403" s="1" t="s">
        <v>7649</v>
      </c>
      <c r="B7403" t="s">
        <v>901</v>
      </c>
    </row>
    <row r="7404" spans="1:2">
      <c r="A7404" s="1" t="s">
        <v>7650</v>
      </c>
      <c r="B7404" t="s">
        <v>901</v>
      </c>
    </row>
    <row r="7405" spans="1:2">
      <c r="A7405" s="1" t="s">
        <v>7651</v>
      </c>
      <c r="B7405" t="s">
        <v>901</v>
      </c>
    </row>
    <row r="7406" spans="1:2">
      <c r="A7406" s="1" t="s">
        <v>7652</v>
      </c>
      <c r="B7406" t="s">
        <v>901</v>
      </c>
    </row>
    <row r="7407" spans="1:2">
      <c r="A7407" s="1" t="s">
        <v>7653</v>
      </c>
      <c r="B7407" t="s">
        <v>901</v>
      </c>
    </row>
    <row r="7408" spans="1:2">
      <c r="A7408" s="1" t="s">
        <v>7654</v>
      </c>
      <c r="B7408" t="s">
        <v>901</v>
      </c>
    </row>
    <row r="7409" spans="1:2">
      <c r="A7409" s="1" t="s">
        <v>7655</v>
      </c>
      <c r="B7409" t="s">
        <v>901</v>
      </c>
    </row>
    <row r="7410" spans="1:2">
      <c r="A7410" s="1" t="s">
        <v>7656</v>
      </c>
      <c r="B7410" t="s">
        <v>901</v>
      </c>
    </row>
    <row r="7411" spans="1:2">
      <c r="A7411" s="1" t="s">
        <v>7657</v>
      </c>
      <c r="B7411" t="s">
        <v>901</v>
      </c>
    </row>
    <row r="7412" spans="1:2">
      <c r="A7412" s="1" t="s">
        <v>7658</v>
      </c>
      <c r="B7412" t="s">
        <v>901</v>
      </c>
    </row>
    <row r="7413" spans="1:2">
      <c r="A7413" s="1" t="s">
        <v>7659</v>
      </c>
      <c r="B7413" t="s">
        <v>901</v>
      </c>
    </row>
    <row r="7414" spans="1:2">
      <c r="A7414" s="1" t="s">
        <v>7660</v>
      </c>
      <c r="B7414" t="s">
        <v>901</v>
      </c>
    </row>
    <row r="7415" spans="1:2">
      <c r="A7415" s="1" t="s">
        <v>7661</v>
      </c>
      <c r="B7415" t="s">
        <v>901</v>
      </c>
    </row>
    <row r="7416" spans="1:2">
      <c r="A7416" s="1" t="s">
        <v>7662</v>
      </c>
      <c r="B7416" t="s">
        <v>901</v>
      </c>
    </row>
    <row r="7417" spans="1:2">
      <c r="A7417" s="1" t="s">
        <v>7663</v>
      </c>
      <c r="B7417" t="s">
        <v>901</v>
      </c>
    </row>
    <row r="7418" spans="1:2">
      <c r="A7418" s="1" t="s">
        <v>7664</v>
      </c>
      <c r="B7418" t="s">
        <v>901</v>
      </c>
    </row>
    <row r="7419" spans="1:2">
      <c r="A7419" s="1" t="s">
        <v>7665</v>
      </c>
      <c r="B7419" t="s">
        <v>901</v>
      </c>
    </row>
    <row r="7420" spans="1:2">
      <c r="A7420" s="1" t="s">
        <v>7666</v>
      </c>
      <c r="B7420" t="s">
        <v>901</v>
      </c>
    </row>
    <row r="7421" spans="1:2">
      <c r="A7421" s="1" t="s">
        <v>7667</v>
      </c>
      <c r="B7421" t="s">
        <v>901</v>
      </c>
    </row>
    <row r="7422" spans="1:2">
      <c r="A7422" s="1" t="s">
        <v>7668</v>
      </c>
      <c r="B7422" t="s">
        <v>901</v>
      </c>
    </row>
    <row r="7423" spans="1:2">
      <c r="A7423" s="1" t="s">
        <v>7669</v>
      </c>
      <c r="B7423" t="s">
        <v>901</v>
      </c>
    </row>
    <row r="7424" spans="1:2">
      <c r="A7424" s="1" t="s">
        <v>7670</v>
      </c>
      <c r="B7424" t="s">
        <v>901</v>
      </c>
    </row>
    <row r="7425" spans="1:2">
      <c r="A7425" s="1" t="s">
        <v>7671</v>
      </c>
      <c r="B7425" t="s">
        <v>901</v>
      </c>
    </row>
    <row r="7426" spans="1:2">
      <c r="A7426" s="1" t="s">
        <v>7672</v>
      </c>
      <c r="B7426" t="s">
        <v>901</v>
      </c>
    </row>
    <row r="7427" spans="1:2">
      <c r="A7427" s="1" t="s">
        <v>7673</v>
      </c>
      <c r="B7427" t="s">
        <v>901</v>
      </c>
    </row>
    <row r="7428" spans="1:2">
      <c r="A7428" s="1" t="s">
        <v>7674</v>
      </c>
      <c r="B7428" t="s">
        <v>901</v>
      </c>
    </row>
    <row r="7429" spans="1:2">
      <c r="A7429" s="1" t="s">
        <v>7675</v>
      </c>
      <c r="B7429" t="s">
        <v>901</v>
      </c>
    </row>
    <row r="7430" spans="1:2">
      <c r="A7430" s="1" t="s">
        <v>7676</v>
      </c>
      <c r="B7430" t="s">
        <v>901</v>
      </c>
    </row>
    <row r="7431" spans="1:2">
      <c r="A7431" s="1" t="s">
        <v>7677</v>
      </c>
      <c r="B7431" t="s">
        <v>901</v>
      </c>
    </row>
    <row r="7432" spans="1:2">
      <c r="A7432" s="1" t="s">
        <v>7678</v>
      </c>
      <c r="B7432" t="s">
        <v>901</v>
      </c>
    </row>
    <row r="7433" spans="1:2">
      <c r="A7433" s="1" t="s">
        <v>7679</v>
      </c>
      <c r="B7433" t="s">
        <v>901</v>
      </c>
    </row>
    <row r="7434" spans="1:2">
      <c r="A7434" s="1" t="s">
        <v>7680</v>
      </c>
      <c r="B7434" t="s">
        <v>901</v>
      </c>
    </row>
    <row r="7435" spans="1:2">
      <c r="A7435" s="1" t="s">
        <v>7681</v>
      </c>
      <c r="B7435" t="s">
        <v>901</v>
      </c>
    </row>
    <row r="7436" spans="1:2">
      <c r="A7436" s="1" t="s">
        <v>7682</v>
      </c>
      <c r="B7436" t="s">
        <v>901</v>
      </c>
    </row>
    <row r="7437" spans="1:2">
      <c r="A7437" s="1" t="s">
        <v>7683</v>
      </c>
      <c r="B7437" t="s">
        <v>901</v>
      </c>
    </row>
    <row r="7438" spans="1:2">
      <c r="A7438" s="1" t="s">
        <v>7684</v>
      </c>
      <c r="B7438" t="s">
        <v>901</v>
      </c>
    </row>
    <row r="7439" spans="1:2">
      <c r="A7439" s="1" t="s">
        <v>7685</v>
      </c>
      <c r="B7439" t="s">
        <v>901</v>
      </c>
    </row>
    <row r="7440" spans="1:2">
      <c r="A7440" s="1" t="s">
        <v>7686</v>
      </c>
      <c r="B7440" t="s">
        <v>901</v>
      </c>
    </row>
    <row r="7441" spans="1:2">
      <c r="A7441" s="1" t="s">
        <v>7687</v>
      </c>
      <c r="B7441" t="s">
        <v>901</v>
      </c>
    </row>
    <row r="7442" spans="1:2">
      <c r="A7442" s="1" t="s">
        <v>7688</v>
      </c>
      <c r="B7442" t="s">
        <v>901</v>
      </c>
    </row>
    <row r="7443" spans="1:2">
      <c r="A7443" s="1" t="s">
        <v>7689</v>
      </c>
      <c r="B7443" t="s">
        <v>901</v>
      </c>
    </row>
    <row r="7444" spans="1:2">
      <c r="A7444" s="1" t="s">
        <v>7690</v>
      </c>
      <c r="B7444" t="s">
        <v>901</v>
      </c>
    </row>
    <row r="7445" spans="1:2">
      <c r="A7445" s="1" t="s">
        <v>7691</v>
      </c>
      <c r="B7445" t="s">
        <v>901</v>
      </c>
    </row>
    <row r="7446" spans="1:2">
      <c r="A7446" s="1" t="s">
        <v>7692</v>
      </c>
      <c r="B7446" t="s">
        <v>901</v>
      </c>
    </row>
    <row r="7447" spans="1:2">
      <c r="A7447" s="1" t="s">
        <v>7693</v>
      </c>
      <c r="B7447" t="s">
        <v>901</v>
      </c>
    </row>
    <row r="7448" spans="1:2">
      <c r="A7448" s="1" t="s">
        <v>7694</v>
      </c>
      <c r="B7448" t="s">
        <v>901</v>
      </c>
    </row>
    <row r="7449" spans="1:2">
      <c r="A7449" s="1" t="s">
        <v>7695</v>
      </c>
      <c r="B7449" t="s">
        <v>901</v>
      </c>
    </row>
    <row r="7450" spans="1:2">
      <c r="A7450" s="1" t="s">
        <v>7696</v>
      </c>
      <c r="B7450" t="s">
        <v>901</v>
      </c>
    </row>
    <row r="7451" spans="1:2">
      <c r="A7451" s="1" t="s">
        <v>7697</v>
      </c>
      <c r="B7451" t="s">
        <v>10241</v>
      </c>
    </row>
    <row r="7452" spans="1:2">
      <c r="A7452" s="1" t="s">
        <v>7698</v>
      </c>
      <c r="B7452" t="s">
        <v>901</v>
      </c>
    </row>
    <row r="7453" spans="1:2">
      <c r="A7453" s="1" t="s">
        <v>7699</v>
      </c>
      <c r="B7453" t="s">
        <v>901</v>
      </c>
    </row>
    <row r="7454" spans="1:2">
      <c r="A7454" s="1" t="s">
        <v>7700</v>
      </c>
      <c r="B7454" t="s">
        <v>901</v>
      </c>
    </row>
    <row r="7455" spans="1:2">
      <c r="A7455" s="1" t="s">
        <v>7701</v>
      </c>
      <c r="B7455" t="s">
        <v>901</v>
      </c>
    </row>
    <row r="7456" spans="1:2">
      <c r="A7456" s="1" t="s">
        <v>7702</v>
      </c>
      <c r="B7456" t="s">
        <v>901</v>
      </c>
    </row>
    <row r="7457" spans="1:2">
      <c r="A7457" s="1" t="s">
        <v>7703</v>
      </c>
      <c r="B7457" t="s">
        <v>901</v>
      </c>
    </row>
    <row r="7458" spans="1:2">
      <c r="A7458" s="1" t="s">
        <v>7704</v>
      </c>
      <c r="B7458" t="s">
        <v>901</v>
      </c>
    </row>
    <row r="7459" spans="1:2">
      <c r="A7459" s="1" t="s">
        <v>7705</v>
      </c>
      <c r="B7459" t="s">
        <v>901</v>
      </c>
    </row>
    <row r="7460" spans="1:2">
      <c r="A7460" s="1" t="s">
        <v>7706</v>
      </c>
      <c r="B7460" t="s">
        <v>901</v>
      </c>
    </row>
    <row r="7461" spans="1:2">
      <c r="A7461" s="1" t="s">
        <v>7707</v>
      </c>
      <c r="B7461" t="s">
        <v>901</v>
      </c>
    </row>
    <row r="7462" spans="1:2">
      <c r="A7462" s="1" t="s">
        <v>7708</v>
      </c>
      <c r="B7462" t="s">
        <v>901</v>
      </c>
    </row>
    <row r="7463" spans="1:2">
      <c r="A7463" s="1" t="s">
        <v>7709</v>
      </c>
      <c r="B7463" t="s">
        <v>901</v>
      </c>
    </row>
    <row r="7464" spans="1:2">
      <c r="A7464" s="1" t="s">
        <v>7710</v>
      </c>
      <c r="B7464" t="s">
        <v>901</v>
      </c>
    </row>
    <row r="7465" spans="1:2">
      <c r="A7465" s="1" t="s">
        <v>7711</v>
      </c>
      <c r="B7465" t="s">
        <v>901</v>
      </c>
    </row>
    <row r="7466" spans="1:2">
      <c r="A7466" s="1" t="s">
        <v>7712</v>
      </c>
      <c r="B7466" t="s">
        <v>901</v>
      </c>
    </row>
    <row r="7467" spans="1:2">
      <c r="A7467" s="1" t="s">
        <v>7713</v>
      </c>
      <c r="B7467" t="s">
        <v>901</v>
      </c>
    </row>
    <row r="7468" spans="1:2">
      <c r="A7468" s="1" t="s">
        <v>7714</v>
      </c>
      <c r="B7468" t="s">
        <v>901</v>
      </c>
    </row>
    <row r="7469" spans="1:2">
      <c r="A7469" s="1" t="s">
        <v>7715</v>
      </c>
      <c r="B7469" t="s">
        <v>901</v>
      </c>
    </row>
    <row r="7470" spans="1:2">
      <c r="A7470" s="1" t="s">
        <v>7716</v>
      </c>
      <c r="B7470" t="s">
        <v>901</v>
      </c>
    </row>
    <row r="7471" spans="1:2">
      <c r="A7471" s="1" t="s">
        <v>7717</v>
      </c>
      <c r="B7471" t="s">
        <v>901</v>
      </c>
    </row>
    <row r="7472" spans="1:2">
      <c r="A7472" s="1" t="s">
        <v>7718</v>
      </c>
      <c r="B7472" t="s">
        <v>901</v>
      </c>
    </row>
    <row r="7473" spans="1:2">
      <c r="A7473" s="1" t="s">
        <v>7719</v>
      </c>
      <c r="B7473" t="s">
        <v>901</v>
      </c>
    </row>
    <row r="7474" spans="1:2">
      <c r="A7474" s="1" t="s">
        <v>7720</v>
      </c>
      <c r="B7474" t="s">
        <v>901</v>
      </c>
    </row>
    <row r="7475" spans="1:2">
      <c r="A7475" s="1" t="s">
        <v>7721</v>
      </c>
      <c r="B7475" t="s">
        <v>901</v>
      </c>
    </row>
    <row r="7476" spans="1:2">
      <c r="A7476" s="1" t="s">
        <v>7722</v>
      </c>
      <c r="B7476" t="s">
        <v>901</v>
      </c>
    </row>
    <row r="7477" spans="1:2">
      <c r="A7477" s="1" t="s">
        <v>7723</v>
      </c>
      <c r="B7477" t="s">
        <v>901</v>
      </c>
    </row>
    <row r="7478" spans="1:2">
      <c r="A7478" s="1" t="s">
        <v>7724</v>
      </c>
      <c r="B7478" t="s">
        <v>901</v>
      </c>
    </row>
    <row r="7479" spans="1:2">
      <c r="A7479" s="1" t="s">
        <v>7725</v>
      </c>
      <c r="B7479" t="s">
        <v>901</v>
      </c>
    </row>
    <row r="7480" spans="1:2">
      <c r="A7480" s="1" t="s">
        <v>7726</v>
      </c>
      <c r="B7480" t="s">
        <v>901</v>
      </c>
    </row>
    <row r="7481" spans="1:2">
      <c r="A7481" s="1" t="s">
        <v>7727</v>
      </c>
      <c r="B7481" t="s">
        <v>901</v>
      </c>
    </row>
    <row r="7482" spans="1:2">
      <c r="A7482" s="1" t="s">
        <v>7728</v>
      </c>
      <c r="B7482" t="s">
        <v>901</v>
      </c>
    </row>
    <row r="7483" spans="1:2">
      <c r="A7483" s="1" t="s">
        <v>7729</v>
      </c>
      <c r="B7483" t="s">
        <v>901</v>
      </c>
    </row>
    <row r="7484" spans="1:2">
      <c r="A7484" s="1" t="s">
        <v>7730</v>
      </c>
      <c r="B7484" t="s">
        <v>901</v>
      </c>
    </row>
    <row r="7485" spans="1:2">
      <c r="A7485" s="1" t="s">
        <v>7731</v>
      </c>
      <c r="B7485" t="s">
        <v>901</v>
      </c>
    </row>
    <row r="7486" spans="1:2">
      <c r="A7486" s="1" t="s">
        <v>7732</v>
      </c>
      <c r="B7486" t="s">
        <v>901</v>
      </c>
    </row>
    <row r="7487" spans="1:2">
      <c r="A7487" s="1" t="s">
        <v>7733</v>
      </c>
      <c r="B7487" t="s">
        <v>901</v>
      </c>
    </row>
    <row r="7488" spans="1:2">
      <c r="A7488" s="1" t="s">
        <v>7734</v>
      </c>
      <c r="B7488" t="s">
        <v>901</v>
      </c>
    </row>
    <row r="7489" spans="1:2">
      <c r="A7489" s="1" t="s">
        <v>7735</v>
      </c>
      <c r="B7489" t="s">
        <v>901</v>
      </c>
    </row>
    <row r="7490" spans="1:2">
      <c r="A7490" s="1" t="s">
        <v>7736</v>
      </c>
      <c r="B7490" t="s">
        <v>901</v>
      </c>
    </row>
    <row r="7491" spans="1:2">
      <c r="A7491" s="1" t="s">
        <v>7737</v>
      </c>
      <c r="B7491" t="s">
        <v>901</v>
      </c>
    </row>
    <row r="7492" spans="1:2">
      <c r="A7492" s="1" t="s">
        <v>7738</v>
      </c>
      <c r="B7492" t="s">
        <v>901</v>
      </c>
    </row>
    <row r="7493" spans="1:2">
      <c r="A7493" s="1" t="s">
        <v>7739</v>
      </c>
      <c r="B7493" t="s">
        <v>901</v>
      </c>
    </row>
    <row r="7494" spans="1:2">
      <c r="A7494" s="1" t="s">
        <v>7740</v>
      </c>
      <c r="B7494" t="s">
        <v>10347</v>
      </c>
    </row>
    <row r="7495" spans="1:2">
      <c r="A7495" s="1" t="s">
        <v>7741</v>
      </c>
      <c r="B7495" t="s">
        <v>901</v>
      </c>
    </row>
    <row r="7496" spans="1:2">
      <c r="A7496" s="1" t="s">
        <v>7742</v>
      </c>
      <c r="B7496" t="s">
        <v>901</v>
      </c>
    </row>
    <row r="7497" spans="1:2">
      <c r="A7497" s="1" t="s">
        <v>7743</v>
      </c>
      <c r="B7497" t="s">
        <v>901</v>
      </c>
    </row>
    <row r="7498" spans="1:2">
      <c r="A7498" s="1" t="s">
        <v>7744</v>
      </c>
      <c r="B7498" t="s">
        <v>901</v>
      </c>
    </row>
    <row r="7499" spans="1:2">
      <c r="A7499" s="1" t="s">
        <v>7745</v>
      </c>
      <c r="B7499" t="s">
        <v>901</v>
      </c>
    </row>
    <row r="7500" spans="1:2">
      <c r="A7500" s="1" t="s">
        <v>7746</v>
      </c>
      <c r="B7500" t="s">
        <v>901</v>
      </c>
    </row>
    <row r="7501" spans="1:2">
      <c r="A7501" s="1" t="s">
        <v>7747</v>
      </c>
      <c r="B7501" t="s">
        <v>901</v>
      </c>
    </row>
    <row r="7502" spans="1:2">
      <c r="A7502" s="1" t="s">
        <v>7748</v>
      </c>
      <c r="B7502" t="s">
        <v>901</v>
      </c>
    </row>
    <row r="7503" spans="1:2">
      <c r="A7503" s="1" t="s">
        <v>7749</v>
      </c>
      <c r="B7503" t="s">
        <v>901</v>
      </c>
    </row>
    <row r="7504" spans="1:2">
      <c r="A7504" s="1" t="s">
        <v>7750</v>
      </c>
      <c r="B7504" t="s">
        <v>901</v>
      </c>
    </row>
    <row r="7505" spans="1:2">
      <c r="A7505" s="1" t="s">
        <v>7751</v>
      </c>
      <c r="B7505" t="s">
        <v>901</v>
      </c>
    </row>
    <row r="7506" spans="1:2">
      <c r="A7506" s="1" t="s">
        <v>7752</v>
      </c>
      <c r="B7506" t="s">
        <v>901</v>
      </c>
    </row>
    <row r="7507" spans="1:2">
      <c r="A7507" s="1" t="s">
        <v>7753</v>
      </c>
      <c r="B7507" t="s">
        <v>901</v>
      </c>
    </row>
    <row r="7508" spans="1:2">
      <c r="A7508" s="1" t="s">
        <v>7754</v>
      </c>
      <c r="B7508" t="s">
        <v>901</v>
      </c>
    </row>
    <row r="7509" spans="1:2">
      <c r="A7509" s="1" t="s">
        <v>7755</v>
      </c>
      <c r="B7509" t="s">
        <v>901</v>
      </c>
    </row>
    <row r="7510" spans="1:2">
      <c r="A7510" s="1" t="s">
        <v>7756</v>
      </c>
      <c r="B7510" t="s">
        <v>901</v>
      </c>
    </row>
    <row r="7511" spans="1:2">
      <c r="A7511" s="1" t="s">
        <v>7757</v>
      </c>
      <c r="B7511" t="s">
        <v>901</v>
      </c>
    </row>
    <row r="7512" spans="1:2">
      <c r="A7512" s="1" t="s">
        <v>7758</v>
      </c>
      <c r="B7512" t="s">
        <v>901</v>
      </c>
    </row>
    <row r="7513" spans="1:2">
      <c r="A7513" s="1" t="s">
        <v>7759</v>
      </c>
      <c r="B7513" t="s">
        <v>901</v>
      </c>
    </row>
    <row r="7514" spans="1:2">
      <c r="A7514" s="1" t="s">
        <v>7760</v>
      </c>
      <c r="B7514" t="s">
        <v>901</v>
      </c>
    </row>
    <row r="7515" spans="1:2">
      <c r="A7515" s="1" t="s">
        <v>7761</v>
      </c>
      <c r="B7515" t="s">
        <v>901</v>
      </c>
    </row>
    <row r="7516" spans="1:2">
      <c r="A7516" s="1" t="s">
        <v>7762</v>
      </c>
      <c r="B7516" t="s">
        <v>901</v>
      </c>
    </row>
    <row r="7517" spans="1:2">
      <c r="A7517" s="1" t="s">
        <v>7763</v>
      </c>
      <c r="B7517" t="s">
        <v>901</v>
      </c>
    </row>
    <row r="7518" spans="1:2">
      <c r="A7518" s="1" t="s">
        <v>7764</v>
      </c>
      <c r="B7518" t="s">
        <v>901</v>
      </c>
    </row>
    <row r="7519" spans="1:2">
      <c r="A7519" s="1" t="s">
        <v>7765</v>
      </c>
      <c r="B7519" t="s">
        <v>901</v>
      </c>
    </row>
    <row r="7520" spans="1:2">
      <c r="A7520" s="1" t="s">
        <v>7766</v>
      </c>
      <c r="B7520" t="s">
        <v>901</v>
      </c>
    </row>
    <row r="7521" spans="1:2">
      <c r="A7521" s="1" t="s">
        <v>7767</v>
      </c>
      <c r="B7521" t="s">
        <v>10412</v>
      </c>
    </row>
    <row r="7522" spans="1:2">
      <c r="A7522" s="1" t="s">
        <v>7768</v>
      </c>
      <c r="B7522" t="s">
        <v>901</v>
      </c>
    </row>
    <row r="7523" spans="1:2">
      <c r="A7523" s="1" t="s">
        <v>7769</v>
      </c>
      <c r="B7523" t="s">
        <v>901</v>
      </c>
    </row>
    <row r="7524" spans="1:2">
      <c r="A7524" s="1" t="s">
        <v>7770</v>
      </c>
      <c r="B7524" t="s">
        <v>901</v>
      </c>
    </row>
    <row r="7525" spans="1:2">
      <c r="A7525" s="1" t="s">
        <v>7771</v>
      </c>
      <c r="B7525" t="s">
        <v>901</v>
      </c>
    </row>
    <row r="7526" spans="1:2">
      <c r="A7526" s="1" t="s">
        <v>7772</v>
      </c>
      <c r="B7526" t="s">
        <v>901</v>
      </c>
    </row>
    <row r="7527" spans="1:2">
      <c r="A7527" s="1" t="s">
        <v>7773</v>
      </c>
      <c r="B7527" t="s">
        <v>901</v>
      </c>
    </row>
    <row r="7528" spans="1:2">
      <c r="A7528" s="1" t="s">
        <v>7774</v>
      </c>
      <c r="B7528" t="s">
        <v>901</v>
      </c>
    </row>
    <row r="7529" spans="1:2">
      <c r="A7529" s="1" t="s">
        <v>7775</v>
      </c>
      <c r="B7529" t="s">
        <v>901</v>
      </c>
    </row>
    <row r="7530" spans="1:2">
      <c r="A7530" s="1" t="s">
        <v>7776</v>
      </c>
      <c r="B7530" t="s">
        <v>901</v>
      </c>
    </row>
    <row r="7531" spans="1:2">
      <c r="A7531" s="1" t="s">
        <v>7777</v>
      </c>
      <c r="B7531" t="s">
        <v>901</v>
      </c>
    </row>
    <row r="7532" spans="1:2">
      <c r="A7532" s="1" t="s">
        <v>7778</v>
      </c>
      <c r="B7532" t="s">
        <v>901</v>
      </c>
    </row>
    <row r="7533" spans="1:2">
      <c r="A7533" s="1" t="s">
        <v>7779</v>
      </c>
      <c r="B7533" t="s">
        <v>901</v>
      </c>
    </row>
    <row r="7534" spans="1:2">
      <c r="A7534" s="1" t="s">
        <v>7780</v>
      </c>
      <c r="B7534" t="s">
        <v>901</v>
      </c>
    </row>
    <row r="7535" spans="1:2">
      <c r="A7535" s="1" t="s">
        <v>7781</v>
      </c>
      <c r="B7535" t="s">
        <v>901</v>
      </c>
    </row>
    <row r="7536" spans="1:2">
      <c r="A7536" s="1" t="s">
        <v>7782</v>
      </c>
      <c r="B7536" t="s">
        <v>901</v>
      </c>
    </row>
    <row r="7537" spans="1:2">
      <c r="A7537" s="1" t="s">
        <v>7783</v>
      </c>
      <c r="B7537" t="s">
        <v>901</v>
      </c>
    </row>
    <row r="7538" spans="1:2">
      <c r="A7538" s="1" t="s">
        <v>7784</v>
      </c>
      <c r="B7538" t="s">
        <v>901</v>
      </c>
    </row>
    <row r="7539" spans="1:2">
      <c r="A7539" s="1" t="s">
        <v>7785</v>
      </c>
      <c r="B7539" t="s">
        <v>901</v>
      </c>
    </row>
    <row r="7540" spans="1:2">
      <c r="A7540" s="1" t="s">
        <v>7786</v>
      </c>
      <c r="B7540" t="s">
        <v>901</v>
      </c>
    </row>
    <row r="7541" spans="1:2">
      <c r="A7541" s="1" t="s">
        <v>7787</v>
      </c>
      <c r="B7541" t="s">
        <v>901</v>
      </c>
    </row>
    <row r="7542" spans="1:2">
      <c r="A7542" s="1" t="s">
        <v>7788</v>
      </c>
      <c r="B7542" t="s">
        <v>901</v>
      </c>
    </row>
    <row r="7543" spans="1:2">
      <c r="A7543" s="1" t="s">
        <v>7789</v>
      </c>
      <c r="B7543" t="s">
        <v>901</v>
      </c>
    </row>
    <row r="7544" spans="1:2">
      <c r="A7544" s="1" t="s">
        <v>7790</v>
      </c>
      <c r="B7544" t="s">
        <v>901</v>
      </c>
    </row>
    <row r="7545" spans="1:2">
      <c r="A7545" s="1" t="s">
        <v>7791</v>
      </c>
      <c r="B7545" t="s">
        <v>901</v>
      </c>
    </row>
    <row r="7546" spans="1:2">
      <c r="A7546" s="1" t="s">
        <v>7792</v>
      </c>
      <c r="B7546" t="s">
        <v>901</v>
      </c>
    </row>
    <row r="7547" spans="1:2">
      <c r="A7547" s="1" t="s">
        <v>7793</v>
      </c>
      <c r="B7547" t="s">
        <v>901</v>
      </c>
    </row>
    <row r="7548" spans="1:2">
      <c r="A7548" s="1" t="s">
        <v>7794</v>
      </c>
      <c r="B7548" t="s">
        <v>901</v>
      </c>
    </row>
    <row r="7549" spans="1:2">
      <c r="A7549" s="1" t="s">
        <v>7795</v>
      </c>
      <c r="B7549" t="s">
        <v>901</v>
      </c>
    </row>
    <row r="7550" spans="1:2">
      <c r="A7550" s="1" t="s">
        <v>7796</v>
      </c>
      <c r="B7550" t="s">
        <v>901</v>
      </c>
    </row>
    <row r="7551" spans="1:2">
      <c r="A7551" s="1" t="s">
        <v>7797</v>
      </c>
      <c r="B7551" t="s">
        <v>901</v>
      </c>
    </row>
    <row r="7552" spans="1:2">
      <c r="A7552" s="1" t="s">
        <v>7798</v>
      </c>
      <c r="B7552" t="s">
        <v>901</v>
      </c>
    </row>
    <row r="7553" spans="1:2">
      <c r="A7553" s="1" t="s">
        <v>7799</v>
      </c>
      <c r="B7553" t="s">
        <v>901</v>
      </c>
    </row>
    <row r="7554" spans="1:2">
      <c r="A7554" s="1" t="s">
        <v>7800</v>
      </c>
      <c r="B7554" t="s">
        <v>901</v>
      </c>
    </row>
    <row r="7555" spans="1:2">
      <c r="A7555" s="1" t="s">
        <v>7801</v>
      </c>
      <c r="B7555" t="s">
        <v>901</v>
      </c>
    </row>
    <row r="7556" spans="1:2">
      <c r="A7556" s="1" t="s">
        <v>7802</v>
      </c>
      <c r="B7556" t="s">
        <v>901</v>
      </c>
    </row>
    <row r="7557" spans="1:2">
      <c r="A7557" s="1" t="s">
        <v>7803</v>
      </c>
      <c r="B7557" t="s">
        <v>901</v>
      </c>
    </row>
    <row r="7558" spans="1:2">
      <c r="A7558" s="1" t="s">
        <v>7804</v>
      </c>
      <c r="B7558" t="s">
        <v>901</v>
      </c>
    </row>
    <row r="7559" spans="1:2">
      <c r="A7559" s="1" t="s">
        <v>7805</v>
      </c>
      <c r="B7559" t="s">
        <v>901</v>
      </c>
    </row>
    <row r="7560" spans="1:2">
      <c r="A7560" s="1" t="s">
        <v>7806</v>
      </c>
      <c r="B7560" t="s">
        <v>901</v>
      </c>
    </row>
    <row r="7561" spans="1:2">
      <c r="A7561" s="1" t="s">
        <v>7807</v>
      </c>
      <c r="B7561" t="s">
        <v>901</v>
      </c>
    </row>
    <row r="7562" spans="1:2">
      <c r="A7562" s="1" t="s">
        <v>7808</v>
      </c>
      <c r="B7562" t="s">
        <v>901</v>
      </c>
    </row>
    <row r="7563" spans="1:2">
      <c r="A7563" s="1" t="s">
        <v>7809</v>
      </c>
      <c r="B7563" t="s">
        <v>901</v>
      </c>
    </row>
    <row r="7564" spans="1:2">
      <c r="A7564" s="1" t="s">
        <v>7810</v>
      </c>
      <c r="B7564" t="s">
        <v>901</v>
      </c>
    </row>
    <row r="7565" spans="1:2">
      <c r="A7565" s="1" t="s">
        <v>7811</v>
      </c>
      <c r="B7565" t="s">
        <v>901</v>
      </c>
    </row>
    <row r="7566" spans="1:2">
      <c r="A7566" s="1" t="s">
        <v>7812</v>
      </c>
      <c r="B7566" t="s">
        <v>901</v>
      </c>
    </row>
    <row r="7567" spans="1:2">
      <c r="A7567" s="1" t="s">
        <v>7813</v>
      </c>
      <c r="B7567" t="s">
        <v>901</v>
      </c>
    </row>
    <row r="7568" spans="1:2">
      <c r="A7568" s="1" t="s">
        <v>7814</v>
      </c>
      <c r="B7568" t="s">
        <v>901</v>
      </c>
    </row>
    <row r="7569" spans="1:2">
      <c r="A7569" s="1" t="s">
        <v>7815</v>
      </c>
      <c r="B7569" t="s">
        <v>901</v>
      </c>
    </row>
    <row r="7570" spans="1:2">
      <c r="A7570" s="1" t="s">
        <v>7816</v>
      </c>
      <c r="B7570" t="s">
        <v>901</v>
      </c>
    </row>
    <row r="7571" spans="1:2">
      <c r="A7571" s="1" t="s">
        <v>7817</v>
      </c>
      <c r="B7571" t="s">
        <v>901</v>
      </c>
    </row>
    <row r="7572" spans="1:2">
      <c r="A7572" s="1" t="s">
        <v>7818</v>
      </c>
      <c r="B7572" t="s">
        <v>901</v>
      </c>
    </row>
    <row r="7573" spans="1:2">
      <c r="A7573" s="1" t="s">
        <v>7819</v>
      </c>
      <c r="B7573" t="s">
        <v>901</v>
      </c>
    </row>
    <row r="7574" spans="1:2">
      <c r="A7574" s="1" t="s">
        <v>7820</v>
      </c>
      <c r="B7574" t="s">
        <v>901</v>
      </c>
    </row>
    <row r="7575" spans="1:2">
      <c r="A7575" s="1" t="s">
        <v>7821</v>
      </c>
      <c r="B7575" t="s">
        <v>901</v>
      </c>
    </row>
    <row r="7576" spans="1:2">
      <c r="A7576" s="1" t="s">
        <v>7822</v>
      </c>
      <c r="B7576" t="s">
        <v>901</v>
      </c>
    </row>
    <row r="7577" spans="1:2">
      <c r="A7577" s="1" t="s">
        <v>7823</v>
      </c>
      <c r="B7577" t="s">
        <v>901</v>
      </c>
    </row>
    <row r="7578" spans="1:2">
      <c r="A7578" s="1" t="s">
        <v>7824</v>
      </c>
      <c r="B7578" t="s">
        <v>901</v>
      </c>
    </row>
    <row r="7579" spans="1:2">
      <c r="A7579" s="1" t="s">
        <v>7825</v>
      </c>
      <c r="B7579" t="s">
        <v>901</v>
      </c>
    </row>
    <row r="7580" spans="1:2">
      <c r="A7580" s="1" t="s">
        <v>7826</v>
      </c>
      <c r="B7580" t="s">
        <v>901</v>
      </c>
    </row>
    <row r="7581" spans="1:2">
      <c r="A7581" s="1" t="s">
        <v>7827</v>
      </c>
      <c r="B7581" t="s">
        <v>901</v>
      </c>
    </row>
    <row r="7582" spans="1:2">
      <c r="A7582" s="1" t="s">
        <v>7828</v>
      </c>
      <c r="B7582" t="s">
        <v>901</v>
      </c>
    </row>
    <row r="7583" spans="1:2">
      <c r="A7583" s="1" t="s">
        <v>7829</v>
      </c>
      <c r="B7583" t="s">
        <v>901</v>
      </c>
    </row>
    <row r="7584" spans="1:2">
      <c r="A7584" s="1" t="s">
        <v>7830</v>
      </c>
      <c r="B7584" t="s">
        <v>901</v>
      </c>
    </row>
    <row r="7585" spans="1:2">
      <c r="A7585" s="1" t="s">
        <v>7831</v>
      </c>
      <c r="B7585" t="s">
        <v>901</v>
      </c>
    </row>
    <row r="7586" spans="1:2">
      <c r="A7586" s="1" t="s">
        <v>7832</v>
      </c>
      <c r="B7586" t="s">
        <v>901</v>
      </c>
    </row>
    <row r="7587" spans="1:2">
      <c r="A7587" s="1" t="s">
        <v>7833</v>
      </c>
      <c r="B7587" t="s">
        <v>901</v>
      </c>
    </row>
    <row r="7588" spans="1:2">
      <c r="A7588" s="1" t="s">
        <v>7834</v>
      </c>
      <c r="B7588" t="s">
        <v>901</v>
      </c>
    </row>
    <row r="7589" spans="1:2">
      <c r="A7589" s="1" t="s">
        <v>7835</v>
      </c>
      <c r="B7589" t="s">
        <v>901</v>
      </c>
    </row>
    <row r="7590" spans="1:2">
      <c r="A7590" s="1" t="s">
        <v>7836</v>
      </c>
      <c r="B7590" t="s">
        <v>901</v>
      </c>
    </row>
    <row r="7591" spans="1:2">
      <c r="A7591" s="1" t="s">
        <v>7837</v>
      </c>
      <c r="B7591" t="s">
        <v>901</v>
      </c>
    </row>
    <row r="7592" spans="1:2">
      <c r="A7592" s="1" t="s">
        <v>7838</v>
      </c>
      <c r="B7592" t="s">
        <v>901</v>
      </c>
    </row>
    <row r="7593" spans="1:2">
      <c r="A7593" s="1" t="s">
        <v>7839</v>
      </c>
      <c r="B7593" t="s">
        <v>901</v>
      </c>
    </row>
    <row r="7594" spans="1:2">
      <c r="A7594" s="1" t="s">
        <v>7840</v>
      </c>
      <c r="B7594" t="s">
        <v>901</v>
      </c>
    </row>
    <row r="7595" spans="1:2">
      <c r="A7595" s="1" t="s">
        <v>7841</v>
      </c>
      <c r="B7595" t="s">
        <v>901</v>
      </c>
    </row>
    <row r="7596" spans="1:2">
      <c r="A7596" s="1" t="s">
        <v>7842</v>
      </c>
      <c r="B7596" t="s">
        <v>901</v>
      </c>
    </row>
    <row r="7597" spans="1:2">
      <c r="A7597" s="1" t="s">
        <v>7843</v>
      </c>
      <c r="B7597" t="s">
        <v>901</v>
      </c>
    </row>
    <row r="7598" spans="1:2">
      <c r="A7598" s="1" t="s">
        <v>7844</v>
      </c>
      <c r="B7598" t="s">
        <v>901</v>
      </c>
    </row>
    <row r="7599" spans="1:2">
      <c r="A7599" s="1" t="s">
        <v>7845</v>
      </c>
      <c r="B7599" t="s">
        <v>901</v>
      </c>
    </row>
    <row r="7600" spans="1:2">
      <c r="A7600" s="1" t="s">
        <v>7846</v>
      </c>
      <c r="B7600" t="s">
        <v>901</v>
      </c>
    </row>
    <row r="7601" spans="1:2">
      <c r="A7601" s="1" t="s">
        <v>7847</v>
      </c>
      <c r="B7601" t="s">
        <v>901</v>
      </c>
    </row>
    <row r="7602" spans="1:2">
      <c r="A7602" s="1" t="s">
        <v>7848</v>
      </c>
      <c r="B7602" t="s">
        <v>901</v>
      </c>
    </row>
    <row r="7603" spans="1:2">
      <c r="A7603" s="1" t="s">
        <v>7849</v>
      </c>
      <c r="B7603" t="s">
        <v>901</v>
      </c>
    </row>
    <row r="7604" spans="1:2">
      <c r="A7604" s="1" t="s">
        <v>7850</v>
      </c>
      <c r="B7604" t="s">
        <v>901</v>
      </c>
    </row>
    <row r="7605" spans="1:2">
      <c r="A7605" s="1" t="s">
        <v>7851</v>
      </c>
      <c r="B7605" t="s">
        <v>901</v>
      </c>
    </row>
    <row r="7606" spans="1:2">
      <c r="A7606" s="1" t="s">
        <v>7852</v>
      </c>
      <c r="B7606" t="s">
        <v>901</v>
      </c>
    </row>
    <row r="7607" spans="1:2">
      <c r="A7607" s="1" t="s">
        <v>7853</v>
      </c>
      <c r="B7607" t="s">
        <v>901</v>
      </c>
    </row>
    <row r="7608" spans="1:2">
      <c r="A7608" s="1" t="s">
        <v>7854</v>
      </c>
      <c r="B7608" t="s">
        <v>901</v>
      </c>
    </row>
    <row r="7609" spans="1:2">
      <c r="A7609" s="1" t="s">
        <v>7855</v>
      </c>
      <c r="B7609" t="s">
        <v>901</v>
      </c>
    </row>
    <row r="7610" spans="1:2">
      <c r="A7610" s="1" t="s">
        <v>7856</v>
      </c>
      <c r="B7610" t="s">
        <v>901</v>
      </c>
    </row>
    <row r="7611" spans="1:2">
      <c r="A7611" s="1" t="s">
        <v>7857</v>
      </c>
      <c r="B7611" t="s">
        <v>901</v>
      </c>
    </row>
    <row r="7612" spans="1:2">
      <c r="A7612" s="1" t="s">
        <v>7858</v>
      </c>
      <c r="B7612" t="s">
        <v>901</v>
      </c>
    </row>
    <row r="7613" spans="1:2">
      <c r="A7613" s="1" t="s">
        <v>7859</v>
      </c>
      <c r="B7613" t="s">
        <v>901</v>
      </c>
    </row>
    <row r="7614" spans="1:2">
      <c r="A7614" s="1" t="s">
        <v>7860</v>
      </c>
      <c r="B7614" t="s">
        <v>901</v>
      </c>
    </row>
    <row r="7615" spans="1:2">
      <c r="A7615" s="1" t="s">
        <v>7861</v>
      </c>
      <c r="B7615" t="s">
        <v>901</v>
      </c>
    </row>
    <row r="7616" spans="1:2">
      <c r="A7616" s="1" t="s">
        <v>7862</v>
      </c>
      <c r="B7616" t="s">
        <v>901</v>
      </c>
    </row>
    <row r="7617" spans="1:2">
      <c r="A7617" s="1" t="s">
        <v>7863</v>
      </c>
      <c r="B7617" t="s">
        <v>901</v>
      </c>
    </row>
    <row r="7618" spans="1:2">
      <c r="A7618" s="1" t="s">
        <v>7864</v>
      </c>
      <c r="B7618" t="s">
        <v>901</v>
      </c>
    </row>
    <row r="7619" spans="1:2">
      <c r="A7619" s="1" t="s">
        <v>7865</v>
      </c>
      <c r="B7619" t="s">
        <v>901</v>
      </c>
    </row>
    <row r="7620" spans="1:2">
      <c r="A7620" s="1" t="s">
        <v>7866</v>
      </c>
      <c r="B7620" t="s">
        <v>901</v>
      </c>
    </row>
    <row r="7621" spans="1:2">
      <c r="A7621" s="1" t="s">
        <v>7867</v>
      </c>
      <c r="B7621" t="s">
        <v>901</v>
      </c>
    </row>
    <row r="7622" spans="1:2">
      <c r="A7622" s="1" t="s">
        <v>7868</v>
      </c>
      <c r="B7622" t="s">
        <v>901</v>
      </c>
    </row>
    <row r="7623" spans="1:2">
      <c r="A7623" s="1" t="s">
        <v>7869</v>
      </c>
      <c r="B7623" t="s">
        <v>901</v>
      </c>
    </row>
    <row r="7624" spans="1:2">
      <c r="A7624" s="1" t="s">
        <v>7870</v>
      </c>
      <c r="B7624" t="s">
        <v>10239</v>
      </c>
    </row>
    <row r="7625" spans="1:2">
      <c r="A7625" s="1" t="s">
        <v>7871</v>
      </c>
      <c r="B7625" t="s">
        <v>901</v>
      </c>
    </row>
    <row r="7626" spans="1:2">
      <c r="A7626" s="1" t="s">
        <v>7872</v>
      </c>
      <c r="B7626" t="s">
        <v>901</v>
      </c>
    </row>
    <row r="7627" spans="1:2">
      <c r="A7627" s="1" t="s">
        <v>7873</v>
      </c>
      <c r="B7627" t="s">
        <v>901</v>
      </c>
    </row>
    <row r="7628" spans="1:2">
      <c r="A7628" s="1" t="s">
        <v>7874</v>
      </c>
      <c r="B7628" t="s">
        <v>901</v>
      </c>
    </row>
    <row r="7629" spans="1:2">
      <c r="A7629" s="1" t="s">
        <v>7875</v>
      </c>
      <c r="B7629" t="s">
        <v>901</v>
      </c>
    </row>
    <row r="7630" spans="1:2">
      <c r="A7630" s="1" t="s">
        <v>7876</v>
      </c>
      <c r="B7630" t="s">
        <v>901</v>
      </c>
    </row>
    <row r="7631" spans="1:2">
      <c r="A7631" s="1" t="s">
        <v>7877</v>
      </c>
      <c r="B7631" t="s">
        <v>901</v>
      </c>
    </row>
    <row r="7632" spans="1:2">
      <c r="A7632" s="1" t="s">
        <v>7878</v>
      </c>
      <c r="B7632" t="s">
        <v>901</v>
      </c>
    </row>
    <row r="7633" spans="1:2">
      <c r="A7633" s="1" t="s">
        <v>7879</v>
      </c>
      <c r="B7633" t="s">
        <v>901</v>
      </c>
    </row>
    <row r="7634" spans="1:2">
      <c r="A7634" s="1" t="s">
        <v>7880</v>
      </c>
      <c r="B7634" t="s">
        <v>901</v>
      </c>
    </row>
    <row r="7635" spans="1:2">
      <c r="A7635" s="1" t="s">
        <v>7881</v>
      </c>
      <c r="B7635" t="s">
        <v>901</v>
      </c>
    </row>
    <row r="7636" spans="1:2">
      <c r="A7636" s="1" t="s">
        <v>7882</v>
      </c>
      <c r="B7636" t="s">
        <v>901</v>
      </c>
    </row>
    <row r="7637" spans="1:2">
      <c r="A7637" s="1" t="s">
        <v>7883</v>
      </c>
      <c r="B7637" t="s">
        <v>901</v>
      </c>
    </row>
    <row r="7638" spans="1:2">
      <c r="A7638" s="1" t="s">
        <v>7884</v>
      </c>
      <c r="B7638" t="s">
        <v>901</v>
      </c>
    </row>
    <row r="7639" spans="1:2">
      <c r="A7639" s="1" t="s">
        <v>7885</v>
      </c>
      <c r="B7639" t="s">
        <v>901</v>
      </c>
    </row>
    <row r="7640" spans="1:2">
      <c r="A7640" s="1" t="s">
        <v>7886</v>
      </c>
      <c r="B7640" t="s">
        <v>901</v>
      </c>
    </row>
    <row r="7641" spans="1:2">
      <c r="A7641" s="1" t="s">
        <v>7887</v>
      </c>
      <c r="B7641" t="s">
        <v>901</v>
      </c>
    </row>
    <row r="7642" spans="1:2">
      <c r="A7642" s="1" t="s">
        <v>7888</v>
      </c>
      <c r="B7642" t="s">
        <v>901</v>
      </c>
    </row>
    <row r="7643" spans="1:2">
      <c r="A7643" s="1" t="s">
        <v>7889</v>
      </c>
      <c r="B7643" t="s">
        <v>901</v>
      </c>
    </row>
    <row r="7644" spans="1:2">
      <c r="A7644" s="1" t="s">
        <v>7890</v>
      </c>
      <c r="B7644" t="s">
        <v>901</v>
      </c>
    </row>
    <row r="7645" spans="1:2">
      <c r="A7645" s="1" t="s">
        <v>7891</v>
      </c>
      <c r="B7645" t="s">
        <v>901</v>
      </c>
    </row>
    <row r="7646" spans="1:2">
      <c r="A7646" s="1" t="s">
        <v>7892</v>
      </c>
      <c r="B7646" t="s">
        <v>901</v>
      </c>
    </row>
    <row r="7647" spans="1:2">
      <c r="A7647" s="1" t="s">
        <v>7893</v>
      </c>
      <c r="B7647" t="s">
        <v>901</v>
      </c>
    </row>
    <row r="7648" spans="1:2">
      <c r="A7648" s="1" t="s">
        <v>7894</v>
      </c>
      <c r="B7648" t="s">
        <v>901</v>
      </c>
    </row>
    <row r="7649" spans="1:2">
      <c r="A7649" s="1" t="s">
        <v>7895</v>
      </c>
      <c r="B7649" t="s">
        <v>901</v>
      </c>
    </row>
    <row r="7650" spans="1:2">
      <c r="A7650" s="1" t="s">
        <v>7896</v>
      </c>
      <c r="B7650" t="s">
        <v>901</v>
      </c>
    </row>
    <row r="7651" spans="1:2">
      <c r="A7651" s="1" t="s">
        <v>7897</v>
      </c>
      <c r="B7651" t="s">
        <v>901</v>
      </c>
    </row>
    <row r="7652" spans="1:2">
      <c r="A7652" s="1" t="s">
        <v>7898</v>
      </c>
      <c r="B7652" t="s">
        <v>901</v>
      </c>
    </row>
    <row r="7653" spans="1:2">
      <c r="A7653" s="1" t="s">
        <v>7899</v>
      </c>
      <c r="B7653" t="s">
        <v>901</v>
      </c>
    </row>
    <row r="7654" spans="1:2">
      <c r="A7654" s="1" t="s">
        <v>7900</v>
      </c>
      <c r="B7654" t="s">
        <v>901</v>
      </c>
    </row>
    <row r="7655" spans="1:2">
      <c r="A7655" s="1" t="s">
        <v>7901</v>
      </c>
      <c r="B7655" t="s">
        <v>901</v>
      </c>
    </row>
    <row r="7656" spans="1:2">
      <c r="A7656" s="1" t="s">
        <v>7902</v>
      </c>
      <c r="B7656" t="s">
        <v>901</v>
      </c>
    </row>
    <row r="7657" spans="1:2">
      <c r="A7657" s="1" t="s">
        <v>7903</v>
      </c>
      <c r="B7657" t="s">
        <v>901</v>
      </c>
    </row>
    <row r="7658" spans="1:2">
      <c r="A7658" s="1" t="s">
        <v>7904</v>
      </c>
      <c r="B7658" t="s">
        <v>901</v>
      </c>
    </row>
    <row r="7659" spans="1:2">
      <c r="A7659" s="1" t="s">
        <v>7905</v>
      </c>
      <c r="B7659" t="s">
        <v>901</v>
      </c>
    </row>
    <row r="7660" spans="1:2">
      <c r="A7660" s="1" t="s">
        <v>7906</v>
      </c>
      <c r="B7660" t="s">
        <v>901</v>
      </c>
    </row>
    <row r="7661" spans="1:2">
      <c r="A7661" s="1" t="s">
        <v>7907</v>
      </c>
      <c r="B7661" t="s">
        <v>901</v>
      </c>
    </row>
    <row r="7662" spans="1:2">
      <c r="A7662" s="1" t="s">
        <v>7908</v>
      </c>
      <c r="B7662" t="s">
        <v>901</v>
      </c>
    </row>
    <row r="7663" spans="1:2">
      <c r="A7663" s="1" t="s">
        <v>7909</v>
      </c>
      <c r="B7663" t="s">
        <v>901</v>
      </c>
    </row>
    <row r="7664" spans="1:2">
      <c r="A7664" s="1" t="s">
        <v>7910</v>
      </c>
      <c r="B7664" t="s">
        <v>901</v>
      </c>
    </row>
    <row r="7665" spans="1:2">
      <c r="A7665" s="1" t="s">
        <v>7911</v>
      </c>
      <c r="B7665" t="s">
        <v>901</v>
      </c>
    </row>
    <row r="7666" spans="1:2">
      <c r="A7666" s="1" t="s">
        <v>7912</v>
      </c>
      <c r="B7666" t="s">
        <v>901</v>
      </c>
    </row>
    <row r="7667" spans="1:2">
      <c r="A7667" s="1" t="s">
        <v>7913</v>
      </c>
      <c r="B7667" t="s">
        <v>901</v>
      </c>
    </row>
    <row r="7668" spans="1:2">
      <c r="A7668" s="1" t="s">
        <v>7914</v>
      </c>
      <c r="B7668" t="s">
        <v>901</v>
      </c>
    </row>
    <row r="7669" spans="1:2">
      <c r="A7669" s="1" t="s">
        <v>7915</v>
      </c>
      <c r="B7669" t="s">
        <v>901</v>
      </c>
    </row>
    <row r="7670" spans="1:2">
      <c r="A7670" s="1" t="s">
        <v>7916</v>
      </c>
      <c r="B7670" t="s">
        <v>901</v>
      </c>
    </row>
    <row r="7671" spans="1:2">
      <c r="A7671" s="1" t="s">
        <v>7917</v>
      </c>
      <c r="B7671" t="s">
        <v>901</v>
      </c>
    </row>
    <row r="7672" spans="1:2">
      <c r="A7672" s="1" t="s">
        <v>7918</v>
      </c>
      <c r="B7672" t="s">
        <v>901</v>
      </c>
    </row>
    <row r="7673" spans="1:2">
      <c r="A7673" s="1" t="s">
        <v>7919</v>
      </c>
      <c r="B7673" t="s">
        <v>901</v>
      </c>
    </row>
    <row r="7674" spans="1:2">
      <c r="A7674" s="1" t="s">
        <v>7920</v>
      </c>
      <c r="B7674" t="s">
        <v>901</v>
      </c>
    </row>
    <row r="7675" spans="1:2">
      <c r="A7675" s="1" t="s">
        <v>7921</v>
      </c>
      <c r="B7675" t="s">
        <v>901</v>
      </c>
    </row>
    <row r="7676" spans="1:2">
      <c r="A7676" s="1" t="s">
        <v>7922</v>
      </c>
      <c r="B7676" t="s">
        <v>901</v>
      </c>
    </row>
    <row r="7677" spans="1:2">
      <c r="A7677" s="1" t="s">
        <v>7923</v>
      </c>
      <c r="B7677" t="s">
        <v>901</v>
      </c>
    </row>
    <row r="7678" spans="1:2">
      <c r="A7678" s="1" t="s">
        <v>7924</v>
      </c>
      <c r="B7678" t="s">
        <v>901</v>
      </c>
    </row>
    <row r="7679" spans="1:2">
      <c r="A7679" s="1" t="s">
        <v>7925</v>
      </c>
      <c r="B7679" t="s">
        <v>901</v>
      </c>
    </row>
    <row r="7680" spans="1:2">
      <c r="A7680" s="1" t="s">
        <v>7926</v>
      </c>
      <c r="B7680" t="s">
        <v>901</v>
      </c>
    </row>
    <row r="7681" spans="1:2">
      <c r="A7681" s="1" t="s">
        <v>7927</v>
      </c>
      <c r="B7681" t="s">
        <v>901</v>
      </c>
    </row>
    <row r="7682" spans="1:2">
      <c r="A7682" s="1" t="s">
        <v>7928</v>
      </c>
      <c r="B7682" t="s">
        <v>901</v>
      </c>
    </row>
    <row r="7683" spans="1:2">
      <c r="A7683" s="1" t="s">
        <v>7929</v>
      </c>
      <c r="B7683" t="s">
        <v>901</v>
      </c>
    </row>
    <row r="7684" spans="1:2">
      <c r="A7684" s="1" t="s">
        <v>7930</v>
      </c>
      <c r="B7684" t="s">
        <v>901</v>
      </c>
    </row>
    <row r="7685" spans="1:2">
      <c r="A7685" s="1" t="s">
        <v>7931</v>
      </c>
      <c r="B7685" t="s">
        <v>901</v>
      </c>
    </row>
    <row r="7686" spans="1:2">
      <c r="A7686" s="1" t="s">
        <v>7932</v>
      </c>
      <c r="B7686" t="s">
        <v>901</v>
      </c>
    </row>
    <row r="7687" spans="1:2">
      <c r="A7687" s="1" t="s">
        <v>7933</v>
      </c>
      <c r="B7687" t="s">
        <v>901</v>
      </c>
    </row>
    <row r="7688" spans="1:2">
      <c r="A7688" s="1" t="s">
        <v>7934</v>
      </c>
      <c r="B7688" t="s">
        <v>901</v>
      </c>
    </row>
    <row r="7689" spans="1:2">
      <c r="A7689" s="1" t="s">
        <v>7935</v>
      </c>
      <c r="B7689" t="s">
        <v>901</v>
      </c>
    </row>
    <row r="7690" spans="1:2">
      <c r="A7690" s="1" t="s">
        <v>7936</v>
      </c>
      <c r="B7690" t="s">
        <v>901</v>
      </c>
    </row>
    <row r="7691" spans="1:2">
      <c r="A7691" s="1" t="s">
        <v>7937</v>
      </c>
      <c r="B7691" t="s">
        <v>901</v>
      </c>
    </row>
    <row r="7692" spans="1:2">
      <c r="A7692" s="1" t="s">
        <v>7938</v>
      </c>
      <c r="B7692" t="s">
        <v>901</v>
      </c>
    </row>
    <row r="7693" spans="1:2">
      <c r="A7693" s="1" t="s">
        <v>7939</v>
      </c>
      <c r="B7693" t="s">
        <v>901</v>
      </c>
    </row>
    <row r="7694" spans="1:2">
      <c r="A7694" s="1" t="s">
        <v>7940</v>
      </c>
      <c r="B7694" t="s">
        <v>901</v>
      </c>
    </row>
    <row r="7695" spans="1:2">
      <c r="A7695" s="1" t="s">
        <v>7941</v>
      </c>
      <c r="B7695" t="s">
        <v>901</v>
      </c>
    </row>
    <row r="7696" spans="1:2">
      <c r="A7696" s="1" t="s">
        <v>7942</v>
      </c>
      <c r="B7696" t="s">
        <v>901</v>
      </c>
    </row>
    <row r="7697" spans="1:2">
      <c r="A7697" s="1" t="s">
        <v>7943</v>
      </c>
      <c r="B7697" t="s">
        <v>901</v>
      </c>
    </row>
    <row r="7698" spans="1:2">
      <c r="A7698" s="1" t="s">
        <v>7944</v>
      </c>
      <c r="B7698" t="s">
        <v>901</v>
      </c>
    </row>
    <row r="7699" spans="1:2">
      <c r="A7699" s="1" t="s">
        <v>7945</v>
      </c>
      <c r="B7699" t="s">
        <v>901</v>
      </c>
    </row>
    <row r="7700" spans="1:2">
      <c r="A7700" s="1" t="s">
        <v>7946</v>
      </c>
      <c r="B7700" t="s">
        <v>901</v>
      </c>
    </row>
    <row r="7701" spans="1:2">
      <c r="A7701" s="1" t="s">
        <v>7947</v>
      </c>
      <c r="B7701" t="s">
        <v>901</v>
      </c>
    </row>
    <row r="7702" spans="1:2">
      <c r="A7702" s="1" t="s">
        <v>7948</v>
      </c>
      <c r="B7702" t="s">
        <v>901</v>
      </c>
    </row>
    <row r="7703" spans="1:2">
      <c r="A7703" s="1" t="s">
        <v>7949</v>
      </c>
      <c r="B7703" t="s">
        <v>901</v>
      </c>
    </row>
    <row r="7704" spans="1:2">
      <c r="A7704" s="1" t="s">
        <v>7950</v>
      </c>
      <c r="B7704" t="s">
        <v>901</v>
      </c>
    </row>
    <row r="7705" spans="1:2">
      <c r="A7705" s="1" t="s">
        <v>7951</v>
      </c>
      <c r="B7705" t="s">
        <v>901</v>
      </c>
    </row>
    <row r="7706" spans="1:2">
      <c r="A7706" s="1" t="s">
        <v>7952</v>
      </c>
      <c r="B7706" t="s">
        <v>901</v>
      </c>
    </row>
    <row r="7707" spans="1:2">
      <c r="A7707" s="1" t="s">
        <v>7953</v>
      </c>
      <c r="B7707" t="s">
        <v>901</v>
      </c>
    </row>
    <row r="7708" spans="1:2">
      <c r="A7708" s="1" t="s">
        <v>7954</v>
      </c>
      <c r="B7708" t="s">
        <v>901</v>
      </c>
    </row>
    <row r="7709" spans="1:2">
      <c r="A7709" s="1" t="s">
        <v>7955</v>
      </c>
      <c r="B7709" t="s">
        <v>901</v>
      </c>
    </row>
    <row r="7710" spans="1:2">
      <c r="A7710" s="1" t="s">
        <v>7956</v>
      </c>
      <c r="B7710" t="s">
        <v>901</v>
      </c>
    </row>
    <row r="7711" spans="1:2">
      <c r="A7711" s="1" t="s">
        <v>7957</v>
      </c>
      <c r="B7711" t="s">
        <v>901</v>
      </c>
    </row>
    <row r="7712" spans="1:2">
      <c r="A7712" s="1" t="s">
        <v>7958</v>
      </c>
      <c r="B7712" t="s">
        <v>901</v>
      </c>
    </row>
    <row r="7713" spans="1:2">
      <c r="A7713" s="1" t="s">
        <v>7959</v>
      </c>
      <c r="B7713" t="s">
        <v>901</v>
      </c>
    </row>
    <row r="7714" spans="1:2">
      <c r="A7714" s="1" t="s">
        <v>7960</v>
      </c>
      <c r="B7714" t="s">
        <v>901</v>
      </c>
    </row>
    <row r="7715" spans="1:2">
      <c r="A7715" s="1" t="s">
        <v>7961</v>
      </c>
      <c r="B7715" t="s">
        <v>901</v>
      </c>
    </row>
    <row r="7716" spans="1:2">
      <c r="A7716" s="1" t="s">
        <v>7962</v>
      </c>
      <c r="B7716" t="s">
        <v>901</v>
      </c>
    </row>
    <row r="7717" spans="1:2">
      <c r="A7717" s="1" t="s">
        <v>7963</v>
      </c>
      <c r="B7717" t="s">
        <v>901</v>
      </c>
    </row>
    <row r="7718" spans="1:2">
      <c r="A7718" s="1" t="s">
        <v>7964</v>
      </c>
      <c r="B7718" t="s">
        <v>901</v>
      </c>
    </row>
    <row r="7719" spans="1:2">
      <c r="A7719" s="1" t="s">
        <v>7965</v>
      </c>
      <c r="B7719" t="s">
        <v>901</v>
      </c>
    </row>
    <row r="7720" spans="1:2">
      <c r="A7720" s="1" t="s">
        <v>7966</v>
      </c>
      <c r="B7720" t="s">
        <v>901</v>
      </c>
    </row>
    <row r="7721" spans="1:2">
      <c r="A7721" s="1" t="s">
        <v>7967</v>
      </c>
      <c r="B7721" t="s">
        <v>901</v>
      </c>
    </row>
    <row r="7722" spans="1:2">
      <c r="A7722" s="1" t="s">
        <v>7968</v>
      </c>
      <c r="B7722" t="s">
        <v>901</v>
      </c>
    </row>
    <row r="7723" spans="1:2">
      <c r="A7723" s="1" t="s">
        <v>7969</v>
      </c>
      <c r="B7723" t="s">
        <v>901</v>
      </c>
    </row>
    <row r="7724" spans="1:2">
      <c r="A7724" s="1" t="s">
        <v>7970</v>
      </c>
      <c r="B7724" t="s">
        <v>901</v>
      </c>
    </row>
    <row r="7725" spans="1:2">
      <c r="A7725" s="1" t="s">
        <v>7971</v>
      </c>
      <c r="B7725" t="s">
        <v>901</v>
      </c>
    </row>
    <row r="7726" spans="1:2">
      <c r="A7726" s="1" t="s">
        <v>7972</v>
      </c>
      <c r="B7726" t="s">
        <v>901</v>
      </c>
    </row>
    <row r="7727" spans="1:2">
      <c r="A7727" s="1" t="s">
        <v>7973</v>
      </c>
      <c r="B7727" t="s">
        <v>901</v>
      </c>
    </row>
    <row r="7728" spans="1:2">
      <c r="A7728" s="1" t="s">
        <v>7974</v>
      </c>
      <c r="B7728" t="s">
        <v>901</v>
      </c>
    </row>
    <row r="7729" spans="1:2">
      <c r="A7729" s="1" t="s">
        <v>7975</v>
      </c>
      <c r="B7729" t="s">
        <v>901</v>
      </c>
    </row>
    <row r="7730" spans="1:2">
      <c r="A7730" s="1" t="s">
        <v>7976</v>
      </c>
      <c r="B7730" t="s">
        <v>901</v>
      </c>
    </row>
    <row r="7731" spans="1:2">
      <c r="A7731" s="1" t="s">
        <v>7977</v>
      </c>
      <c r="B7731" t="s">
        <v>901</v>
      </c>
    </row>
    <row r="7732" spans="1:2">
      <c r="A7732" s="1" t="s">
        <v>7978</v>
      </c>
      <c r="B7732" t="s">
        <v>901</v>
      </c>
    </row>
    <row r="7733" spans="1:2">
      <c r="A7733" s="1" t="s">
        <v>7979</v>
      </c>
      <c r="B7733" t="s">
        <v>901</v>
      </c>
    </row>
    <row r="7734" spans="1:2">
      <c r="A7734" s="1" t="s">
        <v>7980</v>
      </c>
      <c r="B7734" t="s">
        <v>901</v>
      </c>
    </row>
    <row r="7735" spans="1:2">
      <c r="A7735" s="1" t="s">
        <v>7981</v>
      </c>
      <c r="B7735" t="s">
        <v>901</v>
      </c>
    </row>
    <row r="7736" spans="1:2">
      <c r="A7736" s="1" t="s">
        <v>7982</v>
      </c>
      <c r="B7736" t="s">
        <v>901</v>
      </c>
    </row>
    <row r="7737" spans="1:2">
      <c r="A7737" s="1" t="s">
        <v>7983</v>
      </c>
      <c r="B7737" t="s">
        <v>901</v>
      </c>
    </row>
    <row r="7738" spans="1:2">
      <c r="A7738" s="1" t="s">
        <v>7984</v>
      </c>
      <c r="B7738" t="s">
        <v>901</v>
      </c>
    </row>
    <row r="7739" spans="1:2">
      <c r="A7739" s="1" t="s">
        <v>7985</v>
      </c>
      <c r="B7739" t="s">
        <v>901</v>
      </c>
    </row>
    <row r="7740" spans="1:2">
      <c r="A7740" s="1" t="s">
        <v>7986</v>
      </c>
      <c r="B7740" t="s">
        <v>901</v>
      </c>
    </row>
    <row r="7741" spans="1:2">
      <c r="A7741" s="1" t="s">
        <v>7987</v>
      </c>
      <c r="B7741" t="s">
        <v>901</v>
      </c>
    </row>
    <row r="7742" spans="1:2">
      <c r="A7742" s="1" t="s">
        <v>7988</v>
      </c>
      <c r="B7742" t="s">
        <v>901</v>
      </c>
    </row>
    <row r="7743" spans="1:2">
      <c r="A7743" s="1" t="s">
        <v>7989</v>
      </c>
      <c r="B7743" t="s">
        <v>901</v>
      </c>
    </row>
    <row r="7744" spans="1:2">
      <c r="A7744" s="1" t="s">
        <v>7990</v>
      </c>
      <c r="B7744" t="s">
        <v>901</v>
      </c>
    </row>
    <row r="7745" spans="1:2">
      <c r="A7745" s="1" t="s">
        <v>7991</v>
      </c>
      <c r="B7745" t="s">
        <v>901</v>
      </c>
    </row>
    <row r="7746" spans="1:2">
      <c r="A7746" s="1" t="s">
        <v>7992</v>
      </c>
      <c r="B7746" t="s">
        <v>901</v>
      </c>
    </row>
    <row r="7747" spans="1:2">
      <c r="A7747" s="1" t="s">
        <v>7993</v>
      </c>
      <c r="B7747" t="s">
        <v>901</v>
      </c>
    </row>
    <row r="7748" spans="1:2">
      <c r="A7748" s="1" t="s">
        <v>7994</v>
      </c>
      <c r="B7748" t="s">
        <v>901</v>
      </c>
    </row>
    <row r="7749" spans="1:2">
      <c r="A7749" s="1" t="s">
        <v>7995</v>
      </c>
      <c r="B7749" t="s">
        <v>901</v>
      </c>
    </row>
    <row r="7750" spans="1:2">
      <c r="A7750" s="1" t="s">
        <v>7996</v>
      </c>
      <c r="B7750" t="s">
        <v>10229</v>
      </c>
    </row>
    <row r="7751" spans="1:2">
      <c r="A7751" s="1" t="s">
        <v>7997</v>
      </c>
      <c r="B7751" t="s">
        <v>901</v>
      </c>
    </row>
    <row r="7752" spans="1:2">
      <c r="A7752" s="1" t="s">
        <v>7998</v>
      </c>
      <c r="B7752" t="s">
        <v>901</v>
      </c>
    </row>
    <row r="7753" spans="1:2">
      <c r="A7753" s="1" t="s">
        <v>7999</v>
      </c>
      <c r="B7753" t="s">
        <v>901</v>
      </c>
    </row>
    <row r="7754" spans="1:2">
      <c r="A7754" s="1" t="s">
        <v>8000</v>
      </c>
      <c r="B7754" t="s">
        <v>901</v>
      </c>
    </row>
    <row r="7755" spans="1:2">
      <c r="A7755" s="1" t="s">
        <v>8001</v>
      </c>
      <c r="B7755" t="s">
        <v>901</v>
      </c>
    </row>
    <row r="7756" spans="1:2">
      <c r="A7756" s="1" t="s">
        <v>8002</v>
      </c>
      <c r="B7756" t="s">
        <v>901</v>
      </c>
    </row>
    <row r="7757" spans="1:2">
      <c r="A7757" s="1" t="s">
        <v>8003</v>
      </c>
      <c r="B7757" t="s">
        <v>901</v>
      </c>
    </row>
    <row r="7758" spans="1:2">
      <c r="A7758" s="1" t="s">
        <v>8004</v>
      </c>
      <c r="B7758" t="s">
        <v>901</v>
      </c>
    </row>
    <row r="7759" spans="1:2">
      <c r="A7759" s="1" t="s">
        <v>8005</v>
      </c>
      <c r="B7759" t="s">
        <v>901</v>
      </c>
    </row>
    <row r="7760" spans="1:2">
      <c r="A7760" s="1" t="s">
        <v>8006</v>
      </c>
      <c r="B7760" t="s">
        <v>901</v>
      </c>
    </row>
    <row r="7761" spans="1:2">
      <c r="A7761" s="1" t="s">
        <v>8007</v>
      </c>
      <c r="B7761" t="s">
        <v>901</v>
      </c>
    </row>
    <row r="7762" spans="1:2">
      <c r="A7762" s="1" t="s">
        <v>8008</v>
      </c>
      <c r="B7762" t="s">
        <v>901</v>
      </c>
    </row>
    <row r="7763" spans="1:2">
      <c r="A7763" s="1" t="s">
        <v>8009</v>
      </c>
      <c r="B7763" t="s">
        <v>901</v>
      </c>
    </row>
    <row r="7764" spans="1:2">
      <c r="A7764" s="1" t="s">
        <v>8010</v>
      </c>
      <c r="B7764" t="s">
        <v>901</v>
      </c>
    </row>
    <row r="7765" spans="1:2">
      <c r="A7765" s="1" t="s">
        <v>8011</v>
      </c>
      <c r="B7765" t="s">
        <v>901</v>
      </c>
    </row>
    <row r="7766" spans="1:2">
      <c r="A7766" s="1" t="s">
        <v>8012</v>
      </c>
      <c r="B7766" t="s">
        <v>901</v>
      </c>
    </row>
    <row r="7767" spans="1:2">
      <c r="A7767" s="1" t="s">
        <v>8013</v>
      </c>
      <c r="B7767" t="s">
        <v>901</v>
      </c>
    </row>
    <row r="7768" spans="1:2">
      <c r="A7768" s="1" t="s">
        <v>8014</v>
      </c>
      <c r="B7768" t="s">
        <v>901</v>
      </c>
    </row>
    <row r="7769" spans="1:2">
      <c r="A7769" s="1" t="s">
        <v>8015</v>
      </c>
      <c r="B7769" t="s">
        <v>901</v>
      </c>
    </row>
    <row r="7770" spans="1:2">
      <c r="A7770" s="1" t="s">
        <v>8016</v>
      </c>
      <c r="B7770" t="s">
        <v>901</v>
      </c>
    </row>
    <row r="7771" spans="1:2">
      <c r="A7771" s="1" t="s">
        <v>8017</v>
      </c>
      <c r="B7771" t="s">
        <v>901</v>
      </c>
    </row>
    <row r="7772" spans="1:2">
      <c r="A7772" s="1" t="s">
        <v>8018</v>
      </c>
      <c r="B7772" t="s">
        <v>901</v>
      </c>
    </row>
    <row r="7773" spans="1:2">
      <c r="A7773" s="1" t="s">
        <v>8019</v>
      </c>
      <c r="B7773" t="s">
        <v>901</v>
      </c>
    </row>
    <row r="7774" spans="1:2">
      <c r="A7774" s="1" t="s">
        <v>8020</v>
      </c>
      <c r="B7774" t="s">
        <v>901</v>
      </c>
    </row>
    <row r="7775" spans="1:2">
      <c r="A7775" s="1" t="s">
        <v>8021</v>
      </c>
      <c r="B7775" t="s">
        <v>901</v>
      </c>
    </row>
    <row r="7776" spans="1:2">
      <c r="A7776" s="1" t="s">
        <v>8022</v>
      </c>
      <c r="B7776" t="s">
        <v>901</v>
      </c>
    </row>
    <row r="7777" spans="1:2">
      <c r="A7777" s="1" t="s">
        <v>8023</v>
      </c>
      <c r="B7777" t="s">
        <v>901</v>
      </c>
    </row>
    <row r="7778" spans="1:2">
      <c r="A7778" s="1" t="s">
        <v>8024</v>
      </c>
      <c r="B7778" t="s">
        <v>901</v>
      </c>
    </row>
    <row r="7779" spans="1:2">
      <c r="A7779" s="1" t="s">
        <v>8025</v>
      </c>
      <c r="B7779" t="s">
        <v>901</v>
      </c>
    </row>
    <row r="7780" spans="1:2">
      <c r="A7780" s="1" t="s">
        <v>8026</v>
      </c>
      <c r="B7780" t="s">
        <v>901</v>
      </c>
    </row>
    <row r="7781" spans="1:2">
      <c r="A7781" s="1" t="s">
        <v>8027</v>
      </c>
      <c r="B7781" t="s">
        <v>901</v>
      </c>
    </row>
    <row r="7782" spans="1:2">
      <c r="A7782" s="1" t="s">
        <v>8028</v>
      </c>
      <c r="B7782" t="s">
        <v>901</v>
      </c>
    </row>
    <row r="7783" spans="1:2">
      <c r="A7783" s="1" t="s">
        <v>8029</v>
      </c>
      <c r="B7783" t="s">
        <v>901</v>
      </c>
    </row>
    <row r="7784" spans="1:2">
      <c r="A7784" s="1" t="s">
        <v>8030</v>
      </c>
      <c r="B7784" t="s">
        <v>901</v>
      </c>
    </row>
    <row r="7785" spans="1:2">
      <c r="A7785" s="1" t="s">
        <v>8031</v>
      </c>
      <c r="B7785" t="s">
        <v>901</v>
      </c>
    </row>
    <row r="7786" spans="1:2">
      <c r="A7786" s="1" t="s">
        <v>8032</v>
      </c>
      <c r="B7786" t="s">
        <v>901</v>
      </c>
    </row>
    <row r="7787" spans="1:2">
      <c r="A7787" s="1" t="s">
        <v>8033</v>
      </c>
      <c r="B7787" t="s">
        <v>901</v>
      </c>
    </row>
    <row r="7788" spans="1:2">
      <c r="A7788" s="1" t="s">
        <v>8034</v>
      </c>
      <c r="B7788" t="s">
        <v>901</v>
      </c>
    </row>
    <row r="7789" spans="1:2">
      <c r="A7789" s="1" t="s">
        <v>8035</v>
      </c>
      <c r="B7789" t="s">
        <v>901</v>
      </c>
    </row>
    <row r="7790" spans="1:2">
      <c r="A7790" s="1" t="s">
        <v>8036</v>
      </c>
      <c r="B7790" t="s">
        <v>901</v>
      </c>
    </row>
    <row r="7791" spans="1:2">
      <c r="A7791" s="1" t="s">
        <v>8037</v>
      </c>
      <c r="B7791" t="s">
        <v>901</v>
      </c>
    </row>
    <row r="7792" spans="1:2">
      <c r="A7792" s="1" t="s">
        <v>8038</v>
      </c>
      <c r="B7792" t="s">
        <v>901</v>
      </c>
    </row>
    <row r="7793" spans="1:2">
      <c r="A7793" s="1" t="s">
        <v>8039</v>
      </c>
      <c r="B7793" t="s">
        <v>901</v>
      </c>
    </row>
    <row r="7794" spans="1:2">
      <c r="A7794" s="1" t="s">
        <v>8040</v>
      </c>
      <c r="B7794" t="s">
        <v>901</v>
      </c>
    </row>
    <row r="7795" spans="1:2">
      <c r="A7795" s="1" t="s">
        <v>8041</v>
      </c>
      <c r="B7795" t="s">
        <v>901</v>
      </c>
    </row>
    <row r="7796" spans="1:2">
      <c r="A7796" s="1" t="s">
        <v>8042</v>
      </c>
      <c r="B7796" t="s">
        <v>901</v>
      </c>
    </row>
    <row r="7797" spans="1:2">
      <c r="A7797" s="1" t="s">
        <v>8043</v>
      </c>
      <c r="B7797" t="s">
        <v>901</v>
      </c>
    </row>
    <row r="7798" spans="1:2">
      <c r="A7798" s="1" t="s">
        <v>8044</v>
      </c>
      <c r="B7798" t="s">
        <v>901</v>
      </c>
    </row>
    <row r="7799" spans="1:2">
      <c r="A7799" s="1" t="s">
        <v>8045</v>
      </c>
      <c r="B7799" t="s">
        <v>901</v>
      </c>
    </row>
    <row r="7800" spans="1:2">
      <c r="A7800" s="1" t="s">
        <v>8046</v>
      </c>
      <c r="B7800" t="s">
        <v>901</v>
      </c>
    </row>
    <row r="7801" spans="1:2">
      <c r="A7801" s="1" t="s">
        <v>8047</v>
      </c>
      <c r="B7801" t="s">
        <v>901</v>
      </c>
    </row>
    <row r="7802" spans="1:2">
      <c r="A7802" s="1" t="s">
        <v>8048</v>
      </c>
      <c r="B7802" t="s">
        <v>901</v>
      </c>
    </row>
    <row r="7803" spans="1:2">
      <c r="A7803" s="1" t="s">
        <v>8049</v>
      </c>
      <c r="B7803" t="s">
        <v>901</v>
      </c>
    </row>
    <row r="7804" spans="1:2">
      <c r="A7804" s="1" t="s">
        <v>8050</v>
      </c>
      <c r="B7804" t="s">
        <v>901</v>
      </c>
    </row>
    <row r="7805" spans="1:2">
      <c r="A7805" s="1" t="s">
        <v>8051</v>
      </c>
      <c r="B7805" t="s">
        <v>901</v>
      </c>
    </row>
    <row r="7806" spans="1:2">
      <c r="A7806" s="1" t="s">
        <v>8052</v>
      </c>
      <c r="B7806" t="s">
        <v>901</v>
      </c>
    </row>
    <row r="7807" spans="1:2">
      <c r="A7807" s="1" t="s">
        <v>8053</v>
      </c>
      <c r="B7807" t="s">
        <v>901</v>
      </c>
    </row>
    <row r="7808" spans="1:2">
      <c r="A7808" s="1" t="s">
        <v>8054</v>
      </c>
      <c r="B7808" t="s">
        <v>901</v>
      </c>
    </row>
    <row r="7809" spans="1:2">
      <c r="A7809" s="1" t="s">
        <v>8055</v>
      </c>
      <c r="B7809" t="s">
        <v>901</v>
      </c>
    </row>
    <row r="7810" spans="1:2">
      <c r="A7810" s="1" t="s">
        <v>8056</v>
      </c>
      <c r="B7810" t="s">
        <v>901</v>
      </c>
    </row>
    <row r="7811" spans="1:2">
      <c r="A7811" s="1" t="s">
        <v>8057</v>
      </c>
      <c r="B7811" t="s">
        <v>901</v>
      </c>
    </row>
    <row r="7812" spans="1:2">
      <c r="A7812" s="1" t="s">
        <v>8058</v>
      </c>
      <c r="B7812" t="s">
        <v>901</v>
      </c>
    </row>
    <row r="7813" spans="1:2">
      <c r="A7813" s="1" t="s">
        <v>8059</v>
      </c>
      <c r="B7813" t="s">
        <v>901</v>
      </c>
    </row>
    <row r="7814" spans="1:2">
      <c r="A7814" s="1" t="s">
        <v>8060</v>
      </c>
      <c r="B7814" t="s">
        <v>901</v>
      </c>
    </row>
    <row r="7815" spans="1:2">
      <c r="A7815" s="1" t="s">
        <v>8061</v>
      </c>
      <c r="B7815" t="s">
        <v>901</v>
      </c>
    </row>
    <row r="7816" spans="1:2">
      <c r="A7816" s="1" t="s">
        <v>8062</v>
      </c>
      <c r="B7816" t="s">
        <v>901</v>
      </c>
    </row>
    <row r="7817" spans="1:2">
      <c r="A7817" s="1" t="s">
        <v>8063</v>
      </c>
      <c r="B7817" t="s">
        <v>901</v>
      </c>
    </row>
    <row r="7818" spans="1:2">
      <c r="A7818" s="1" t="s">
        <v>8064</v>
      </c>
      <c r="B7818" t="s">
        <v>901</v>
      </c>
    </row>
    <row r="7819" spans="1:2">
      <c r="A7819" s="1" t="s">
        <v>8065</v>
      </c>
      <c r="B7819" t="s">
        <v>901</v>
      </c>
    </row>
    <row r="7820" spans="1:2">
      <c r="A7820" s="1" t="s">
        <v>8066</v>
      </c>
      <c r="B7820" t="s">
        <v>901</v>
      </c>
    </row>
    <row r="7821" spans="1:2">
      <c r="A7821" s="1" t="s">
        <v>8067</v>
      </c>
      <c r="B7821" t="s">
        <v>901</v>
      </c>
    </row>
    <row r="7822" spans="1:2">
      <c r="A7822" s="1" t="s">
        <v>8068</v>
      </c>
      <c r="B7822" t="s">
        <v>901</v>
      </c>
    </row>
    <row r="7823" spans="1:2">
      <c r="A7823" s="1" t="s">
        <v>8069</v>
      </c>
      <c r="B7823" t="s">
        <v>901</v>
      </c>
    </row>
    <row r="7824" spans="1:2">
      <c r="A7824" s="1" t="s">
        <v>8070</v>
      </c>
      <c r="B7824" t="s">
        <v>901</v>
      </c>
    </row>
    <row r="7825" spans="1:2">
      <c r="A7825" s="1" t="s">
        <v>8071</v>
      </c>
      <c r="B7825" t="s">
        <v>901</v>
      </c>
    </row>
    <row r="7826" spans="1:2">
      <c r="A7826" s="1" t="s">
        <v>8072</v>
      </c>
      <c r="B7826" t="s">
        <v>901</v>
      </c>
    </row>
    <row r="7827" spans="1:2">
      <c r="A7827" s="1" t="s">
        <v>8073</v>
      </c>
      <c r="B7827" t="s">
        <v>901</v>
      </c>
    </row>
    <row r="7828" spans="1:2">
      <c r="A7828" s="1" t="s">
        <v>8074</v>
      </c>
      <c r="B7828" t="s">
        <v>901</v>
      </c>
    </row>
    <row r="7829" spans="1:2">
      <c r="A7829" s="1" t="s">
        <v>8075</v>
      </c>
      <c r="B7829" t="s">
        <v>901</v>
      </c>
    </row>
    <row r="7830" spans="1:2">
      <c r="A7830" s="1" t="s">
        <v>8076</v>
      </c>
      <c r="B7830" t="s">
        <v>901</v>
      </c>
    </row>
    <row r="7831" spans="1:2">
      <c r="A7831" s="1" t="s">
        <v>8077</v>
      </c>
      <c r="B7831" t="s">
        <v>901</v>
      </c>
    </row>
    <row r="7832" spans="1:2">
      <c r="A7832" s="1" t="s">
        <v>8078</v>
      </c>
      <c r="B7832" t="s">
        <v>901</v>
      </c>
    </row>
    <row r="7833" spans="1:2">
      <c r="A7833" s="1" t="s">
        <v>8079</v>
      </c>
      <c r="B7833" t="s">
        <v>901</v>
      </c>
    </row>
    <row r="7834" spans="1:2">
      <c r="A7834" s="1" t="s">
        <v>8080</v>
      </c>
      <c r="B7834" t="s">
        <v>901</v>
      </c>
    </row>
    <row r="7835" spans="1:2">
      <c r="A7835" s="1" t="s">
        <v>8081</v>
      </c>
      <c r="B7835" t="s">
        <v>901</v>
      </c>
    </row>
    <row r="7836" spans="1:2">
      <c r="A7836" s="1" t="s">
        <v>8082</v>
      </c>
      <c r="B7836" t="s">
        <v>901</v>
      </c>
    </row>
    <row r="7837" spans="1:2">
      <c r="A7837" s="1" t="s">
        <v>8083</v>
      </c>
      <c r="B7837" t="s">
        <v>901</v>
      </c>
    </row>
    <row r="7838" spans="1:2">
      <c r="A7838" s="1" t="s">
        <v>8084</v>
      </c>
      <c r="B7838" t="s">
        <v>901</v>
      </c>
    </row>
    <row r="7839" spans="1:2">
      <c r="A7839" s="1" t="s">
        <v>8085</v>
      </c>
      <c r="B7839" t="s">
        <v>901</v>
      </c>
    </row>
    <row r="7840" spans="1:2">
      <c r="A7840" s="1" t="s">
        <v>8086</v>
      </c>
      <c r="B7840" t="s">
        <v>901</v>
      </c>
    </row>
    <row r="7841" spans="1:2">
      <c r="A7841" s="1" t="s">
        <v>8087</v>
      </c>
      <c r="B7841" t="s">
        <v>901</v>
      </c>
    </row>
    <row r="7842" spans="1:2">
      <c r="A7842" s="1" t="s">
        <v>8088</v>
      </c>
      <c r="B7842" t="s">
        <v>901</v>
      </c>
    </row>
    <row r="7843" spans="1:2">
      <c r="A7843" s="1" t="s">
        <v>8089</v>
      </c>
      <c r="B7843" t="s">
        <v>10398</v>
      </c>
    </row>
    <row r="7844" spans="1:2">
      <c r="A7844" s="1" t="s">
        <v>8090</v>
      </c>
      <c r="B7844" t="s">
        <v>901</v>
      </c>
    </row>
    <row r="7845" spans="1:2">
      <c r="A7845" s="1" t="s">
        <v>8091</v>
      </c>
      <c r="B7845" t="s">
        <v>10502</v>
      </c>
    </row>
    <row r="7846" spans="1:2">
      <c r="A7846" s="1" t="s">
        <v>8092</v>
      </c>
      <c r="B7846" t="s">
        <v>901</v>
      </c>
    </row>
    <row r="7847" spans="1:2">
      <c r="A7847" s="1" t="s">
        <v>8093</v>
      </c>
      <c r="B7847" t="s">
        <v>901</v>
      </c>
    </row>
    <row r="7848" spans="1:2">
      <c r="A7848" s="1" t="s">
        <v>8094</v>
      </c>
      <c r="B7848" t="s">
        <v>901</v>
      </c>
    </row>
    <row r="7849" spans="1:2">
      <c r="A7849" s="1" t="s">
        <v>8095</v>
      </c>
      <c r="B7849" t="s">
        <v>901</v>
      </c>
    </row>
    <row r="7850" spans="1:2">
      <c r="A7850" s="1" t="s">
        <v>8096</v>
      </c>
      <c r="B7850" t="s">
        <v>901</v>
      </c>
    </row>
    <row r="7851" spans="1:2">
      <c r="A7851" s="1" t="s">
        <v>8097</v>
      </c>
      <c r="B7851" t="s">
        <v>901</v>
      </c>
    </row>
    <row r="7852" spans="1:2">
      <c r="A7852" s="1" t="s">
        <v>8098</v>
      </c>
      <c r="B7852" t="s">
        <v>901</v>
      </c>
    </row>
    <row r="7853" spans="1:2">
      <c r="A7853" s="1" t="s">
        <v>8099</v>
      </c>
      <c r="B7853" t="s">
        <v>901</v>
      </c>
    </row>
    <row r="7854" spans="1:2">
      <c r="A7854" s="1" t="s">
        <v>8100</v>
      </c>
      <c r="B7854" t="s">
        <v>901</v>
      </c>
    </row>
    <row r="7855" spans="1:2">
      <c r="A7855" s="1" t="s">
        <v>8101</v>
      </c>
      <c r="B7855" t="s">
        <v>901</v>
      </c>
    </row>
    <row r="7856" spans="1:2">
      <c r="A7856" s="1" t="s">
        <v>8102</v>
      </c>
      <c r="B7856" t="s">
        <v>901</v>
      </c>
    </row>
    <row r="7857" spans="1:2">
      <c r="A7857" s="1" t="s">
        <v>8103</v>
      </c>
      <c r="B7857" t="s">
        <v>901</v>
      </c>
    </row>
    <row r="7858" spans="1:2">
      <c r="A7858" s="1" t="s">
        <v>8104</v>
      </c>
      <c r="B7858" t="s">
        <v>901</v>
      </c>
    </row>
    <row r="7859" spans="1:2">
      <c r="A7859" s="1" t="s">
        <v>8105</v>
      </c>
      <c r="B7859" t="s">
        <v>901</v>
      </c>
    </row>
    <row r="7860" spans="1:2">
      <c r="A7860" s="1" t="s">
        <v>8106</v>
      </c>
      <c r="B7860" t="s">
        <v>901</v>
      </c>
    </row>
    <row r="7861" spans="1:2">
      <c r="A7861" s="1" t="s">
        <v>8107</v>
      </c>
      <c r="B7861" t="s">
        <v>901</v>
      </c>
    </row>
    <row r="7862" spans="1:2">
      <c r="A7862" s="1" t="s">
        <v>8108</v>
      </c>
      <c r="B7862" t="s">
        <v>901</v>
      </c>
    </row>
    <row r="7863" spans="1:2">
      <c r="A7863" s="1" t="s">
        <v>8109</v>
      </c>
      <c r="B7863" t="s">
        <v>901</v>
      </c>
    </row>
    <row r="7864" spans="1:2">
      <c r="A7864" s="1" t="s">
        <v>8110</v>
      </c>
      <c r="B7864" t="s">
        <v>901</v>
      </c>
    </row>
    <row r="7865" spans="1:2">
      <c r="A7865" s="1" t="s">
        <v>8111</v>
      </c>
      <c r="B7865" t="s">
        <v>901</v>
      </c>
    </row>
    <row r="7866" spans="1:2">
      <c r="A7866" s="1" t="s">
        <v>8112</v>
      </c>
      <c r="B7866" t="s">
        <v>901</v>
      </c>
    </row>
    <row r="7867" spans="1:2">
      <c r="A7867" s="1" t="s">
        <v>8113</v>
      </c>
      <c r="B7867" t="s">
        <v>901</v>
      </c>
    </row>
    <row r="7868" spans="1:2">
      <c r="A7868" s="1" t="s">
        <v>8114</v>
      </c>
      <c r="B7868" t="s">
        <v>901</v>
      </c>
    </row>
    <row r="7869" spans="1:2">
      <c r="A7869" s="1" t="s">
        <v>8115</v>
      </c>
      <c r="B7869" t="s">
        <v>901</v>
      </c>
    </row>
    <row r="7870" spans="1:2">
      <c r="A7870" s="1" t="s">
        <v>8116</v>
      </c>
      <c r="B7870" t="s">
        <v>901</v>
      </c>
    </row>
    <row r="7871" spans="1:2">
      <c r="A7871" s="1" t="s">
        <v>8117</v>
      </c>
      <c r="B7871" t="s">
        <v>901</v>
      </c>
    </row>
    <row r="7872" spans="1:2">
      <c r="A7872" s="1" t="s">
        <v>8118</v>
      </c>
      <c r="B7872" t="s">
        <v>901</v>
      </c>
    </row>
    <row r="7873" spans="1:2">
      <c r="A7873" s="1" t="s">
        <v>8119</v>
      </c>
      <c r="B7873" t="s">
        <v>901</v>
      </c>
    </row>
    <row r="7874" spans="1:2">
      <c r="A7874" s="1" t="s">
        <v>8120</v>
      </c>
      <c r="B7874" t="s">
        <v>901</v>
      </c>
    </row>
    <row r="7875" spans="1:2">
      <c r="A7875" s="1" t="s">
        <v>8121</v>
      </c>
      <c r="B7875" t="s">
        <v>901</v>
      </c>
    </row>
    <row r="7876" spans="1:2">
      <c r="A7876" s="1" t="s">
        <v>8122</v>
      </c>
      <c r="B7876" t="s">
        <v>901</v>
      </c>
    </row>
    <row r="7877" spans="1:2">
      <c r="A7877" s="1" t="s">
        <v>8123</v>
      </c>
      <c r="B7877" t="s">
        <v>901</v>
      </c>
    </row>
    <row r="7878" spans="1:2">
      <c r="A7878" s="1" t="s">
        <v>8124</v>
      </c>
      <c r="B7878" t="s">
        <v>901</v>
      </c>
    </row>
    <row r="7879" spans="1:2">
      <c r="A7879" s="1" t="s">
        <v>8125</v>
      </c>
      <c r="B7879" t="s">
        <v>901</v>
      </c>
    </row>
    <row r="7880" spans="1:2">
      <c r="A7880" s="1" t="s">
        <v>8126</v>
      </c>
      <c r="B7880" t="s">
        <v>901</v>
      </c>
    </row>
    <row r="7881" spans="1:2">
      <c r="A7881" s="1" t="s">
        <v>8127</v>
      </c>
      <c r="B7881" t="s">
        <v>901</v>
      </c>
    </row>
    <row r="7882" spans="1:2">
      <c r="A7882" s="1" t="s">
        <v>8128</v>
      </c>
      <c r="B7882" t="s">
        <v>901</v>
      </c>
    </row>
    <row r="7883" spans="1:2">
      <c r="A7883" s="1" t="s">
        <v>8129</v>
      </c>
      <c r="B7883" t="s">
        <v>901</v>
      </c>
    </row>
    <row r="7884" spans="1:2">
      <c r="A7884" s="1" t="s">
        <v>8130</v>
      </c>
      <c r="B7884" t="s">
        <v>901</v>
      </c>
    </row>
    <row r="7885" spans="1:2">
      <c r="A7885" s="1" t="s">
        <v>8131</v>
      </c>
      <c r="B7885" t="s">
        <v>901</v>
      </c>
    </row>
    <row r="7886" spans="1:2">
      <c r="A7886" s="1" t="s">
        <v>8132</v>
      </c>
      <c r="B7886" t="s">
        <v>901</v>
      </c>
    </row>
    <row r="7887" spans="1:2">
      <c r="A7887" s="1" t="s">
        <v>8133</v>
      </c>
      <c r="B7887" t="s">
        <v>901</v>
      </c>
    </row>
    <row r="7888" spans="1:2">
      <c r="A7888" s="1" t="s">
        <v>8134</v>
      </c>
      <c r="B7888" t="s">
        <v>901</v>
      </c>
    </row>
    <row r="7889" spans="1:2">
      <c r="A7889" s="1" t="s">
        <v>8135</v>
      </c>
      <c r="B7889" t="s">
        <v>901</v>
      </c>
    </row>
    <row r="7890" spans="1:2">
      <c r="A7890" s="1" t="s">
        <v>8136</v>
      </c>
      <c r="B7890" t="s">
        <v>901</v>
      </c>
    </row>
    <row r="7891" spans="1:2">
      <c r="A7891" s="1" t="s">
        <v>8137</v>
      </c>
      <c r="B7891" t="s">
        <v>901</v>
      </c>
    </row>
    <row r="7892" spans="1:2">
      <c r="A7892" s="1" t="s">
        <v>8138</v>
      </c>
      <c r="B7892" t="s">
        <v>901</v>
      </c>
    </row>
    <row r="7893" spans="1:2">
      <c r="A7893" s="1" t="s">
        <v>8139</v>
      </c>
      <c r="B7893" t="s">
        <v>901</v>
      </c>
    </row>
    <row r="7894" spans="1:2">
      <c r="A7894" s="1" t="s">
        <v>8140</v>
      </c>
      <c r="B7894" t="s">
        <v>901</v>
      </c>
    </row>
    <row r="7895" spans="1:2">
      <c r="A7895" s="1" t="s">
        <v>8141</v>
      </c>
      <c r="B7895" t="s">
        <v>901</v>
      </c>
    </row>
    <row r="7896" spans="1:2">
      <c r="A7896" s="1" t="s">
        <v>8142</v>
      </c>
      <c r="B7896" t="s">
        <v>901</v>
      </c>
    </row>
    <row r="7897" spans="1:2">
      <c r="A7897" s="1" t="s">
        <v>8143</v>
      </c>
      <c r="B7897" t="s">
        <v>901</v>
      </c>
    </row>
    <row r="7898" spans="1:2">
      <c r="A7898" s="1" t="s">
        <v>8144</v>
      </c>
      <c r="B7898" t="s">
        <v>901</v>
      </c>
    </row>
    <row r="7899" spans="1:2">
      <c r="A7899" s="1" t="s">
        <v>8145</v>
      </c>
      <c r="B7899" t="s">
        <v>901</v>
      </c>
    </row>
    <row r="7900" spans="1:2">
      <c r="A7900" s="1" t="s">
        <v>8146</v>
      </c>
      <c r="B7900" t="s">
        <v>901</v>
      </c>
    </row>
    <row r="7901" spans="1:2">
      <c r="A7901" s="1" t="s">
        <v>8147</v>
      </c>
      <c r="B7901" t="s">
        <v>901</v>
      </c>
    </row>
    <row r="7902" spans="1:2">
      <c r="A7902" s="1" t="s">
        <v>8148</v>
      </c>
      <c r="B7902" t="s">
        <v>901</v>
      </c>
    </row>
    <row r="7903" spans="1:2">
      <c r="A7903" s="1" t="s">
        <v>8149</v>
      </c>
      <c r="B7903" t="s">
        <v>901</v>
      </c>
    </row>
    <row r="7904" spans="1:2">
      <c r="A7904" s="1" t="s">
        <v>8150</v>
      </c>
      <c r="B7904" t="s">
        <v>901</v>
      </c>
    </row>
    <row r="7905" spans="1:2">
      <c r="A7905" s="1" t="s">
        <v>8151</v>
      </c>
      <c r="B7905" t="s">
        <v>901</v>
      </c>
    </row>
    <row r="7906" spans="1:2">
      <c r="A7906" s="1" t="s">
        <v>8152</v>
      </c>
      <c r="B7906" t="s">
        <v>901</v>
      </c>
    </row>
    <row r="7907" spans="1:2">
      <c r="A7907" s="1" t="s">
        <v>8153</v>
      </c>
      <c r="B7907" t="s">
        <v>901</v>
      </c>
    </row>
    <row r="7908" spans="1:2">
      <c r="A7908" s="1" t="s">
        <v>8154</v>
      </c>
      <c r="B7908" t="s">
        <v>901</v>
      </c>
    </row>
    <row r="7909" spans="1:2">
      <c r="A7909" s="1" t="s">
        <v>8155</v>
      </c>
      <c r="B7909" t="s">
        <v>901</v>
      </c>
    </row>
    <row r="7910" spans="1:2">
      <c r="A7910" s="1" t="s">
        <v>8156</v>
      </c>
      <c r="B7910" t="s">
        <v>901</v>
      </c>
    </row>
    <row r="7911" spans="1:2">
      <c r="A7911" s="1" t="s">
        <v>8157</v>
      </c>
      <c r="B7911" t="s">
        <v>901</v>
      </c>
    </row>
    <row r="7912" spans="1:2">
      <c r="A7912" s="1" t="s">
        <v>8158</v>
      </c>
      <c r="B7912" t="s">
        <v>901</v>
      </c>
    </row>
    <row r="7913" spans="1:2">
      <c r="A7913" s="1" t="s">
        <v>8159</v>
      </c>
      <c r="B7913" t="s">
        <v>901</v>
      </c>
    </row>
    <row r="7914" spans="1:2">
      <c r="A7914" s="1" t="s">
        <v>8160</v>
      </c>
      <c r="B7914" t="s">
        <v>901</v>
      </c>
    </row>
    <row r="7915" spans="1:2">
      <c r="A7915" s="1" t="s">
        <v>8161</v>
      </c>
      <c r="B7915" t="s">
        <v>901</v>
      </c>
    </row>
    <row r="7916" spans="1:2">
      <c r="A7916" s="1" t="s">
        <v>8162</v>
      </c>
      <c r="B7916" t="s">
        <v>901</v>
      </c>
    </row>
    <row r="7917" spans="1:2">
      <c r="A7917" s="1" t="s">
        <v>8163</v>
      </c>
      <c r="B7917" t="s">
        <v>901</v>
      </c>
    </row>
    <row r="7918" spans="1:2">
      <c r="A7918" s="1" t="s">
        <v>8164</v>
      </c>
      <c r="B7918" t="s">
        <v>901</v>
      </c>
    </row>
    <row r="7919" spans="1:2">
      <c r="A7919" s="1" t="s">
        <v>8165</v>
      </c>
      <c r="B7919" t="s">
        <v>901</v>
      </c>
    </row>
    <row r="7920" spans="1:2">
      <c r="A7920" s="1" t="s">
        <v>8166</v>
      </c>
      <c r="B7920" t="s">
        <v>901</v>
      </c>
    </row>
    <row r="7921" spans="1:2">
      <c r="A7921" s="1" t="s">
        <v>8167</v>
      </c>
      <c r="B7921" t="s">
        <v>901</v>
      </c>
    </row>
    <row r="7922" spans="1:2">
      <c r="A7922" s="1" t="s">
        <v>8168</v>
      </c>
      <c r="B7922" t="s">
        <v>901</v>
      </c>
    </row>
    <row r="7923" spans="1:2">
      <c r="A7923" s="1" t="s">
        <v>8169</v>
      </c>
      <c r="B7923" t="s">
        <v>901</v>
      </c>
    </row>
    <row r="7924" spans="1:2">
      <c r="A7924" s="1" t="s">
        <v>8170</v>
      </c>
      <c r="B7924" t="s">
        <v>901</v>
      </c>
    </row>
    <row r="7925" spans="1:2">
      <c r="A7925" s="1" t="s">
        <v>8171</v>
      </c>
      <c r="B7925" t="s">
        <v>901</v>
      </c>
    </row>
    <row r="7926" spans="1:2">
      <c r="A7926" s="1" t="s">
        <v>8172</v>
      </c>
      <c r="B7926" t="s">
        <v>901</v>
      </c>
    </row>
    <row r="7927" spans="1:2">
      <c r="A7927" s="1" t="s">
        <v>8173</v>
      </c>
      <c r="B7927" t="s">
        <v>901</v>
      </c>
    </row>
    <row r="7928" spans="1:2">
      <c r="A7928" s="1" t="s">
        <v>8174</v>
      </c>
      <c r="B7928" t="s">
        <v>901</v>
      </c>
    </row>
    <row r="7929" spans="1:2">
      <c r="A7929" s="1" t="s">
        <v>8175</v>
      </c>
      <c r="B7929" t="s">
        <v>901</v>
      </c>
    </row>
    <row r="7930" spans="1:2">
      <c r="A7930" s="1" t="s">
        <v>8176</v>
      </c>
      <c r="B7930" t="s">
        <v>901</v>
      </c>
    </row>
    <row r="7931" spans="1:2">
      <c r="A7931" s="1" t="s">
        <v>8177</v>
      </c>
      <c r="B7931" t="s">
        <v>901</v>
      </c>
    </row>
    <row r="7932" spans="1:2">
      <c r="A7932" s="1" t="s">
        <v>8178</v>
      </c>
      <c r="B7932" t="s">
        <v>901</v>
      </c>
    </row>
    <row r="7933" spans="1:2">
      <c r="A7933" s="1" t="s">
        <v>8179</v>
      </c>
      <c r="B7933" t="s">
        <v>901</v>
      </c>
    </row>
    <row r="7934" spans="1:2">
      <c r="A7934" s="1" t="s">
        <v>8180</v>
      </c>
      <c r="B7934" t="s">
        <v>901</v>
      </c>
    </row>
    <row r="7935" spans="1:2">
      <c r="A7935" s="1" t="s">
        <v>8181</v>
      </c>
      <c r="B7935" t="s">
        <v>901</v>
      </c>
    </row>
    <row r="7936" spans="1:2">
      <c r="A7936" s="1" t="s">
        <v>8182</v>
      </c>
      <c r="B7936" t="s">
        <v>901</v>
      </c>
    </row>
    <row r="7937" spans="1:2">
      <c r="A7937" s="1" t="s">
        <v>8183</v>
      </c>
      <c r="B7937" t="s">
        <v>901</v>
      </c>
    </row>
    <row r="7938" spans="1:2">
      <c r="A7938" s="1" t="s">
        <v>8184</v>
      </c>
      <c r="B7938" t="s">
        <v>901</v>
      </c>
    </row>
    <row r="7939" spans="1:2">
      <c r="A7939" s="1" t="s">
        <v>8185</v>
      </c>
      <c r="B7939" t="s">
        <v>901</v>
      </c>
    </row>
    <row r="7940" spans="1:2">
      <c r="A7940" s="1" t="s">
        <v>8186</v>
      </c>
      <c r="B7940" t="s">
        <v>901</v>
      </c>
    </row>
    <row r="7941" spans="1:2">
      <c r="A7941" s="1" t="s">
        <v>8187</v>
      </c>
      <c r="B7941" t="s">
        <v>901</v>
      </c>
    </row>
    <row r="7942" spans="1:2">
      <c r="A7942" s="1" t="s">
        <v>8188</v>
      </c>
      <c r="B7942" t="s">
        <v>901</v>
      </c>
    </row>
    <row r="7943" spans="1:2">
      <c r="A7943" s="1" t="s">
        <v>8189</v>
      </c>
      <c r="B7943" t="s">
        <v>901</v>
      </c>
    </row>
    <row r="7944" spans="1:2">
      <c r="A7944" s="1" t="s">
        <v>8190</v>
      </c>
      <c r="B7944" t="s">
        <v>901</v>
      </c>
    </row>
    <row r="7945" spans="1:2">
      <c r="A7945" s="1" t="s">
        <v>8191</v>
      </c>
      <c r="B7945" t="s">
        <v>901</v>
      </c>
    </row>
    <row r="7946" spans="1:2">
      <c r="A7946" s="1" t="s">
        <v>8192</v>
      </c>
      <c r="B7946" t="s">
        <v>901</v>
      </c>
    </row>
    <row r="7947" spans="1:2">
      <c r="A7947" s="1" t="s">
        <v>8193</v>
      </c>
      <c r="B7947" t="s">
        <v>901</v>
      </c>
    </row>
    <row r="7948" spans="1:2">
      <c r="A7948" s="1" t="s">
        <v>8194</v>
      </c>
      <c r="B7948" t="s">
        <v>901</v>
      </c>
    </row>
    <row r="7949" spans="1:2">
      <c r="A7949" s="1" t="s">
        <v>8195</v>
      </c>
      <c r="B7949" t="s">
        <v>901</v>
      </c>
    </row>
    <row r="7950" spans="1:2">
      <c r="A7950" s="1" t="s">
        <v>8196</v>
      </c>
      <c r="B7950" t="s">
        <v>901</v>
      </c>
    </row>
    <row r="7951" spans="1:2">
      <c r="A7951" s="1" t="s">
        <v>8197</v>
      </c>
      <c r="B7951" t="s">
        <v>901</v>
      </c>
    </row>
    <row r="7952" spans="1:2">
      <c r="A7952" s="1" t="s">
        <v>8198</v>
      </c>
      <c r="B7952" t="s">
        <v>901</v>
      </c>
    </row>
    <row r="7953" spans="1:2">
      <c r="A7953" s="1" t="s">
        <v>8199</v>
      </c>
      <c r="B7953" t="s">
        <v>901</v>
      </c>
    </row>
    <row r="7954" spans="1:2">
      <c r="A7954" s="1" t="s">
        <v>8200</v>
      </c>
      <c r="B7954" t="s">
        <v>901</v>
      </c>
    </row>
    <row r="7955" spans="1:2">
      <c r="A7955" s="1" t="s">
        <v>8201</v>
      </c>
      <c r="B7955" t="s">
        <v>901</v>
      </c>
    </row>
    <row r="7956" spans="1:2">
      <c r="A7956" s="1" t="s">
        <v>8202</v>
      </c>
      <c r="B7956" t="s">
        <v>901</v>
      </c>
    </row>
    <row r="7957" spans="1:2">
      <c r="A7957" s="1" t="s">
        <v>8203</v>
      </c>
      <c r="B7957" t="s">
        <v>901</v>
      </c>
    </row>
    <row r="7958" spans="1:2">
      <c r="A7958" s="1" t="s">
        <v>8204</v>
      </c>
      <c r="B7958" t="s">
        <v>901</v>
      </c>
    </row>
    <row r="7959" spans="1:2">
      <c r="A7959" s="1" t="s">
        <v>8205</v>
      </c>
      <c r="B7959" t="s">
        <v>901</v>
      </c>
    </row>
    <row r="7960" spans="1:2">
      <c r="A7960" s="1" t="s">
        <v>8206</v>
      </c>
      <c r="B7960" t="s">
        <v>901</v>
      </c>
    </row>
    <row r="7961" spans="1:2">
      <c r="A7961" s="1" t="s">
        <v>8207</v>
      </c>
      <c r="B7961" t="s">
        <v>901</v>
      </c>
    </row>
    <row r="7962" spans="1:2">
      <c r="A7962" s="1" t="s">
        <v>8208</v>
      </c>
      <c r="B7962" t="s">
        <v>901</v>
      </c>
    </row>
    <row r="7963" spans="1:2">
      <c r="A7963" s="1" t="s">
        <v>8209</v>
      </c>
      <c r="B7963" t="s">
        <v>901</v>
      </c>
    </row>
    <row r="7964" spans="1:2">
      <c r="A7964" s="1" t="s">
        <v>8210</v>
      </c>
      <c r="B7964" t="s">
        <v>901</v>
      </c>
    </row>
    <row r="7965" spans="1:2">
      <c r="A7965" s="1" t="s">
        <v>8211</v>
      </c>
      <c r="B7965" t="s">
        <v>901</v>
      </c>
    </row>
    <row r="7966" spans="1:2">
      <c r="A7966" s="1" t="s">
        <v>8212</v>
      </c>
      <c r="B7966" t="s">
        <v>901</v>
      </c>
    </row>
    <row r="7967" spans="1:2">
      <c r="A7967" s="1" t="s">
        <v>8213</v>
      </c>
      <c r="B7967" t="s">
        <v>901</v>
      </c>
    </row>
    <row r="7968" spans="1:2">
      <c r="A7968" s="1" t="s">
        <v>8214</v>
      </c>
      <c r="B7968" t="s">
        <v>901</v>
      </c>
    </row>
    <row r="7969" spans="1:2">
      <c r="A7969" s="1" t="s">
        <v>8215</v>
      </c>
      <c r="B7969" t="s">
        <v>901</v>
      </c>
    </row>
    <row r="7970" spans="1:2">
      <c r="A7970" s="1" t="s">
        <v>8216</v>
      </c>
      <c r="B7970" t="s">
        <v>901</v>
      </c>
    </row>
    <row r="7971" spans="1:2">
      <c r="A7971" s="1" t="s">
        <v>8217</v>
      </c>
      <c r="B7971" t="s">
        <v>901</v>
      </c>
    </row>
    <row r="7972" spans="1:2">
      <c r="A7972" s="1" t="s">
        <v>8218</v>
      </c>
      <c r="B7972" t="s">
        <v>901</v>
      </c>
    </row>
    <row r="7973" spans="1:2">
      <c r="A7973" s="1" t="s">
        <v>8219</v>
      </c>
      <c r="B7973" t="s">
        <v>901</v>
      </c>
    </row>
    <row r="7974" spans="1:2">
      <c r="A7974" s="1" t="s">
        <v>8220</v>
      </c>
      <c r="B7974" t="s">
        <v>901</v>
      </c>
    </row>
    <row r="7975" spans="1:2">
      <c r="A7975" s="1" t="s">
        <v>8221</v>
      </c>
      <c r="B7975" t="s">
        <v>901</v>
      </c>
    </row>
    <row r="7976" spans="1:2">
      <c r="A7976" s="1" t="s">
        <v>8222</v>
      </c>
      <c r="B7976" t="s">
        <v>901</v>
      </c>
    </row>
    <row r="7977" spans="1:2">
      <c r="A7977" s="1" t="s">
        <v>8223</v>
      </c>
      <c r="B7977" t="s">
        <v>901</v>
      </c>
    </row>
    <row r="7978" spans="1:2">
      <c r="A7978" s="1" t="s">
        <v>8224</v>
      </c>
      <c r="B7978" t="s">
        <v>901</v>
      </c>
    </row>
    <row r="7979" spans="1:2">
      <c r="A7979" s="1" t="s">
        <v>8225</v>
      </c>
      <c r="B7979" t="s">
        <v>901</v>
      </c>
    </row>
    <row r="7980" spans="1:2">
      <c r="A7980" s="1" t="s">
        <v>8226</v>
      </c>
      <c r="B7980" t="s">
        <v>901</v>
      </c>
    </row>
    <row r="7981" spans="1:2">
      <c r="A7981" s="1" t="s">
        <v>8227</v>
      </c>
      <c r="B7981" t="s">
        <v>901</v>
      </c>
    </row>
    <row r="7982" spans="1:2">
      <c r="A7982" s="1" t="s">
        <v>8228</v>
      </c>
      <c r="B7982" t="s">
        <v>901</v>
      </c>
    </row>
    <row r="7983" spans="1:2">
      <c r="A7983" s="1" t="s">
        <v>8229</v>
      </c>
      <c r="B7983" t="s">
        <v>901</v>
      </c>
    </row>
    <row r="7984" spans="1:2">
      <c r="A7984" s="1" t="s">
        <v>8230</v>
      </c>
      <c r="B7984" t="s">
        <v>901</v>
      </c>
    </row>
    <row r="7985" spans="1:2">
      <c r="A7985" s="1" t="s">
        <v>8231</v>
      </c>
      <c r="B7985" t="s">
        <v>901</v>
      </c>
    </row>
    <row r="7986" spans="1:2">
      <c r="A7986" s="1" t="s">
        <v>8232</v>
      </c>
      <c r="B7986" t="s">
        <v>901</v>
      </c>
    </row>
    <row r="7987" spans="1:2">
      <c r="A7987" s="1" t="s">
        <v>8233</v>
      </c>
      <c r="B7987" t="s">
        <v>901</v>
      </c>
    </row>
    <row r="7988" spans="1:2">
      <c r="A7988" s="1" t="s">
        <v>8234</v>
      </c>
      <c r="B7988" t="s">
        <v>901</v>
      </c>
    </row>
    <row r="7989" spans="1:2">
      <c r="A7989" s="1" t="s">
        <v>8235</v>
      </c>
      <c r="B7989" t="s">
        <v>901</v>
      </c>
    </row>
    <row r="7990" spans="1:2">
      <c r="A7990" s="1" t="s">
        <v>289</v>
      </c>
      <c r="B7990" t="s">
        <v>10234</v>
      </c>
    </row>
    <row r="7991" spans="1:2">
      <c r="A7991" s="1" t="s">
        <v>8236</v>
      </c>
      <c r="B7991" t="s">
        <v>901</v>
      </c>
    </row>
    <row r="7992" spans="1:2">
      <c r="A7992" s="1" t="s">
        <v>8237</v>
      </c>
      <c r="B7992" t="s">
        <v>901</v>
      </c>
    </row>
    <row r="7993" spans="1:2">
      <c r="A7993" s="1" t="s">
        <v>8238</v>
      </c>
      <c r="B7993" t="s">
        <v>901</v>
      </c>
    </row>
    <row r="7994" spans="1:2">
      <c r="A7994" s="1" t="s">
        <v>8239</v>
      </c>
      <c r="B7994" t="s">
        <v>901</v>
      </c>
    </row>
    <row r="7995" spans="1:2">
      <c r="A7995" s="1" t="s">
        <v>8240</v>
      </c>
      <c r="B7995" t="s">
        <v>901</v>
      </c>
    </row>
    <row r="7996" spans="1:2">
      <c r="A7996" s="1" t="s">
        <v>8241</v>
      </c>
      <c r="B7996" t="s">
        <v>901</v>
      </c>
    </row>
    <row r="7997" spans="1:2">
      <c r="A7997" s="1" t="s">
        <v>8242</v>
      </c>
      <c r="B7997" t="s">
        <v>901</v>
      </c>
    </row>
    <row r="7998" spans="1:2">
      <c r="A7998" s="1" t="s">
        <v>8243</v>
      </c>
      <c r="B7998" t="s">
        <v>901</v>
      </c>
    </row>
    <row r="7999" spans="1:2">
      <c r="A7999" s="1" t="s">
        <v>8244</v>
      </c>
      <c r="B7999" t="s">
        <v>901</v>
      </c>
    </row>
    <row r="8000" spans="1:2">
      <c r="A8000" s="1" t="s">
        <v>8245</v>
      </c>
      <c r="B8000" t="s">
        <v>901</v>
      </c>
    </row>
    <row r="8001" spans="1:2">
      <c r="A8001" s="1" t="s">
        <v>8246</v>
      </c>
      <c r="B8001" t="s">
        <v>901</v>
      </c>
    </row>
    <row r="8002" spans="1:2">
      <c r="A8002" s="1" t="s">
        <v>8247</v>
      </c>
      <c r="B8002" t="s">
        <v>901</v>
      </c>
    </row>
    <row r="8003" spans="1:2">
      <c r="A8003" s="1" t="s">
        <v>8248</v>
      </c>
      <c r="B8003" t="s">
        <v>901</v>
      </c>
    </row>
    <row r="8004" spans="1:2">
      <c r="A8004" s="1" t="s">
        <v>8249</v>
      </c>
      <c r="B8004" t="s">
        <v>901</v>
      </c>
    </row>
    <row r="8005" spans="1:2">
      <c r="A8005" s="1" t="s">
        <v>8250</v>
      </c>
      <c r="B8005" t="s">
        <v>901</v>
      </c>
    </row>
    <row r="8006" spans="1:2">
      <c r="A8006" s="1" t="s">
        <v>8251</v>
      </c>
      <c r="B8006" t="s">
        <v>901</v>
      </c>
    </row>
    <row r="8007" spans="1:2">
      <c r="A8007" s="1" t="s">
        <v>8252</v>
      </c>
      <c r="B8007" t="s">
        <v>901</v>
      </c>
    </row>
    <row r="8008" spans="1:2">
      <c r="A8008" s="1" t="s">
        <v>8253</v>
      </c>
      <c r="B8008" t="s">
        <v>901</v>
      </c>
    </row>
    <row r="8009" spans="1:2">
      <c r="A8009" s="1" t="s">
        <v>8254</v>
      </c>
      <c r="B8009" t="s">
        <v>901</v>
      </c>
    </row>
    <row r="8010" spans="1:2">
      <c r="A8010" s="1" t="s">
        <v>8255</v>
      </c>
      <c r="B8010" t="s">
        <v>901</v>
      </c>
    </row>
    <row r="8011" spans="1:2">
      <c r="A8011" s="1" t="s">
        <v>8256</v>
      </c>
      <c r="B8011" t="s">
        <v>901</v>
      </c>
    </row>
    <row r="8012" spans="1:2">
      <c r="A8012" s="1" t="s">
        <v>8257</v>
      </c>
      <c r="B8012" t="s">
        <v>901</v>
      </c>
    </row>
    <row r="8013" spans="1:2">
      <c r="A8013" s="1" t="s">
        <v>8258</v>
      </c>
      <c r="B8013" t="s">
        <v>901</v>
      </c>
    </row>
    <row r="8014" spans="1:2">
      <c r="A8014" s="1" t="s">
        <v>8259</v>
      </c>
      <c r="B8014" t="s">
        <v>901</v>
      </c>
    </row>
    <row r="8015" spans="1:2">
      <c r="A8015" s="1" t="s">
        <v>8260</v>
      </c>
      <c r="B8015" t="s">
        <v>901</v>
      </c>
    </row>
    <row r="8016" spans="1:2">
      <c r="A8016" s="1" t="s">
        <v>8261</v>
      </c>
      <c r="B8016" t="s">
        <v>901</v>
      </c>
    </row>
    <row r="8017" spans="1:2">
      <c r="A8017" s="1" t="s">
        <v>8262</v>
      </c>
      <c r="B8017" t="s">
        <v>901</v>
      </c>
    </row>
    <row r="8018" spans="1:2">
      <c r="A8018" s="1" t="s">
        <v>8263</v>
      </c>
      <c r="B8018" t="s">
        <v>901</v>
      </c>
    </row>
    <row r="8019" spans="1:2">
      <c r="A8019" s="1" t="s">
        <v>8264</v>
      </c>
      <c r="B8019" t="s">
        <v>901</v>
      </c>
    </row>
    <row r="8020" spans="1:2">
      <c r="A8020" s="1" t="s">
        <v>8265</v>
      </c>
      <c r="B8020" t="s">
        <v>901</v>
      </c>
    </row>
    <row r="8021" spans="1:2">
      <c r="A8021" s="1" t="s">
        <v>8266</v>
      </c>
      <c r="B8021" t="s">
        <v>901</v>
      </c>
    </row>
    <row r="8022" spans="1:2">
      <c r="A8022" s="1" t="s">
        <v>8267</v>
      </c>
      <c r="B8022" t="s">
        <v>901</v>
      </c>
    </row>
    <row r="8023" spans="1:2">
      <c r="A8023" s="1" t="s">
        <v>8268</v>
      </c>
      <c r="B8023" t="s">
        <v>901</v>
      </c>
    </row>
    <row r="8024" spans="1:2">
      <c r="A8024" s="1" t="s">
        <v>8269</v>
      </c>
      <c r="B8024" t="s">
        <v>901</v>
      </c>
    </row>
    <row r="8025" spans="1:2">
      <c r="A8025" s="1" t="s">
        <v>8270</v>
      </c>
      <c r="B8025" t="s">
        <v>901</v>
      </c>
    </row>
    <row r="8026" spans="1:2">
      <c r="A8026" s="1" t="s">
        <v>8271</v>
      </c>
      <c r="B8026" t="s">
        <v>901</v>
      </c>
    </row>
    <row r="8027" spans="1:2">
      <c r="A8027" s="1" t="s">
        <v>8272</v>
      </c>
      <c r="B8027" t="s">
        <v>901</v>
      </c>
    </row>
    <row r="8028" spans="1:2">
      <c r="A8028" s="1" t="s">
        <v>8273</v>
      </c>
      <c r="B8028" t="s">
        <v>901</v>
      </c>
    </row>
    <row r="8029" spans="1:2">
      <c r="A8029" s="1" t="s">
        <v>8274</v>
      </c>
      <c r="B8029" t="s">
        <v>901</v>
      </c>
    </row>
    <row r="8030" spans="1:2">
      <c r="A8030" s="1" t="s">
        <v>8275</v>
      </c>
      <c r="B8030" t="s">
        <v>901</v>
      </c>
    </row>
    <row r="8031" spans="1:2">
      <c r="A8031" s="1" t="s">
        <v>8276</v>
      </c>
      <c r="B8031" t="s">
        <v>901</v>
      </c>
    </row>
    <row r="8032" spans="1:2">
      <c r="A8032" s="1" t="s">
        <v>8277</v>
      </c>
      <c r="B8032" t="s">
        <v>901</v>
      </c>
    </row>
    <row r="8033" spans="1:2">
      <c r="A8033" s="1" t="s">
        <v>8278</v>
      </c>
      <c r="B8033" t="s">
        <v>901</v>
      </c>
    </row>
    <row r="8034" spans="1:2">
      <c r="A8034" s="1" t="s">
        <v>8279</v>
      </c>
      <c r="B8034" t="s">
        <v>901</v>
      </c>
    </row>
    <row r="8035" spans="1:2">
      <c r="A8035" s="1" t="s">
        <v>8280</v>
      </c>
      <c r="B8035" t="s">
        <v>901</v>
      </c>
    </row>
    <row r="8036" spans="1:2">
      <c r="A8036" s="1" t="s">
        <v>8281</v>
      </c>
      <c r="B8036" t="s">
        <v>901</v>
      </c>
    </row>
    <row r="8037" spans="1:2">
      <c r="A8037" s="1" t="s">
        <v>8282</v>
      </c>
      <c r="B8037" t="s">
        <v>901</v>
      </c>
    </row>
    <row r="8038" spans="1:2">
      <c r="A8038" s="1" t="s">
        <v>8283</v>
      </c>
      <c r="B8038" t="s">
        <v>901</v>
      </c>
    </row>
    <row r="8039" spans="1:2">
      <c r="A8039" s="1" t="s">
        <v>8284</v>
      </c>
      <c r="B8039" t="s">
        <v>901</v>
      </c>
    </row>
    <row r="8040" spans="1:2">
      <c r="A8040" s="1" t="s">
        <v>8285</v>
      </c>
      <c r="B8040" t="s">
        <v>901</v>
      </c>
    </row>
    <row r="8041" spans="1:2">
      <c r="A8041" s="1" t="s">
        <v>8286</v>
      </c>
      <c r="B8041" t="s">
        <v>901</v>
      </c>
    </row>
    <row r="8042" spans="1:2">
      <c r="A8042" s="1" t="s">
        <v>8287</v>
      </c>
      <c r="B8042" t="s">
        <v>901</v>
      </c>
    </row>
    <row r="8043" spans="1:2">
      <c r="A8043" s="1" t="s">
        <v>8288</v>
      </c>
      <c r="B8043" t="s">
        <v>901</v>
      </c>
    </row>
    <row r="8044" spans="1:2">
      <c r="A8044" s="1" t="s">
        <v>8289</v>
      </c>
      <c r="B8044" t="s">
        <v>901</v>
      </c>
    </row>
    <row r="8045" spans="1:2">
      <c r="A8045" s="1" t="s">
        <v>8290</v>
      </c>
      <c r="B8045" t="s">
        <v>901</v>
      </c>
    </row>
    <row r="8046" spans="1:2">
      <c r="A8046" s="1" t="s">
        <v>8291</v>
      </c>
      <c r="B8046" t="s">
        <v>901</v>
      </c>
    </row>
    <row r="8047" spans="1:2">
      <c r="A8047" s="1" t="s">
        <v>8292</v>
      </c>
      <c r="B8047" t="s">
        <v>901</v>
      </c>
    </row>
    <row r="8048" spans="1:2">
      <c r="A8048" s="1" t="s">
        <v>8293</v>
      </c>
      <c r="B8048" t="s">
        <v>901</v>
      </c>
    </row>
    <row r="8049" spans="1:2">
      <c r="A8049" s="1" t="s">
        <v>8294</v>
      </c>
      <c r="B8049" t="s">
        <v>901</v>
      </c>
    </row>
    <row r="8050" spans="1:2">
      <c r="A8050" s="1" t="s">
        <v>8295</v>
      </c>
      <c r="B8050" t="s">
        <v>901</v>
      </c>
    </row>
    <row r="8051" spans="1:2">
      <c r="A8051" s="1" t="s">
        <v>8296</v>
      </c>
      <c r="B8051" t="s">
        <v>901</v>
      </c>
    </row>
    <row r="8052" spans="1:2">
      <c r="A8052" s="1" t="s">
        <v>8297</v>
      </c>
      <c r="B8052" t="s">
        <v>901</v>
      </c>
    </row>
    <row r="8053" spans="1:2">
      <c r="A8053" s="1" t="s">
        <v>8298</v>
      </c>
      <c r="B8053" t="s">
        <v>901</v>
      </c>
    </row>
    <row r="8054" spans="1:2">
      <c r="A8054" s="1" t="s">
        <v>8299</v>
      </c>
      <c r="B8054" t="s">
        <v>901</v>
      </c>
    </row>
    <row r="8055" spans="1:2">
      <c r="A8055" s="1" t="s">
        <v>8300</v>
      </c>
      <c r="B8055" t="s">
        <v>901</v>
      </c>
    </row>
    <row r="8056" spans="1:2">
      <c r="A8056" s="1" t="s">
        <v>8301</v>
      </c>
      <c r="B8056" t="s">
        <v>901</v>
      </c>
    </row>
    <row r="8057" spans="1:2">
      <c r="A8057" s="1" t="s">
        <v>8302</v>
      </c>
      <c r="B8057" t="s">
        <v>901</v>
      </c>
    </row>
    <row r="8058" spans="1:2">
      <c r="A8058" s="1" t="s">
        <v>8303</v>
      </c>
      <c r="B8058" t="s">
        <v>901</v>
      </c>
    </row>
    <row r="8059" spans="1:2">
      <c r="A8059" s="1" t="s">
        <v>8304</v>
      </c>
      <c r="B8059" t="s">
        <v>901</v>
      </c>
    </row>
    <row r="8060" spans="1:2">
      <c r="A8060" s="1" t="s">
        <v>8305</v>
      </c>
      <c r="B8060" t="s">
        <v>901</v>
      </c>
    </row>
    <row r="8061" spans="1:2">
      <c r="A8061" s="1" t="s">
        <v>8306</v>
      </c>
      <c r="B8061" t="s">
        <v>901</v>
      </c>
    </row>
    <row r="8062" spans="1:2">
      <c r="A8062" s="1" t="s">
        <v>8307</v>
      </c>
      <c r="B8062" t="s">
        <v>901</v>
      </c>
    </row>
    <row r="8063" spans="1:2">
      <c r="A8063" s="1" t="s">
        <v>8308</v>
      </c>
      <c r="B8063" t="s">
        <v>901</v>
      </c>
    </row>
    <row r="8064" spans="1:2">
      <c r="A8064" s="1" t="s">
        <v>8309</v>
      </c>
      <c r="B8064" t="s">
        <v>901</v>
      </c>
    </row>
    <row r="8065" spans="1:2">
      <c r="A8065" s="1" t="s">
        <v>8310</v>
      </c>
      <c r="B8065" t="s">
        <v>901</v>
      </c>
    </row>
    <row r="8066" spans="1:2">
      <c r="A8066" s="1" t="s">
        <v>8311</v>
      </c>
      <c r="B8066" t="s">
        <v>901</v>
      </c>
    </row>
    <row r="8067" spans="1:2">
      <c r="A8067" s="1" t="s">
        <v>8312</v>
      </c>
      <c r="B8067" t="s">
        <v>901</v>
      </c>
    </row>
    <row r="8068" spans="1:2">
      <c r="A8068" s="1" t="s">
        <v>8313</v>
      </c>
      <c r="B8068" t="s">
        <v>901</v>
      </c>
    </row>
    <row r="8069" spans="1:2">
      <c r="A8069" s="1" t="s">
        <v>8314</v>
      </c>
      <c r="B8069" t="s">
        <v>901</v>
      </c>
    </row>
    <row r="8070" spans="1:2">
      <c r="A8070" s="1" t="s">
        <v>8315</v>
      </c>
      <c r="B8070" t="s">
        <v>10452</v>
      </c>
    </row>
    <row r="8071" spans="1:2">
      <c r="A8071" s="1" t="s">
        <v>8316</v>
      </c>
      <c r="B8071" t="s">
        <v>901</v>
      </c>
    </row>
    <row r="8072" spans="1:2">
      <c r="A8072" s="1" t="s">
        <v>8317</v>
      </c>
      <c r="B8072" t="s">
        <v>901</v>
      </c>
    </row>
    <row r="8073" spans="1:2">
      <c r="A8073" s="1" t="s">
        <v>8318</v>
      </c>
      <c r="B8073" t="s">
        <v>901</v>
      </c>
    </row>
    <row r="8074" spans="1:2">
      <c r="A8074" s="1" t="s">
        <v>8319</v>
      </c>
      <c r="B8074" t="s">
        <v>901</v>
      </c>
    </row>
    <row r="8075" spans="1:2">
      <c r="A8075" s="1" t="s">
        <v>8320</v>
      </c>
      <c r="B8075" t="s">
        <v>901</v>
      </c>
    </row>
    <row r="8076" spans="1:2">
      <c r="A8076" s="1" t="s">
        <v>8321</v>
      </c>
      <c r="B8076" t="s">
        <v>901</v>
      </c>
    </row>
    <row r="8077" spans="1:2">
      <c r="A8077" s="1" t="s">
        <v>8322</v>
      </c>
      <c r="B8077" t="s">
        <v>901</v>
      </c>
    </row>
    <row r="8078" spans="1:2">
      <c r="A8078" s="1" t="s">
        <v>8323</v>
      </c>
      <c r="B8078" t="s">
        <v>901</v>
      </c>
    </row>
    <row r="8079" spans="1:2">
      <c r="A8079" s="1" t="s">
        <v>8324</v>
      </c>
      <c r="B8079" t="s">
        <v>901</v>
      </c>
    </row>
    <row r="8080" spans="1:2">
      <c r="A8080" s="1" t="s">
        <v>8325</v>
      </c>
      <c r="B8080" t="s">
        <v>901</v>
      </c>
    </row>
    <row r="8081" spans="1:2">
      <c r="A8081" s="1" t="s">
        <v>8326</v>
      </c>
      <c r="B8081" t="s">
        <v>901</v>
      </c>
    </row>
    <row r="8082" spans="1:2">
      <c r="A8082" s="1" t="s">
        <v>8327</v>
      </c>
      <c r="B8082" t="s">
        <v>901</v>
      </c>
    </row>
    <row r="8083" spans="1:2">
      <c r="A8083" s="1" t="s">
        <v>8328</v>
      </c>
      <c r="B8083" t="s">
        <v>901</v>
      </c>
    </row>
    <row r="8084" spans="1:2">
      <c r="A8084" s="1" t="s">
        <v>8329</v>
      </c>
      <c r="B8084" t="s">
        <v>901</v>
      </c>
    </row>
    <row r="8085" spans="1:2">
      <c r="A8085" s="1" t="s">
        <v>8330</v>
      </c>
      <c r="B8085" t="s">
        <v>901</v>
      </c>
    </row>
    <row r="8086" spans="1:2">
      <c r="A8086" s="1" t="s">
        <v>8331</v>
      </c>
      <c r="B8086" t="s">
        <v>901</v>
      </c>
    </row>
    <row r="8087" spans="1:2">
      <c r="A8087" s="1" t="s">
        <v>8332</v>
      </c>
      <c r="B8087" t="s">
        <v>901</v>
      </c>
    </row>
    <row r="8088" spans="1:2">
      <c r="A8088" s="1" t="s">
        <v>8333</v>
      </c>
      <c r="B8088" t="s">
        <v>901</v>
      </c>
    </row>
    <row r="8089" spans="1:2">
      <c r="A8089" s="1" t="s">
        <v>8334</v>
      </c>
      <c r="B8089" t="s">
        <v>901</v>
      </c>
    </row>
    <row r="8090" spans="1:2">
      <c r="A8090" s="1" t="s">
        <v>8335</v>
      </c>
      <c r="B8090" t="s">
        <v>901</v>
      </c>
    </row>
    <row r="8091" spans="1:2">
      <c r="A8091" s="1" t="s">
        <v>8336</v>
      </c>
      <c r="B8091" t="s">
        <v>901</v>
      </c>
    </row>
    <row r="8092" spans="1:2">
      <c r="A8092" s="1" t="s">
        <v>8337</v>
      </c>
      <c r="B8092" t="s">
        <v>901</v>
      </c>
    </row>
    <row r="8093" spans="1:2">
      <c r="A8093" s="1" t="s">
        <v>8338</v>
      </c>
      <c r="B8093" t="s">
        <v>901</v>
      </c>
    </row>
    <row r="8094" spans="1:2">
      <c r="A8094" s="1" t="s">
        <v>8339</v>
      </c>
      <c r="B8094" t="s">
        <v>901</v>
      </c>
    </row>
    <row r="8095" spans="1:2">
      <c r="A8095" s="1" t="s">
        <v>8340</v>
      </c>
      <c r="B8095" t="s">
        <v>901</v>
      </c>
    </row>
    <row r="8096" spans="1:2">
      <c r="A8096" s="1" t="s">
        <v>8341</v>
      </c>
      <c r="B8096" t="s">
        <v>901</v>
      </c>
    </row>
    <row r="8097" spans="1:2">
      <c r="A8097" s="1" t="s">
        <v>8342</v>
      </c>
      <c r="B8097" t="s">
        <v>901</v>
      </c>
    </row>
    <row r="8098" spans="1:2">
      <c r="A8098" s="1" t="s">
        <v>8343</v>
      </c>
      <c r="B8098" t="s">
        <v>901</v>
      </c>
    </row>
    <row r="8099" spans="1:2">
      <c r="A8099" s="1" t="s">
        <v>8344</v>
      </c>
      <c r="B8099" t="s">
        <v>901</v>
      </c>
    </row>
    <row r="8100" spans="1:2">
      <c r="A8100" s="1" t="s">
        <v>8345</v>
      </c>
      <c r="B8100" t="s">
        <v>901</v>
      </c>
    </row>
    <row r="8101" spans="1:2">
      <c r="A8101" s="1" t="s">
        <v>8346</v>
      </c>
      <c r="B8101" t="s">
        <v>901</v>
      </c>
    </row>
    <row r="8102" spans="1:2">
      <c r="A8102" s="1" t="s">
        <v>8347</v>
      </c>
      <c r="B8102" t="s">
        <v>901</v>
      </c>
    </row>
    <row r="8103" spans="1:2">
      <c r="A8103" s="1" t="s">
        <v>8348</v>
      </c>
      <c r="B8103" t="s">
        <v>901</v>
      </c>
    </row>
    <row r="8104" spans="1:2">
      <c r="A8104" s="1" t="s">
        <v>8349</v>
      </c>
      <c r="B8104" t="s">
        <v>901</v>
      </c>
    </row>
    <row r="8105" spans="1:2">
      <c r="A8105" s="1" t="s">
        <v>8350</v>
      </c>
      <c r="B8105" t="s">
        <v>901</v>
      </c>
    </row>
    <row r="8106" spans="1:2">
      <c r="A8106" s="1" t="s">
        <v>8351</v>
      </c>
      <c r="B8106" t="s">
        <v>901</v>
      </c>
    </row>
    <row r="8107" spans="1:2">
      <c r="A8107" s="1" t="s">
        <v>8352</v>
      </c>
      <c r="B8107" t="s">
        <v>901</v>
      </c>
    </row>
    <row r="8108" spans="1:2">
      <c r="A8108" s="1" t="s">
        <v>8353</v>
      </c>
      <c r="B8108" t="s">
        <v>901</v>
      </c>
    </row>
    <row r="8109" spans="1:2">
      <c r="A8109" s="1" t="s">
        <v>8354</v>
      </c>
      <c r="B8109" t="s">
        <v>901</v>
      </c>
    </row>
    <row r="8110" spans="1:2">
      <c r="A8110" s="1" t="s">
        <v>8355</v>
      </c>
      <c r="B8110" t="s">
        <v>901</v>
      </c>
    </row>
    <row r="8111" spans="1:2">
      <c r="A8111" s="1" t="s">
        <v>8356</v>
      </c>
      <c r="B8111" t="s">
        <v>901</v>
      </c>
    </row>
    <row r="8112" spans="1:2">
      <c r="A8112" s="1" t="s">
        <v>8357</v>
      </c>
      <c r="B8112" t="s">
        <v>901</v>
      </c>
    </row>
    <row r="8113" spans="1:2">
      <c r="A8113" s="1" t="s">
        <v>8358</v>
      </c>
      <c r="B8113" t="s">
        <v>10464</v>
      </c>
    </row>
    <row r="8114" spans="1:2">
      <c r="A8114" s="1" t="s">
        <v>8359</v>
      </c>
      <c r="B8114" t="s">
        <v>901</v>
      </c>
    </row>
    <row r="8115" spans="1:2">
      <c r="A8115" s="1" t="s">
        <v>8360</v>
      </c>
      <c r="B8115" t="s">
        <v>901</v>
      </c>
    </row>
    <row r="8116" spans="1:2">
      <c r="A8116" s="1" t="s">
        <v>8361</v>
      </c>
      <c r="B8116" t="s">
        <v>901</v>
      </c>
    </row>
    <row r="8117" spans="1:2">
      <c r="A8117" s="1" t="s">
        <v>8362</v>
      </c>
      <c r="B8117" t="s">
        <v>901</v>
      </c>
    </row>
    <row r="8118" spans="1:2">
      <c r="A8118" s="1" t="s">
        <v>8363</v>
      </c>
      <c r="B8118" t="s">
        <v>901</v>
      </c>
    </row>
    <row r="8119" spans="1:2">
      <c r="A8119" s="1" t="s">
        <v>8364</v>
      </c>
      <c r="B8119" t="s">
        <v>10325</v>
      </c>
    </row>
    <row r="8120" spans="1:2">
      <c r="A8120" s="1" t="s">
        <v>8365</v>
      </c>
      <c r="B8120" t="s">
        <v>901</v>
      </c>
    </row>
    <row r="8121" spans="1:2">
      <c r="A8121" s="1" t="s">
        <v>8366</v>
      </c>
      <c r="B8121" t="s">
        <v>901</v>
      </c>
    </row>
    <row r="8122" spans="1:2">
      <c r="A8122" s="1" t="s">
        <v>8367</v>
      </c>
      <c r="B8122" t="s">
        <v>901</v>
      </c>
    </row>
    <row r="8123" spans="1:2">
      <c r="A8123" s="1" t="s">
        <v>8368</v>
      </c>
      <c r="B8123" t="s">
        <v>901</v>
      </c>
    </row>
    <row r="8124" spans="1:2">
      <c r="A8124" s="1" t="s">
        <v>8369</v>
      </c>
      <c r="B8124" t="s">
        <v>901</v>
      </c>
    </row>
    <row r="8125" spans="1:2">
      <c r="A8125" s="1" t="s">
        <v>8370</v>
      </c>
      <c r="B8125" t="s">
        <v>901</v>
      </c>
    </row>
    <row r="8126" spans="1:2">
      <c r="A8126" s="1" t="s">
        <v>8371</v>
      </c>
      <c r="B8126" t="s">
        <v>901</v>
      </c>
    </row>
    <row r="8127" spans="1:2">
      <c r="A8127" s="1" t="s">
        <v>8372</v>
      </c>
      <c r="B8127" t="s">
        <v>901</v>
      </c>
    </row>
    <row r="8128" spans="1:2">
      <c r="A8128" s="1" t="s">
        <v>8373</v>
      </c>
      <c r="B8128" t="s">
        <v>901</v>
      </c>
    </row>
    <row r="8129" spans="1:2">
      <c r="A8129" s="1" t="s">
        <v>8374</v>
      </c>
      <c r="B8129" t="s">
        <v>901</v>
      </c>
    </row>
    <row r="8130" spans="1:2">
      <c r="A8130" s="1" t="s">
        <v>8375</v>
      </c>
      <c r="B8130" t="s">
        <v>901</v>
      </c>
    </row>
    <row r="8131" spans="1:2">
      <c r="A8131" s="1" t="s">
        <v>8376</v>
      </c>
      <c r="B8131" t="s">
        <v>901</v>
      </c>
    </row>
    <row r="8132" spans="1:2">
      <c r="A8132" s="1" t="s">
        <v>8377</v>
      </c>
      <c r="B8132" t="s">
        <v>901</v>
      </c>
    </row>
    <row r="8133" spans="1:2">
      <c r="A8133" s="1" t="s">
        <v>8378</v>
      </c>
      <c r="B8133" t="s">
        <v>901</v>
      </c>
    </row>
    <row r="8134" spans="1:2">
      <c r="A8134" s="1" t="s">
        <v>8379</v>
      </c>
      <c r="B8134" t="s">
        <v>901</v>
      </c>
    </row>
    <row r="8135" spans="1:2">
      <c r="A8135" s="1" t="s">
        <v>8380</v>
      </c>
      <c r="B8135" t="s">
        <v>901</v>
      </c>
    </row>
    <row r="8136" spans="1:2">
      <c r="A8136" s="1" t="s">
        <v>8381</v>
      </c>
      <c r="B8136" t="s">
        <v>901</v>
      </c>
    </row>
    <row r="8137" spans="1:2">
      <c r="A8137" s="1" t="s">
        <v>8382</v>
      </c>
      <c r="B8137" t="s">
        <v>901</v>
      </c>
    </row>
    <row r="8138" spans="1:2">
      <c r="A8138" s="1" t="s">
        <v>8383</v>
      </c>
      <c r="B8138" t="s">
        <v>901</v>
      </c>
    </row>
    <row r="8139" spans="1:2">
      <c r="A8139" s="1" t="s">
        <v>8384</v>
      </c>
      <c r="B8139" t="s">
        <v>901</v>
      </c>
    </row>
    <row r="8140" spans="1:2">
      <c r="A8140" s="1" t="s">
        <v>8385</v>
      </c>
      <c r="B8140" t="s">
        <v>901</v>
      </c>
    </row>
    <row r="8141" spans="1:2">
      <c r="A8141" s="1" t="s">
        <v>8386</v>
      </c>
      <c r="B8141" t="s">
        <v>901</v>
      </c>
    </row>
    <row r="8142" spans="1:2">
      <c r="A8142" s="1" t="s">
        <v>8387</v>
      </c>
      <c r="B8142" t="s">
        <v>901</v>
      </c>
    </row>
    <row r="8143" spans="1:2">
      <c r="A8143" s="1" t="s">
        <v>8388</v>
      </c>
      <c r="B8143" t="s">
        <v>901</v>
      </c>
    </row>
    <row r="8144" spans="1:2">
      <c r="A8144" s="1" t="s">
        <v>8389</v>
      </c>
      <c r="B8144" t="s">
        <v>901</v>
      </c>
    </row>
    <row r="8145" spans="1:2">
      <c r="A8145" s="1" t="s">
        <v>8390</v>
      </c>
      <c r="B8145" t="s">
        <v>901</v>
      </c>
    </row>
    <row r="8146" spans="1:2">
      <c r="A8146" s="1" t="s">
        <v>8391</v>
      </c>
      <c r="B8146" t="s">
        <v>901</v>
      </c>
    </row>
    <row r="8147" spans="1:2">
      <c r="A8147" s="1" t="s">
        <v>8392</v>
      </c>
      <c r="B8147" t="s">
        <v>901</v>
      </c>
    </row>
    <row r="8148" spans="1:2">
      <c r="A8148" s="1" t="s">
        <v>8393</v>
      </c>
      <c r="B8148" t="s">
        <v>901</v>
      </c>
    </row>
    <row r="8149" spans="1:2">
      <c r="A8149" s="1" t="s">
        <v>8394</v>
      </c>
      <c r="B8149" t="s">
        <v>901</v>
      </c>
    </row>
    <row r="8150" spans="1:2">
      <c r="A8150" s="1" t="s">
        <v>8395</v>
      </c>
      <c r="B8150" t="s">
        <v>901</v>
      </c>
    </row>
    <row r="8151" spans="1:2">
      <c r="A8151" s="1" t="s">
        <v>8396</v>
      </c>
      <c r="B8151" t="s">
        <v>901</v>
      </c>
    </row>
    <row r="8152" spans="1:2">
      <c r="A8152" s="1" t="s">
        <v>8397</v>
      </c>
      <c r="B8152" t="s">
        <v>901</v>
      </c>
    </row>
    <row r="8153" spans="1:2">
      <c r="A8153" s="1" t="s">
        <v>8398</v>
      </c>
      <c r="B8153" t="s">
        <v>901</v>
      </c>
    </row>
    <row r="8154" spans="1:2">
      <c r="A8154" s="1" t="s">
        <v>8399</v>
      </c>
      <c r="B8154" t="s">
        <v>901</v>
      </c>
    </row>
    <row r="8155" spans="1:2">
      <c r="A8155" s="1" t="s">
        <v>8400</v>
      </c>
      <c r="B8155" t="s">
        <v>901</v>
      </c>
    </row>
    <row r="8156" spans="1:2">
      <c r="A8156" s="1" t="s">
        <v>8401</v>
      </c>
      <c r="B8156" t="s">
        <v>901</v>
      </c>
    </row>
    <row r="8157" spans="1:2">
      <c r="A8157" s="1" t="s">
        <v>8402</v>
      </c>
      <c r="B8157" t="s">
        <v>901</v>
      </c>
    </row>
    <row r="8158" spans="1:2">
      <c r="A8158" s="1" t="s">
        <v>8403</v>
      </c>
      <c r="B8158" t="s">
        <v>901</v>
      </c>
    </row>
    <row r="8159" spans="1:2">
      <c r="A8159" s="1" t="s">
        <v>8404</v>
      </c>
      <c r="B8159" t="s">
        <v>901</v>
      </c>
    </row>
    <row r="8160" spans="1:2">
      <c r="A8160" s="1" t="s">
        <v>8405</v>
      </c>
      <c r="B8160" t="s">
        <v>901</v>
      </c>
    </row>
    <row r="8161" spans="1:2">
      <c r="A8161" s="1" t="s">
        <v>8406</v>
      </c>
      <c r="B8161" t="s">
        <v>901</v>
      </c>
    </row>
    <row r="8162" spans="1:2">
      <c r="A8162" s="1" t="s">
        <v>8407</v>
      </c>
      <c r="B8162" t="s">
        <v>901</v>
      </c>
    </row>
    <row r="8163" spans="1:2">
      <c r="A8163" s="1" t="s">
        <v>8408</v>
      </c>
      <c r="B8163" t="s">
        <v>901</v>
      </c>
    </row>
    <row r="8164" spans="1:2">
      <c r="A8164" s="1" t="s">
        <v>8409</v>
      </c>
      <c r="B8164" t="s">
        <v>901</v>
      </c>
    </row>
    <row r="8165" spans="1:2">
      <c r="A8165" s="1" t="s">
        <v>8410</v>
      </c>
      <c r="B8165" t="s">
        <v>901</v>
      </c>
    </row>
    <row r="8166" spans="1:2">
      <c r="A8166" s="1" t="s">
        <v>8411</v>
      </c>
      <c r="B8166" t="s">
        <v>901</v>
      </c>
    </row>
    <row r="8167" spans="1:2">
      <c r="A8167" s="1" t="s">
        <v>8412</v>
      </c>
      <c r="B8167" t="s">
        <v>901</v>
      </c>
    </row>
    <row r="8168" spans="1:2">
      <c r="A8168" s="1" t="s">
        <v>8413</v>
      </c>
      <c r="B8168" t="s">
        <v>901</v>
      </c>
    </row>
    <row r="8169" spans="1:2">
      <c r="A8169" s="1" t="s">
        <v>8414</v>
      </c>
      <c r="B8169" t="s">
        <v>901</v>
      </c>
    </row>
    <row r="8170" spans="1:2">
      <c r="A8170" s="1" t="s">
        <v>8415</v>
      </c>
      <c r="B8170" t="s">
        <v>901</v>
      </c>
    </row>
    <row r="8171" spans="1:2">
      <c r="A8171" s="1" t="s">
        <v>8416</v>
      </c>
      <c r="B8171" t="s">
        <v>901</v>
      </c>
    </row>
    <row r="8172" spans="1:2">
      <c r="A8172" s="1" t="s">
        <v>8417</v>
      </c>
      <c r="B8172" t="s">
        <v>901</v>
      </c>
    </row>
    <row r="8173" spans="1:2">
      <c r="A8173" s="1" t="s">
        <v>8418</v>
      </c>
      <c r="B8173" t="s">
        <v>901</v>
      </c>
    </row>
    <row r="8174" spans="1:2">
      <c r="A8174" s="1" t="s">
        <v>8419</v>
      </c>
      <c r="B8174" t="s">
        <v>901</v>
      </c>
    </row>
    <row r="8175" spans="1:2">
      <c r="A8175" s="1" t="s">
        <v>8420</v>
      </c>
      <c r="B8175" t="s">
        <v>901</v>
      </c>
    </row>
    <row r="8176" spans="1:2">
      <c r="A8176" s="1" t="s">
        <v>8421</v>
      </c>
      <c r="B8176" t="s">
        <v>901</v>
      </c>
    </row>
    <row r="8177" spans="1:2">
      <c r="A8177" s="1" t="s">
        <v>8422</v>
      </c>
      <c r="B8177" t="s">
        <v>901</v>
      </c>
    </row>
    <row r="8178" spans="1:2">
      <c r="A8178" s="1" t="s">
        <v>8423</v>
      </c>
      <c r="B8178" t="s">
        <v>901</v>
      </c>
    </row>
    <row r="8179" spans="1:2">
      <c r="A8179" s="1" t="s">
        <v>8424</v>
      </c>
      <c r="B8179" t="s">
        <v>901</v>
      </c>
    </row>
    <row r="8180" spans="1:2">
      <c r="A8180" s="1" t="s">
        <v>8425</v>
      </c>
      <c r="B8180" t="s">
        <v>901</v>
      </c>
    </row>
    <row r="8181" spans="1:2">
      <c r="A8181" s="1" t="s">
        <v>8426</v>
      </c>
      <c r="B8181" t="s">
        <v>901</v>
      </c>
    </row>
    <row r="8182" spans="1:2">
      <c r="A8182" s="1" t="s">
        <v>8427</v>
      </c>
      <c r="B8182" t="s">
        <v>901</v>
      </c>
    </row>
    <row r="8183" spans="1:2">
      <c r="A8183" s="1" t="s">
        <v>8428</v>
      </c>
      <c r="B8183" t="s">
        <v>901</v>
      </c>
    </row>
    <row r="8184" spans="1:2">
      <c r="A8184" s="1" t="s">
        <v>8429</v>
      </c>
      <c r="B8184" t="s">
        <v>901</v>
      </c>
    </row>
    <row r="8185" spans="1:2">
      <c r="A8185" s="1" t="s">
        <v>8430</v>
      </c>
      <c r="B8185" t="s">
        <v>901</v>
      </c>
    </row>
    <row r="8186" spans="1:2">
      <c r="A8186" s="1" t="s">
        <v>8431</v>
      </c>
      <c r="B8186" t="s">
        <v>901</v>
      </c>
    </row>
    <row r="8187" spans="1:2">
      <c r="A8187" s="1" t="s">
        <v>8432</v>
      </c>
      <c r="B8187" t="s">
        <v>901</v>
      </c>
    </row>
    <row r="8188" spans="1:2">
      <c r="A8188" s="1" t="s">
        <v>8433</v>
      </c>
      <c r="B8188" t="s">
        <v>901</v>
      </c>
    </row>
    <row r="8189" spans="1:2">
      <c r="A8189" s="1" t="s">
        <v>8434</v>
      </c>
      <c r="B8189" t="s">
        <v>901</v>
      </c>
    </row>
    <row r="8190" spans="1:2">
      <c r="A8190" s="1" t="s">
        <v>8435</v>
      </c>
      <c r="B8190" t="s">
        <v>901</v>
      </c>
    </row>
    <row r="8191" spans="1:2">
      <c r="A8191" s="1" t="s">
        <v>8436</v>
      </c>
      <c r="B8191" t="s">
        <v>901</v>
      </c>
    </row>
    <row r="8192" spans="1:2">
      <c r="A8192" s="1" t="s">
        <v>8437</v>
      </c>
      <c r="B8192" t="s">
        <v>901</v>
      </c>
    </row>
    <row r="8193" spans="1:2">
      <c r="A8193" s="1" t="s">
        <v>8438</v>
      </c>
      <c r="B8193" t="s">
        <v>901</v>
      </c>
    </row>
    <row r="8194" spans="1:2">
      <c r="A8194" s="1" t="s">
        <v>8439</v>
      </c>
      <c r="B8194" t="s">
        <v>901</v>
      </c>
    </row>
    <row r="8195" spans="1:2">
      <c r="A8195" s="1" t="s">
        <v>8440</v>
      </c>
      <c r="B8195" t="s">
        <v>10292</v>
      </c>
    </row>
    <row r="8196" spans="1:2">
      <c r="A8196" s="1" t="s">
        <v>8441</v>
      </c>
      <c r="B8196" t="s">
        <v>901</v>
      </c>
    </row>
    <row r="8197" spans="1:2">
      <c r="A8197" s="1" t="s">
        <v>8442</v>
      </c>
      <c r="B8197" t="s">
        <v>901</v>
      </c>
    </row>
    <row r="8198" spans="1:2">
      <c r="A8198" s="1" t="s">
        <v>8443</v>
      </c>
      <c r="B8198" t="s">
        <v>901</v>
      </c>
    </row>
    <row r="8199" spans="1:2">
      <c r="A8199" s="1" t="s">
        <v>8444</v>
      </c>
      <c r="B8199" t="s">
        <v>901</v>
      </c>
    </row>
    <row r="8200" spans="1:2">
      <c r="A8200" s="1" t="s">
        <v>8445</v>
      </c>
      <c r="B8200" t="s">
        <v>901</v>
      </c>
    </row>
    <row r="8201" spans="1:2">
      <c r="A8201" s="1" t="s">
        <v>8446</v>
      </c>
      <c r="B8201" t="s">
        <v>901</v>
      </c>
    </row>
    <row r="8202" spans="1:2">
      <c r="A8202" s="1" t="s">
        <v>8447</v>
      </c>
      <c r="B8202" t="s">
        <v>901</v>
      </c>
    </row>
    <row r="8203" spans="1:2">
      <c r="A8203" s="1" t="s">
        <v>8448</v>
      </c>
      <c r="B8203" t="s">
        <v>901</v>
      </c>
    </row>
    <row r="8204" spans="1:2">
      <c r="A8204" s="1" t="s">
        <v>8449</v>
      </c>
      <c r="B8204" t="s">
        <v>901</v>
      </c>
    </row>
    <row r="8205" spans="1:2">
      <c r="A8205" s="1" t="s">
        <v>8450</v>
      </c>
      <c r="B8205" t="s">
        <v>901</v>
      </c>
    </row>
    <row r="8206" spans="1:2">
      <c r="A8206" s="1" t="s">
        <v>8451</v>
      </c>
      <c r="B8206" t="s">
        <v>901</v>
      </c>
    </row>
    <row r="8207" spans="1:2">
      <c r="A8207" s="1" t="s">
        <v>8452</v>
      </c>
      <c r="B8207" t="s">
        <v>901</v>
      </c>
    </row>
    <row r="8208" spans="1:2">
      <c r="A8208" s="1" t="s">
        <v>8453</v>
      </c>
      <c r="B8208" t="s">
        <v>901</v>
      </c>
    </row>
    <row r="8209" spans="1:2">
      <c r="A8209" s="1" t="s">
        <v>8454</v>
      </c>
      <c r="B8209" t="s">
        <v>901</v>
      </c>
    </row>
    <row r="8210" spans="1:2">
      <c r="A8210" s="1" t="s">
        <v>8455</v>
      </c>
      <c r="B8210" t="s">
        <v>901</v>
      </c>
    </row>
    <row r="8211" spans="1:2">
      <c r="A8211" s="1" t="s">
        <v>8456</v>
      </c>
      <c r="B8211" t="s">
        <v>901</v>
      </c>
    </row>
    <row r="8212" spans="1:2">
      <c r="A8212" s="1" t="s">
        <v>8457</v>
      </c>
      <c r="B8212" t="s">
        <v>901</v>
      </c>
    </row>
    <row r="8213" spans="1:2">
      <c r="A8213" s="1" t="s">
        <v>8458</v>
      </c>
      <c r="B8213" t="s">
        <v>901</v>
      </c>
    </row>
    <row r="8214" spans="1:2">
      <c r="A8214" s="1" t="s">
        <v>8459</v>
      </c>
      <c r="B8214" t="s">
        <v>901</v>
      </c>
    </row>
    <row r="8215" spans="1:2">
      <c r="A8215" s="1" t="s">
        <v>8460</v>
      </c>
      <c r="B8215" t="s">
        <v>901</v>
      </c>
    </row>
    <row r="8216" spans="1:2">
      <c r="A8216" s="1" t="s">
        <v>8461</v>
      </c>
      <c r="B8216" t="s">
        <v>901</v>
      </c>
    </row>
    <row r="8217" spans="1:2">
      <c r="A8217" s="1" t="s">
        <v>8462</v>
      </c>
      <c r="B8217" t="s">
        <v>901</v>
      </c>
    </row>
    <row r="8218" spans="1:2">
      <c r="A8218" s="1" t="s">
        <v>8463</v>
      </c>
      <c r="B8218" t="s">
        <v>901</v>
      </c>
    </row>
    <row r="8219" spans="1:2">
      <c r="A8219" s="1" t="s">
        <v>8464</v>
      </c>
      <c r="B8219" t="s">
        <v>901</v>
      </c>
    </row>
    <row r="8220" spans="1:2">
      <c r="A8220" s="1" t="s">
        <v>8465</v>
      </c>
      <c r="B8220" t="s">
        <v>901</v>
      </c>
    </row>
    <row r="8221" spans="1:2">
      <c r="A8221" s="1" t="s">
        <v>8466</v>
      </c>
      <c r="B8221" t="s">
        <v>901</v>
      </c>
    </row>
    <row r="8222" spans="1:2">
      <c r="A8222" s="1" t="s">
        <v>8467</v>
      </c>
      <c r="B8222" t="s">
        <v>901</v>
      </c>
    </row>
    <row r="8223" spans="1:2">
      <c r="A8223" s="1" t="s">
        <v>8468</v>
      </c>
      <c r="B8223" t="s">
        <v>901</v>
      </c>
    </row>
    <row r="8224" spans="1:2">
      <c r="A8224" s="1" t="s">
        <v>8469</v>
      </c>
      <c r="B8224" t="s">
        <v>901</v>
      </c>
    </row>
    <row r="8225" spans="1:2">
      <c r="A8225" s="1" t="s">
        <v>8470</v>
      </c>
      <c r="B8225" t="s">
        <v>901</v>
      </c>
    </row>
    <row r="8226" spans="1:2">
      <c r="A8226" s="1" t="s">
        <v>8471</v>
      </c>
      <c r="B8226" t="s">
        <v>901</v>
      </c>
    </row>
    <row r="8227" spans="1:2">
      <c r="A8227" s="1" t="s">
        <v>8472</v>
      </c>
      <c r="B8227" t="s">
        <v>901</v>
      </c>
    </row>
    <row r="8228" spans="1:2">
      <c r="A8228" s="1" t="s">
        <v>8473</v>
      </c>
      <c r="B8228" t="s">
        <v>901</v>
      </c>
    </row>
    <row r="8229" spans="1:2">
      <c r="A8229" s="1" t="s">
        <v>8474</v>
      </c>
      <c r="B8229" t="s">
        <v>901</v>
      </c>
    </row>
    <row r="8230" spans="1:2">
      <c r="A8230" s="1" t="s">
        <v>8475</v>
      </c>
      <c r="B8230" t="s">
        <v>901</v>
      </c>
    </row>
    <row r="8231" spans="1:2">
      <c r="A8231" s="1" t="s">
        <v>8476</v>
      </c>
      <c r="B8231" t="s">
        <v>901</v>
      </c>
    </row>
    <row r="8232" spans="1:2">
      <c r="A8232" s="1" t="s">
        <v>8477</v>
      </c>
      <c r="B8232" t="s">
        <v>901</v>
      </c>
    </row>
    <row r="8233" spans="1:2">
      <c r="A8233" s="1" t="s">
        <v>8478</v>
      </c>
      <c r="B8233" t="s">
        <v>901</v>
      </c>
    </row>
    <row r="8234" spans="1:2">
      <c r="A8234" s="1" t="s">
        <v>8479</v>
      </c>
      <c r="B8234" t="s">
        <v>901</v>
      </c>
    </row>
    <row r="8235" spans="1:2">
      <c r="A8235" s="1" t="s">
        <v>8480</v>
      </c>
      <c r="B8235" t="s">
        <v>901</v>
      </c>
    </row>
    <row r="8236" spans="1:2">
      <c r="A8236" s="1" t="s">
        <v>8481</v>
      </c>
      <c r="B8236" t="s">
        <v>901</v>
      </c>
    </row>
    <row r="8237" spans="1:2">
      <c r="A8237" s="1" t="s">
        <v>8482</v>
      </c>
      <c r="B8237" t="s">
        <v>901</v>
      </c>
    </row>
    <row r="8238" spans="1:2">
      <c r="A8238" s="1" t="s">
        <v>8483</v>
      </c>
      <c r="B8238" t="s">
        <v>901</v>
      </c>
    </row>
    <row r="8239" spans="1:2">
      <c r="A8239" s="1" t="s">
        <v>8484</v>
      </c>
      <c r="B8239" t="s">
        <v>901</v>
      </c>
    </row>
    <row r="8240" spans="1:2">
      <c r="A8240" s="1" t="s">
        <v>8485</v>
      </c>
      <c r="B8240" t="s">
        <v>901</v>
      </c>
    </row>
    <row r="8241" spans="1:2">
      <c r="A8241" s="1" t="s">
        <v>8486</v>
      </c>
      <c r="B8241" t="s">
        <v>901</v>
      </c>
    </row>
    <row r="8242" spans="1:2">
      <c r="A8242" s="1" t="s">
        <v>8487</v>
      </c>
      <c r="B8242" t="s">
        <v>901</v>
      </c>
    </row>
    <row r="8243" spans="1:2">
      <c r="A8243" s="1" t="s">
        <v>8488</v>
      </c>
      <c r="B8243" t="s">
        <v>901</v>
      </c>
    </row>
    <row r="8244" spans="1:2">
      <c r="A8244" s="1" t="s">
        <v>8489</v>
      </c>
      <c r="B8244" t="s">
        <v>901</v>
      </c>
    </row>
    <row r="8245" spans="1:2">
      <c r="A8245" s="1" t="s">
        <v>8490</v>
      </c>
      <c r="B8245" t="s">
        <v>901</v>
      </c>
    </row>
    <row r="8246" spans="1:2">
      <c r="A8246" s="1" t="s">
        <v>8491</v>
      </c>
      <c r="B8246" t="s">
        <v>901</v>
      </c>
    </row>
    <row r="8247" spans="1:2">
      <c r="A8247" s="1" t="s">
        <v>8492</v>
      </c>
      <c r="B8247" t="s">
        <v>901</v>
      </c>
    </row>
    <row r="8248" spans="1:2">
      <c r="A8248" s="1" t="s">
        <v>8493</v>
      </c>
      <c r="B8248" t="s">
        <v>901</v>
      </c>
    </row>
    <row r="8249" spans="1:2">
      <c r="A8249" s="1" t="s">
        <v>8494</v>
      </c>
      <c r="B8249" t="s">
        <v>901</v>
      </c>
    </row>
    <row r="8250" spans="1:2">
      <c r="A8250" s="1" t="s">
        <v>8495</v>
      </c>
      <c r="B8250" t="s">
        <v>901</v>
      </c>
    </row>
    <row r="8251" spans="1:2">
      <c r="A8251" s="1" t="s">
        <v>8496</v>
      </c>
      <c r="B8251" t="s">
        <v>901</v>
      </c>
    </row>
    <row r="8252" spans="1:2">
      <c r="A8252" s="1" t="s">
        <v>8497</v>
      </c>
      <c r="B8252" t="s">
        <v>901</v>
      </c>
    </row>
    <row r="8253" spans="1:2">
      <c r="A8253" s="1" t="s">
        <v>8498</v>
      </c>
      <c r="B8253" t="s">
        <v>901</v>
      </c>
    </row>
    <row r="8254" spans="1:2">
      <c r="A8254" s="1" t="s">
        <v>8499</v>
      </c>
      <c r="B8254" t="s">
        <v>901</v>
      </c>
    </row>
    <row r="8255" spans="1:2">
      <c r="A8255" s="1" t="s">
        <v>8500</v>
      </c>
      <c r="B8255" t="s">
        <v>901</v>
      </c>
    </row>
    <row r="8256" spans="1:2">
      <c r="A8256" s="1" t="s">
        <v>8501</v>
      </c>
      <c r="B8256" t="s">
        <v>901</v>
      </c>
    </row>
    <row r="8257" spans="1:2">
      <c r="A8257" s="1" t="s">
        <v>8502</v>
      </c>
      <c r="B8257" t="s">
        <v>901</v>
      </c>
    </row>
    <row r="8258" spans="1:2">
      <c r="A8258" s="1" t="s">
        <v>8503</v>
      </c>
      <c r="B8258" t="s">
        <v>901</v>
      </c>
    </row>
    <row r="8259" spans="1:2">
      <c r="A8259" s="1" t="s">
        <v>8504</v>
      </c>
      <c r="B8259" t="s">
        <v>901</v>
      </c>
    </row>
    <row r="8260" spans="1:2">
      <c r="A8260" s="1" t="s">
        <v>8505</v>
      </c>
      <c r="B8260" t="s">
        <v>901</v>
      </c>
    </row>
    <row r="8261" spans="1:2">
      <c r="A8261" s="1" t="s">
        <v>8506</v>
      </c>
      <c r="B8261" t="s">
        <v>901</v>
      </c>
    </row>
    <row r="8262" spans="1:2">
      <c r="A8262" s="1" t="s">
        <v>8507</v>
      </c>
      <c r="B8262" t="s">
        <v>901</v>
      </c>
    </row>
    <row r="8263" spans="1:2">
      <c r="A8263" s="1" t="s">
        <v>8508</v>
      </c>
      <c r="B8263" t="s">
        <v>901</v>
      </c>
    </row>
    <row r="8264" spans="1:2">
      <c r="A8264" s="1" t="s">
        <v>8509</v>
      </c>
      <c r="B8264" t="s">
        <v>901</v>
      </c>
    </row>
    <row r="8265" spans="1:2">
      <c r="A8265" s="1" t="s">
        <v>8510</v>
      </c>
      <c r="B8265" t="s">
        <v>10245</v>
      </c>
    </row>
    <row r="8266" spans="1:2">
      <c r="A8266" s="1" t="s">
        <v>8511</v>
      </c>
      <c r="B8266" t="s">
        <v>901</v>
      </c>
    </row>
    <row r="8267" spans="1:2">
      <c r="A8267" s="1" t="s">
        <v>8512</v>
      </c>
      <c r="B8267" t="s">
        <v>901</v>
      </c>
    </row>
    <row r="8268" spans="1:2">
      <c r="A8268" s="1" t="s">
        <v>8513</v>
      </c>
      <c r="B8268" t="s">
        <v>901</v>
      </c>
    </row>
    <row r="8269" spans="1:2">
      <c r="A8269" s="1" t="s">
        <v>8514</v>
      </c>
      <c r="B8269" t="s">
        <v>901</v>
      </c>
    </row>
    <row r="8270" spans="1:2">
      <c r="A8270" s="1" t="s">
        <v>8515</v>
      </c>
      <c r="B8270" t="s">
        <v>901</v>
      </c>
    </row>
    <row r="8271" spans="1:2">
      <c r="A8271" s="1" t="s">
        <v>8516</v>
      </c>
      <c r="B8271" t="s">
        <v>901</v>
      </c>
    </row>
    <row r="8272" spans="1:2">
      <c r="A8272" s="1" t="s">
        <v>8517</v>
      </c>
      <c r="B8272" t="s">
        <v>901</v>
      </c>
    </row>
    <row r="8273" spans="1:2">
      <c r="A8273" s="1" t="s">
        <v>8518</v>
      </c>
      <c r="B8273" t="s">
        <v>901</v>
      </c>
    </row>
    <row r="8274" spans="1:2">
      <c r="A8274" s="1" t="s">
        <v>8519</v>
      </c>
      <c r="B8274" t="s">
        <v>901</v>
      </c>
    </row>
    <row r="8275" spans="1:2">
      <c r="A8275" s="1" t="s">
        <v>8520</v>
      </c>
      <c r="B8275" t="s">
        <v>901</v>
      </c>
    </row>
    <row r="8276" spans="1:2">
      <c r="A8276" s="1" t="s">
        <v>8521</v>
      </c>
      <c r="B8276" t="s">
        <v>901</v>
      </c>
    </row>
    <row r="8277" spans="1:2">
      <c r="A8277" s="1" t="s">
        <v>8522</v>
      </c>
      <c r="B8277" t="s">
        <v>901</v>
      </c>
    </row>
    <row r="8278" spans="1:2">
      <c r="A8278" s="1" t="s">
        <v>8523</v>
      </c>
      <c r="B8278" t="s">
        <v>901</v>
      </c>
    </row>
    <row r="8279" spans="1:2">
      <c r="A8279" s="1" t="s">
        <v>8524</v>
      </c>
      <c r="B8279" t="s">
        <v>901</v>
      </c>
    </row>
    <row r="8280" spans="1:2">
      <c r="A8280" s="1" t="s">
        <v>8525</v>
      </c>
      <c r="B8280" t="s">
        <v>901</v>
      </c>
    </row>
    <row r="8281" spans="1:2">
      <c r="A8281" s="1" t="s">
        <v>8526</v>
      </c>
      <c r="B8281" t="s">
        <v>901</v>
      </c>
    </row>
    <row r="8282" spans="1:2">
      <c r="A8282" s="1" t="s">
        <v>8527</v>
      </c>
      <c r="B8282" t="s">
        <v>901</v>
      </c>
    </row>
    <row r="8283" spans="1:2">
      <c r="A8283" s="1" t="s">
        <v>8528</v>
      </c>
      <c r="B8283" t="s">
        <v>901</v>
      </c>
    </row>
    <row r="8284" spans="1:2">
      <c r="A8284" s="1" t="s">
        <v>8529</v>
      </c>
      <c r="B8284" t="s">
        <v>901</v>
      </c>
    </row>
    <row r="8285" spans="1:2">
      <c r="A8285" s="1" t="s">
        <v>8530</v>
      </c>
      <c r="B8285" t="s">
        <v>901</v>
      </c>
    </row>
    <row r="8286" spans="1:2">
      <c r="A8286" s="1" t="s">
        <v>8531</v>
      </c>
      <c r="B8286" t="s">
        <v>901</v>
      </c>
    </row>
    <row r="8287" spans="1:2">
      <c r="A8287" s="1" t="s">
        <v>8532</v>
      </c>
      <c r="B8287" t="s">
        <v>901</v>
      </c>
    </row>
    <row r="8288" spans="1:2">
      <c r="A8288" s="1" t="s">
        <v>8533</v>
      </c>
      <c r="B8288" t="s">
        <v>901</v>
      </c>
    </row>
    <row r="8289" spans="1:2">
      <c r="A8289" s="1" t="s">
        <v>8534</v>
      </c>
      <c r="B8289" t="s">
        <v>901</v>
      </c>
    </row>
    <row r="8290" spans="1:2">
      <c r="A8290" s="1" t="s">
        <v>8535</v>
      </c>
      <c r="B8290" t="s">
        <v>901</v>
      </c>
    </row>
    <row r="8291" spans="1:2">
      <c r="A8291" s="1" t="s">
        <v>8536</v>
      </c>
      <c r="B8291" t="s">
        <v>901</v>
      </c>
    </row>
    <row r="8292" spans="1:2">
      <c r="A8292" s="1" t="s">
        <v>8537</v>
      </c>
      <c r="B8292" t="s">
        <v>901</v>
      </c>
    </row>
    <row r="8293" spans="1:2">
      <c r="A8293" s="1" t="s">
        <v>8538</v>
      </c>
      <c r="B8293" t="s">
        <v>901</v>
      </c>
    </row>
    <row r="8294" spans="1:2">
      <c r="A8294" s="1" t="s">
        <v>8539</v>
      </c>
      <c r="B8294" t="s">
        <v>901</v>
      </c>
    </row>
    <row r="8295" spans="1:2">
      <c r="A8295" s="1" t="s">
        <v>8540</v>
      </c>
      <c r="B8295" t="s">
        <v>901</v>
      </c>
    </row>
    <row r="8296" spans="1:2">
      <c r="A8296" s="1" t="s">
        <v>8541</v>
      </c>
      <c r="B8296" t="s">
        <v>901</v>
      </c>
    </row>
    <row r="8297" spans="1:2">
      <c r="A8297" s="1" t="s">
        <v>8542</v>
      </c>
      <c r="B8297" t="s">
        <v>901</v>
      </c>
    </row>
    <row r="8298" spans="1:2">
      <c r="A8298" s="1" t="s">
        <v>8543</v>
      </c>
      <c r="B8298" t="s">
        <v>901</v>
      </c>
    </row>
    <row r="8299" spans="1:2">
      <c r="A8299" s="1" t="s">
        <v>8544</v>
      </c>
      <c r="B8299" t="s">
        <v>901</v>
      </c>
    </row>
    <row r="8300" spans="1:2">
      <c r="A8300" s="1" t="s">
        <v>8545</v>
      </c>
      <c r="B8300" t="s">
        <v>901</v>
      </c>
    </row>
    <row r="8301" spans="1:2">
      <c r="A8301" s="1" t="s">
        <v>8546</v>
      </c>
      <c r="B8301" t="s">
        <v>901</v>
      </c>
    </row>
    <row r="8302" spans="1:2">
      <c r="A8302" s="1" t="s">
        <v>8547</v>
      </c>
      <c r="B8302" t="s">
        <v>901</v>
      </c>
    </row>
    <row r="8303" spans="1:2">
      <c r="A8303" s="1" t="s">
        <v>8548</v>
      </c>
      <c r="B8303" t="s">
        <v>901</v>
      </c>
    </row>
    <row r="8304" spans="1:2">
      <c r="A8304" s="1" t="s">
        <v>8549</v>
      </c>
      <c r="B8304" t="s">
        <v>901</v>
      </c>
    </row>
    <row r="8305" spans="1:2">
      <c r="A8305" s="1" t="s">
        <v>8550</v>
      </c>
      <c r="B8305" t="s">
        <v>901</v>
      </c>
    </row>
    <row r="8306" spans="1:2">
      <c r="A8306" s="1" t="s">
        <v>8551</v>
      </c>
      <c r="B8306" t="s">
        <v>901</v>
      </c>
    </row>
    <row r="8307" spans="1:2">
      <c r="A8307" s="1" t="s">
        <v>8552</v>
      </c>
      <c r="B8307" t="s">
        <v>901</v>
      </c>
    </row>
    <row r="8308" spans="1:2">
      <c r="A8308" s="1" t="s">
        <v>8553</v>
      </c>
      <c r="B8308" t="s">
        <v>901</v>
      </c>
    </row>
    <row r="8309" spans="1:2">
      <c r="A8309" s="1" t="s">
        <v>8554</v>
      </c>
      <c r="B8309" t="s">
        <v>901</v>
      </c>
    </row>
    <row r="8310" spans="1:2">
      <c r="A8310" s="1" t="s">
        <v>8555</v>
      </c>
      <c r="B8310" t="s">
        <v>901</v>
      </c>
    </row>
    <row r="8311" spans="1:2">
      <c r="A8311" s="1" t="s">
        <v>8556</v>
      </c>
      <c r="B8311" t="s">
        <v>901</v>
      </c>
    </row>
    <row r="8312" spans="1:2">
      <c r="A8312" s="1" t="s">
        <v>8557</v>
      </c>
      <c r="B8312" t="s">
        <v>901</v>
      </c>
    </row>
    <row r="8313" spans="1:2">
      <c r="A8313" s="1" t="s">
        <v>8558</v>
      </c>
      <c r="B8313" t="s">
        <v>901</v>
      </c>
    </row>
    <row r="8314" spans="1:2">
      <c r="A8314" s="1" t="s">
        <v>8559</v>
      </c>
      <c r="B8314" t="s">
        <v>901</v>
      </c>
    </row>
    <row r="8315" spans="1:2">
      <c r="A8315" s="1" t="s">
        <v>8560</v>
      </c>
      <c r="B8315" t="s">
        <v>901</v>
      </c>
    </row>
    <row r="8316" spans="1:2">
      <c r="A8316" s="1" t="s">
        <v>8561</v>
      </c>
      <c r="B8316" t="s">
        <v>901</v>
      </c>
    </row>
    <row r="8317" spans="1:2">
      <c r="A8317" s="1" t="s">
        <v>8562</v>
      </c>
      <c r="B8317" t="s">
        <v>901</v>
      </c>
    </row>
    <row r="8318" spans="1:2">
      <c r="A8318" s="1" t="s">
        <v>8563</v>
      </c>
      <c r="B8318" t="s">
        <v>901</v>
      </c>
    </row>
    <row r="8319" spans="1:2">
      <c r="A8319" s="1" t="s">
        <v>8564</v>
      </c>
      <c r="B8319" t="s">
        <v>901</v>
      </c>
    </row>
    <row r="8320" spans="1:2">
      <c r="A8320" s="1" t="s">
        <v>8565</v>
      </c>
      <c r="B8320" t="s">
        <v>901</v>
      </c>
    </row>
    <row r="8321" spans="1:2">
      <c r="A8321" s="1" t="s">
        <v>8566</v>
      </c>
      <c r="B8321" t="s">
        <v>901</v>
      </c>
    </row>
    <row r="8322" spans="1:2">
      <c r="A8322" s="1" t="s">
        <v>8567</v>
      </c>
      <c r="B8322" t="s">
        <v>901</v>
      </c>
    </row>
    <row r="8323" spans="1:2">
      <c r="A8323" s="1" t="s">
        <v>8568</v>
      </c>
      <c r="B8323" t="s">
        <v>901</v>
      </c>
    </row>
    <row r="8324" spans="1:2">
      <c r="A8324" s="1" t="s">
        <v>8569</v>
      </c>
      <c r="B8324" t="s">
        <v>901</v>
      </c>
    </row>
    <row r="8325" spans="1:2">
      <c r="A8325" s="1" t="s">
        <v>8570</v>
      </c>
      <c r="B8325" t="s">
        <v>901</v>
      </c>
    </row>
    <row r="8326" spans="1:2">
      <c r="A8326" s="1" t="s">
        <v>8571</v>
      </c>
      <c r="B8326" t="s">
        <v>901</v>
      </c>
    </row>
    <row r="8327" spans="1:2">
      <c r="A8327" s="1" t="s">
        <v>8572</v>
      </c>
      <c r="B8327" t="s">
        <v>901</v>
      </c>
    </row>
    <row r="8328" spans="1:2">
      <c r="A8328" s="1" t="s">
        <v>8573</v>
      </c>
      <c r="B8328" t="s">
        <v>901</v>
      </c>
    </row>
    <row r="8329" spans="1:2">
      <c r="A8329" s="1" t="s">
        <v>8574</v>
      </c>
      <c r="B8329" t="s">
        <v>901</v>
      </c>
    </row>
    <row r="8330" spans="1:2">
      <c r="A8330" s="1" t="s">
        <v>8575</v>
      </c>
      <c r="B8330" t="s">
        <v>901</v>
      </c>
    </row>
    <row r="8331" spans="1:2">
      <c r="A8331" s="1" t="s">
        <v>8576</v>
      </c>
      <c r="B8331" t="s">
        <v>901</v>
      </c>
    </row>
    <row r="8332" spans="1:2">
      <c r="A8332" s="1" t="s">
        <v>8577</v>
      </c>
      <c r="B8332" t="s">
        <v>901</v>
      </c>
    </row>
    <row r="8333" spans="1:2">
      <c r="A8333" s="1" t="s">
        <v>8578</v>
      </c>
      <c r="B8333" t="s">
        <v>901</v>
      </c>
    </row>
    <row r="8334" spans="1:2">
      <c r="A8334" s="1" t="s">
        <v>8579</v>
      </c>
      <c r="B8334" t="s">
        <v>901</v>
      </c>
    </row>
    <row r="8335" spans="1:2">
      <c r="A8335" s="1" t="s">
        <v>8580</v>
      </c>
      <c r="B8335" t="s">
        <v>901</v>
      </c>
    </row>
    <row r="8336" spans="1:2">
      <c r="A8336" s="1" t="s">
        <v>8581</v>
      </c>
      <c r="B8336" t="s">
        <v>901</v>
      </c>
    </row>
    <row r="8337" spans="1:2">
      <c r="A8337" s="1" t="s">
        <v>8582</v>
      </c>
      <c r="B8337" t="s">
        <v>901</v>
      </c>
    </row>
    <row r="8338" spans="1:2">
      <c r="A8338" s="1" t="s">
        <v>8583</v>
      </c>
      <c r="B8338" t="s">
        <v>901</v>
      </c>
    </row>
    <row r="8339" spans="1:2">
      <c r="A8339" s="1" t="s">
        <v>8584</v>
      </c>
      <c r="B8339" t="s">
        <v>901</v>
      </c>
    </row>
    <row r="8340" spans="1:2">
      <c r="A8340" s="1" t="s">
        <v>8585</v>
      </c>
      <c r="B8340" t="s">
        <v>901</v>
      </c>
    </row>
    <row r="8341" spans="1:2">
      <c r="A8341" s="1" t="s">
        <v>8586</v>
      </c>
      <c r="B8341" t="s">
        <v>901</v>
      </c>
    </row>
    <row r="8342" spans="1:2">
      <c r="A8342" s="1" t="s">
        <v>8587</v>
      </c>
      <c r="B8342" t="s">
        <v>901</v>
      </c>
    </row>
    <row r="8343" spans="1:2">
      <c r="A8343" s="1" t="s">
        <v>8588</v>
      </c>
      <c r="B8343" t="s">
        <v>901</v>
      </c>
    </row>
    <row r="8344" spans="1:2">
      <c r="A8344" s="1" t="s">
        <v>8589</v>
      </c>
      <c r="B8344" t="s">
        <v>901</v>
      </c>
    </row>
    <row r="8345" spans="1:2">
      <c r="A8345" s="1" t="s">
        <v>8590</v>
      </c>
      <c r="B8345" t="s">
        <v>901</v>
      </c>
    </row>
    <row r="8346" spans="1:2">
      <c r="A8346" s="1" t="s">
        <v>8591</v>
      </c>
      <c r="B8346" t="s">
        <v>901</v>
      </c>
    </row>
    <row r="8347" spans="1:2">
      <c r="A8347" s="1" t="s">
        <v>8592</v>
      </c>
      <c r="B8347" t="s">
        <v>901</v>
      </c>
    </row>
    <row r="8348" spans="1:2">
      <c r="A8348" s="1" t="s">
        <v>8593</v>
      </c>
      <c r="B8348" t="s">
        <v>901</v>
      </c>
    </row>
    <row r="8349" spans="1:2">
      <c r="A8349" s="1" t="s">
        <v>8594</v>
      </c>
      <c r="B8349" t="s">
        <v>901</v>
      </c>
    </row>
    <row r="8350" spans="1:2">
      <c r="A8350" s="1" t="s">
        <v>8595</v>
      </c>
      <c r="B8350" t="s">
        <v>901</v>
      </c>
    </row>
    <row r="8351" spans="1:2">
      <c r="A8351" s="1" t="s">
        <v>8596</v>
      </c>
      <c r="B8351" t="s">
        <v>901</v>
      </c>
    </row>
    <row r="8352" spans="1:2">
      <c r="A8352" s="1" t="s">
        <v>8597</v>
      </c>
      <c r="B8352" t="s">
        <v>901</v>
      </c>
    </row>
    <row r="8353" spans="1:2">
      <c r="A8353" s="1" t="s">
        <v>8598</v>
      </c>
      <c r="B8353" t="s">
        <v>901</v>
      </c>
    </row>
    <row r="8354" spans="1:2">
      <c r="A8354" s="1" t="s">
        <v>8599</v>
      </c>
      <c r="B8354" t="s">
        <v>901</v>
      </c>
    </row>
    <row r="8355" spans="1:2">
      <c r="A8355" s="1" t="s">
        <v>8600</v>
      </c>
      <c r="B8355" t="s">
        <v>901</v>
      </c>
    </row>
    <row r="8356" spans="1:2">
      <c r="A8356" s="1" t="s">
        <v>8601</v>
      </c>
      <c r="B8356" t="s">
        <v>901</v>
      </c>
    </row>
    <row r="8357" spans="1:2">
      <c r="A8357" s="1" t="s">
        <v>8602</v>
      </c>
      <c r="B8357" t="s">
        <v>901</v>
      </c>
    </row>
    <row r="8358" spans="1:2">
      <c r="A8358" s="1" t="s">
        <v>8603</v>
      </c>
      <c r="B8358" t="s">
        <v>901</v>
      </c>
    </row>
    <row r="8359" spans="1:2">
      <c r="A8359" s="1" t="s">
        <v>8604</v>
      </c>
      <c r="B8359" t="s">
        <v>901</v>
      </c>
    </row>
    <row r="8360" spans="1:2">
      <c r="A8360" s="1" t="s">
        <v>8605</v>
      </c>
      <c r="B8360" t="s">
        <v>901</v>
      </c>
    </row>
    <row r="8361" spans="1:2">
      <c r="A8361" s="1" t="s">
        <v>8606</v>
      </c>
      <c r="B8361" t="s">
        <v>901</v>
      </c>
    </row>
    <row r="8362" spans="1:2">
      <c r="A8362" s="1" t="s">
        <v>8607</v>
      </c>
      <c r="B8362" t="s">
        <v>901</v>
      </c>
    </row>
    <row r="8363" spans="1:2">
      <c r="A8363" s="1" t="s">
        <v>8608</v>
      </c>
      <c r="B8363" t="s">
        <v>901</v>
      </c>
    </row>
    <row r="8364" spans="1:2">
      <c r="A8364" s="1" t="s">
        <v>8609</v>
      </c>
      <c r="B8364" t="s">
        <v>901</v>
      </c>
    </row>
    <row r="8365" spans="1:2">
      <c r="A8365" s="1" t="s">
        <v>8610</v>
      </c>
      <c r="B8365" t="s">
        <v>901</v>
      </c>
    </row>
    <row r="8366" spans="1:2">
      <c r="A8366" s="1" t="s">
        <v>8611</v>
      </c>
      <c r="B8366" t="s">
        <v>901</v>
      </c>
    </row>
    <row r="8367" spans="1:2">
      <c r="A8367" s="1" t="s">
        <v>8612</v>
      </c>
      <c r="B8367" t="s">
        <v>901</v>
      </c>
    </row>
    <row r="8368" spans="1:2">
      <c r="A8368" s="1" t="s">
        <v>8613</v>
      </c>
      <c r="B8368" t="s">
        <v>901</v>
      </c>
    </row>
    <row r="8369" spans="1:2">
      <c r="A8369" s="1" t="s">
        <v>8614</v>
      </c>
      <c r="B8369" t="s">
        <v>901</v>
      </c>
    </row>
    <row r="8370" spans="1:2">
      <c r="A8370" s="1" t="s">
        <v>8615</v>
      </c>
      <c r="B8370" t="s">
        <v>901</v>
      </c>
    </row>
    <row r="8371" spans="1:2">
      <c r="A8371" s="1" t="s">
        <v>8616</v>
      </c>
      <c r="B8371" t="s">
        <v>901</v>
      </c>
    </row>
    <row r="8372" spans="1:2">
      <c r="A8372" s="1" t="s">
        <v>8617</v>
      </c>
      <c r="B8372" t="s">
        <v>901</v>
      </c>
    </row>
    <row r="8373" spans="1:2">
      <c r="A8373" s="1" t="s">
        <v>8618</v>
      </c>
      <c r="B8373" t="s">
        <v>901</v>
      </c>
    </row>
    <row r="8374" spans="1:2">
      <c r="A8374" s="1" t="s">
        <v>8619</v>
      </c>
      <c r="B8374" t="s">
        <v>901</v>
      </c>
    </row>
    <row r="8375" spans="1:2">
      <c r="A8375" s="1" t="s">
        <v>8620</v>
      </c>
      <c r="B8375" t="s">
        <v>901</v>
      </c>
    </row>
    <row r="8376" spans="1:2">
      <c r="A8376" s="1" t="s">
        <v>8621</v>
      </c>
      <c r="B8376" t="s">
        <v>901</v>
      </c>
    </row>
    <row r="8377" spans="1:2">
      <c r="A8377" s="1" t="s">
        <v>8622</v>
      </c>
      <c r="B8377" t="s">
        <v>901</v>
      </c>
    </row>
    <row r="8378" spans="1:2">
      <c r="A8378" s="1" t="s">
        <v>8623</v>
      </c>
      <c r="B8378" t="s">
        <v>901</v>
      </c>
    </row>
    <row r="8379" spans="1:2">
      <c r="A8379" s="1" t="s">
        <v>8624</v>
      </c>
      <c r="B8379" t="s">
        <v>10357</v>
      </c>
    </row>
    <row r="8380" spans="1:2">
      <c r="A8380" s="1" t="s">
        <v>8625</v>
      </c>
      <c r="B8380" t="s">
        <v>901</v>
      </c>
    </row>
    <row r="8381" spans="1:2">
      <c r="A8381" s="1" t="s">
        <v>8626</v>
      </c>
      <c r="B8381" t="s">
        <v>901</v>
      </c>
    </row>
    <row r="8382" spans="1:2">
      <c r="A8382" s="1" t="s">
        <v>8627</v>
      </c>
      <c r="B8382" t="s">
        <v>901</v>
      </c>
    </row>
    <row r="8383" spans="1:2">
      <c r="A8383" s="1" t="s">
        <v>8628</v>
      </c>
      <c r="B8383" t="s">
        <v>901</v>
      </c>
    </row>
    <row r="8384" spans="1:2">
      <c r="A8384" s="1" t="s">
        <v>8629</v>
      </c>
      <c r="B8384" t="s">
        <v>901</v>
      </c>
    </row>
    <row r="8385" spans="1:2">
      <c r="A8385" s="1" t="s">
        <v>8630</v>
      </c>
      <c r="B8385" t="s">
        <v>901</v>
      </c>
    </row>
    <row r="8386" spans="1:2">
      <c r="A8386" s="1" t="s">
        <v>8631</v>
      </c>
      <c r="B8386" t="s">
        <v>901</v>
      </c>
    </row>
    <row r="8387" spans="1:2">
      <c r="A8387" s="1" t="s">
        <v>8632</v>
      </c>
      <c r="B8387" t="s">
        <v>901</v>
      </c>
    </row>
    <row r="8388" spans="1:2">
      <c r="A8388" s="1" t="s">
        <v>8633</v>
      </c>
      <c r="B8388" t="s">
        <v>901</v>
      </c>
    </row>
    <row r="8389" spans="1:2">
      <c r="A8389" s="1" t="s">
        <v>8634</v>
      </c>
      <c r="B8389" t="s">
        <v>901</v>
      </c>
    </row>
    <row r="8390" spans="1:2">
      <c r="A8390" s="1" t="s">
        <v>8635</v>
      </c>
      <c r="B8390" t="s">
        <v>901</v>
      </c>
    </row>
    <row r="8391" spans="1:2">
      <c r="A8391" s="1" t="s">
        <v>8636</v>
      </c>
      <c r="B8391" t="s">
        <v>901</v>
      </c>
    </row>
    <row r="8392" spans="1:2">
      <c r="A8392" s="1" t="s">
        <v>8637</v>
      </c>
      <c r="B8392" t="s">
        <v>901</v>
      </c>
    </row>
    <row r="8393" spans="1:2">
      <c r="A8393" s="1" t="s">
        <v>8638</v>
      </c>
      <c r="B8393" t="s">
        <v>901</v>
      </c>
    </row>
    <row r="8394" spans="1:2">
      <c r="A8394" s="1" t="s">
        <v>8639</v>
      </c>
      <c r="B8394" t="s">
        <v>901</v>
      </c>
    </row>
    <row r="8395" spans="1:2">
      <c r="A8395" s="1" t="s">
        <v>8640</v>
      </c>
      <c r="B8395" t="s">
        <v>901</v>
      </c>
    </row>
    <row r="8396" spans="1:2">
      <c r="A8396" s="1" t="s">
        <v>8641</v>
      </c>
      <c r="B8396" t="s">
        <v>901</v>
      </c>
    </row>
    <row r="8397" spans="1:2">
      <c r="A8397" s="1" t="s">
        <v>8642</v>
      </c>
      <c r="B8397" t="s">
        <v>901</v>
      </c>
    </row>
    <row r="8398" spans="1:2">
      <c r="A8398" s="1" t="s">
        <v>8643</v>
      </c>
      <c r="B8398" t="s">
        <v>901</v>
      </c>
    </row>
    <row r="8399" spans="1:2">
      <c r="A8399" s="1" t="s">
        <v>8644</v>
      </c>
      <c r="B8399" t="s">
        <v>901</v>
      </c>
    </row>
    <row r="8400" spans="1:2">
      <c r="A8400" s="1" t="s">
        <v>8645</v>
      </c>
      <c r="B8400" t="s">
        <v>901</v>
      </c>
    </row>
    <row r="8401" spans="1:2">
      <c r="A8401" s="1" t="s">
        <v>8646</v>
      </c>
      <c r="B8401" t="s">
        <v>901</v>
      </c>
    </row>
    <row r="8402" spans="1:2">
      <c r="A8402" s="1" t="s">
        <v>8647</v>
      </c>
      <c r="B8402" t="s">
        <v>901</v>
      </c>
    </row>
    <row r="8403" spans="1:2">
      <c r="A8403" s="1" t="s">
        <v>8648</v>
      </c>
      <c r="B8403" t="s">
        <v>901</v>
      </c>
    </row>
    <row r="8404" spans="1:2">
      <c r="A8404" s="1" t="s">
        <v>8649</v>
      </c>
      <c r="B8404" t="s">
        <v>901</v>
      </c>
    </row>
    <row r="8405" spans="1:2">
      <c r="A8405" s="1" t="s">
        <v>8650</v>
      </c>
      <c r="B8405" t="s">
        <v>901</v>
      </c>
    </row>
    <row r="8406" spans="1:2">
      <c r="A8406" s="1" t="s">
        <v>8651</v>
      </c>
      <c r="B8406" t="s">
        <v>901</v>
      </c>
    </row>
    <row r="8407" spans="1:2">
      <c r="A8407" s="1" t="s">
        <v>8652</v>
      </c>
      <c r="B8407" t="s">
        <v>901</v>
      </c>
    </row>
    <row r="8408" spans="1:2">
      <c r="A8408" s="1" t="s">
        <v>8653</v>
      </c>
      <c r="B8408" t="s">
        <v>901</v>
      </c>
    </row>
    <row r="8409" spans="1:2">
      <c r="A8409" s="1" t="s">
        <v>8654</v>
      </c>
      <c r="B8409" t="s">
        <v>901</v>
      </c>
    </row>
    <row r="8410" spans="1:2">
      <c r="A8410" s="1" t="s">
        <v>8655</v>
      </c>
      <c r="B8410" t="s">
        <v>901</v>
      </c>
    </row>
    <row r="8411" spans="1:2">
      <c r="A8411" s="1" t="s">
        <v>8656</v>
      </c>
      <c r="B8411" t="s">
        <v>901</v>
      </c>
    </row>
    <row r="8412" spans="1:2">
      <c r="A8412" s="1" t="s">
        <v>8657</v>
      </c>
      <c r="B8412" t="s">
        <v>901</v>
      </c>
    </row>
    <row r="8413" spans="1:2">
      <c r="A8413" s="1" t="s">
        <v>8658</v>
      </c>
      <c r="B8413" t="s">
        <v>901</v>
      </c>
    </row>
    <row r="8414" spans="1:2">
      <c r="A8414" s="1" t="s">
        <v>8659</v>
      </c>
      <c r="B8414" t="s">
        <v>901</v>
      </c>
    </row>
    <row r="8415" spans="1:2">
      <c r="A8415" s="1" t="s">
        <v>8660</v>
      </c>
      <c r="B8415" t="s">
        <v>901</v>
      </c>
    </row>
    <row r="8416" spans="1:2">
      <c r="A8416" s="1" t="s">
        <v>8661</v>
      </c>
      <c r="B8416" t="s">
        <v>901</v>
      </c>
    </row>
    <row r="8417" spans="1:2">
      <c r="A8417" s="1" t="s">
        <v>8662</v>
      </c>
      <c r="B8417" t="s">
        <v>901</v>
      </c>
    </row>
    <row r="8418" spans="1:2">
      <c r="A8418" s="1" t="s">
        <v>8663</v>
      </c>
      <c r="B8418" t="s">
        <v>901</v>
      </c>
    </row>
    <row r="8419" spans="1:2">
      <c r="A8419" s="1" t="s">
        <v>8664</v>
      </c>
      <c r="B8419" t="s">
        <v>901</v>
      </c>
    </row>
    <row r="8420" spans="1:2">
      <c r="A8420" s="1" t="s">
        <v>8665</v>
      </c>
      <c r="B8420" t="s">
        <v>901</v>
      </c>
    </row>
    <row r="8421" spans="1:2">
      <c r="A8421" s="1" t="s">
        <v>8666</v>
      </c>
      <c r="B8421" t="s">
        <v>901</v>
      </c>
    </row>
    <row r="8422" spans="1:2">
      <c r="A8422" s="1" t="s">
        <v>8667</v>
      </c>
      <c r="B8422" t="s">
        <v>901</v>
      </c>
    </row>
    <row r="8423" spans="1:2">
      <c r="A8423" s="1" t="s">
        <v>8668</v>
      </c>
      <c r="B8423" t="s">
        <v>901</v>
      </c>
    </row>
    <row r="8424" spans="1:2">
      <c r="A8424" s="1" t="s">
        <v>8669</v>
      </c>
      <c r="B8424" t="s">
        <v>901</v>
      </c>
    </row>
    <row r="8425" spans="1:2">
      <c r="A8425" s="1" t="s">
        <v>8670</v>
      </c>
      <c r="B8425" t="s">
        <v>901</v>
      </c>
    </row>
    <row r="8426" spans="1:2">
      <c r="A8426" s="1" t="s">
        <v>8671</v>
      </c>
      <c r="B8426" t="s">
        <v>901</v>
      </c>
    </row>
    <row r="8427" spans="1:2">
      <c r="A8427" s="1" t="s">
        <v>8672</v>
      </c>
      <c r="B8427" t="s">
        <v>901</v>
      </c>
    </row>
    <row r="8428" spans="1:2">
      <c r="A8428" s="1" t="s">
        <v>8673</v>
      </c>
      <c r="B8428" t="s">
        <v>901</v>
      </c>
    </row>
    <row r="8429" spans="1:2">
      <c r="A8429" s="1" t="s">
        <v>8674</v>
      </c>
      <c r="B8429" t="s">
        <v>901</v>
      </c>
    </row>
    <row r="8430" spans="1:2">
      <c r="A8430" s="1" t="s">
        <v>8675</v>
      </c>
      <c r="B8430" t="s">
        <v>901</v>
      </c>
    </row>
    <row r="8431" spans="1:2">
      <c r="A8431" s="1" t="s">
        <v>8676</v>
      </c>
      <c r="B8431" t="s">
        <v>901</v>
      </c>
    </row>
    <row r="8432" spans="1:2">
      <c r="A8432" s="1" t="s">
        <v>8677</v>
      </c>
      <c r="B8432" t="s">
        <v>901</v>
      </c>
    </row>
    <row r="8433" spans="1:2">
      <c r="A8433" s="1" t="s">
        <v>8678</v>
      </c>
      <c r="B8433" t="s">
        <v>901</v>
      </c>
    </row>
    <row r="8434" spans="1:2">
      <c r="A8434" s="1" t="s">
        <v>8679</v>
      </c>
      <c r="B8434" t="s">
        <v>901</v>
      </c>
    </row>
    <row r="8435" spans="1:2">
      <c r="A8435" s="1" t="s">
        <v>8680</v>
      </c>
      <c r="B8435" t="s">
        <v>901</v>
      </c>
    </row>
    <row r="8436" spans="1:2">
      <c r="A8436" s="1" t="s">
        <v>8681</v>
      </c>
      <c r="B8436" t="s">
        <v>901</v>
      </c>
    </row>
    <row r="8437" spans="1:2">
      <c r="A8437" s="1" t="s">
        <v>8682</v>
      </c>
      <c r="B8437" t="s">
        <v>901</v>
      </c>
    </row>
    <row r="8438" spans="1:2">
      <c r="A8438" s="1" t="s">
        <v>8683</v>
      </c>
      <c r="B8438" t="s">
        <v>901</v>
      </c>
    </row>
    <row r="8439" spans="1:2">
      <c r="A8439" s="1" t="s">
        <v>8684</v>
      </c>
      <c r="B8439" t="s">
        <v>901</v>
      </c>
    </row>
    <row r="8440" spans="1:2">
      <c r="A8440" s="1" t="s">
        <v>8685</v>
      </c>
      <c r="B8440" t="s">
        <v>901</v>
      </c>
    </row>
    <row r="8441" spans="1:2">
      <c r="A8441" s="1" t="s">
        <v>8686</v>
      </c>
      <c r="B8441" t="s">
        <v>901</v>
      </c>
    </row>
    <row r="8442" spans="1:2">
      <c r="A8442" s="1" t="s">
        <v>8687</v>
      </c>
      <c r="B8442" t="s">
        <v>901</v>
      </c>
    </row>
    <row r="8443" spans="1:2">
      <c r="A8443" s="1" t="s">
        <v>8688</v>
      </c>
      <c r="B8443" t="s">
        <v>901</v>
      </c>
    </row>
    <row r="8444" spans="1:2">
      <c r="A8444" s="1" t="s">
        <v>8689</v>
      </c>
      <c r="B8444" t="s">
        <v>901</v>
      </c>
    </row>
    <row r="8445" spans="1:2">
      <c r="A8445" s="1" t="s">
        <v>8690</v>
      </c>
      <c r="B8445" t="s">
        <v>901</v>
      </c>
    </row>
    <row r="8446" spans="1:2">
      <c r="A8446" s="1" t="s">
        <v>8691</v>
      </c>
      <c r="B8446" t="s">
        <v>901</v>
      </c>
    </row>
    <row r="8447" spans="1:2">
      <c r="A8447" s="1" t="s">
        <v>8692</v>
      </c>
      <c r="B8447" t="s">
        <v>901</v>
      </c>
    </row>
    <row r="8448" spans="1:2">
      <c r="A8448" s="1" t="s">
        <v>8693</v>
      </c>
      <c r="B8448" t="s">
        <v>901</v>
      </c>
    </row>
    <row r="8449" spans="1:2">
      <c r="A8449" s="1" t="s">
        <v>8694</v>
      </c>
      <c r="B8449" t="s">
        <v>901</v>
      </c>
    </row>
    <row r="8450" spans="1:2">
      <c r="A8450" s="1" t="s">
        <v>8695</v>
      </c>
      <c r="B8450" t="s">
        <v>901</v>
      </c>
    </row>
    <row r="8451" spans="1:2">
      <c r="A8451" s="1" t="s">
        <v>8696</v>
      </c>
      <c r="B8451" t="s">
        <v>901</v>
      </c>
    </row>
    <row r="8452" spans="1:2">
      <c r="A8452" s="1" t="s">
        <v>8697</v>
      </c>
      <c r="B8452" t="s">
        <v>901</v>
      </c>
    </row>
    <row r="8453" spans="1:2">
      <c r="A8453" s="1" t="s">
        <v>8698</v>
      </c>
      <c r="B8453" t="s">
        <v>901</v>
      </c>
    </row>
    <row r="8454" spans="1:2">
      <c r="A8454" s="1" t="s">
        <v>8699</v>
      </c>
      <c r="B8454" t="s">
        <v>901</v>
      </c>
    </row>
    <row r="8455" spans="1:2">
      <c r="A8455" s="1" t="s">
        <v>8700</v>
      </c>
      <c r="B8455" t="s">
        <v>901</v>
      </c>
    </row>
    <row r="8456" spans="1:2">
      <c r="A8456" s="1" t="s">
        <v>8701</v>
      </c>
      <c r="B8456" t="s">
        <v>901</v>
      </c>
    </row>
    <row r="8457" spans="1:2">
      <c r="A8457" s="1" t="s">
        <v>8702</v>
      </c>
      <c r="B8457" t="s">
        <v>901</v>
      </c>
    </row>
    <row r="8458" spans="1:2">
      <c r="A8458" s="1" t="s">
        <v>8703</v>
      </c>
      <c r="B8458" t="s">
        <v>901</v>
      </c>
    </row>
    <row r="8459" spans="1:2">
      <c r="A8459" s="1" t="s">
        <v>8704</v>
      </c>
      <c r="B8459" t="s">
        <v>901</v>
      </c>
    </row>
    <row r="8460" spans="1:2">
      <c r="A8460" s="1" t="s">
        <v>8705</v>
      </c>
      <c r="B8460" t="s">
        <v>901</v>
      </c>
    </row>
    <row r="8461" spans="1:2">
      <c r="A8461" s="1" t="s">
        <v>8706</v>
      </c>
      <c r="B8461" t="s">
        <v>901</v>
      </c>
    </row>
    <row r="8462" spans="1:2">
      <c r="A8462" s="1" t="s">
        <v>8707</v>
      </c>
      <c r="B8462" t="s">
        <v>901</v>
      </c>
    </row>
    <row r="8463" spans="1:2">
      <c r="A8463" s="1" t="s">
        <v>8708</v>
      </c>
      <c r="B8463" t="s">
        <v>901</v>
      </c>
    </row>
    <row r="8464" spans="1:2">
      <c r="A8464" s="1" t="s">
        <v>8709</v>
      </c>
      <c r="B8464" t="s">
        <v>901</v>
      </c>
    </row>
    <row r="8465" spans="1:2">
      <c r="A8465" s="1" t="s">
        <v>8710</v>
      </c>
      <c r="B8465" t="s">
        <v>901</v>
      </c>
    </row>
    <row r="8466" spans="1:2">
      <c r="A8466" s="1" t="s">
        <v>8711</v>
      </c>
      <c r="B8466" t="s">
        <v>901</v>
      </c>
    </row>
    <row r="8467" spans="1:2">
      <c r="A8467" s="1" t="s">
        <v>8712</v>
      </c>
      <c r="B8467" t="s">
        <v>901</v>
      </c>
    </row>
    <row r="8468" spans="1:2">
      <c r="A8468" s="1" t="s">
        <v>8713</v>
      </c>
      <c r="B8468" t="s">
        <v>901</v>
      </c>
    </row>
    <row r="8469" spans="1:2">
      <c r="A8469" s="1" t="s">
        <v>8714</v>
      </c>
      <c r="B8469" t="s">
        <v>901</v>
      </c>
    </row>
    <row r="8470" spans="1:2">
      <c r="A8470" s="1" t="s">
        <v>8715</v>
      </c>
      <c r="B8470" t="s">
        <v>901</v>
      </c>
    </row>
    <row r="8471" spans="1:2">
      <c r="A8471" s="1" t="s">
        <v>8716</v>
      </c>
      <c r="B8471" t="s">
        <v>901</v>
      </c>
    </row>
    <row r="8472" spans="1:2">
      <c r="A8472" s="1" t="s">
        <v>8717</v>
      </c>
      <c r="B8472" t="s">
        <v>901</v>
      </c>
    </row>
    <row r="8473" spans="1:2">
      <c r="A8473" s="1" t="s">
        <v>8718</v>
      </c>
      <c r="B8473" t="s">
        <v>901</v>
      </c>
    </row>
    <row r="8474" spans="1:2">
      <c r="A8474" s="1" t="s">
        <v>8719</v>
      </c>
      <c r="B8474" t="s">
        <v>901</v>
      </c>
    </row>
    <row r="8475" spans="1:2">
      <c r="A8475" s="1" t="s">
        <v>8720</v>
      </c>
      <c r="B8475" t="s">
        <v>901</v>
      </c>
    </row>
    <row r="8476" spans="1:2">
      <c r="A8476" s="1" t="s">
        <v>8721</v>
      </c>
      <c r="B8476" t="s">
        <v>901</v>
      </c>
    </row>
    <row r="8477" spans="1:2">
      <c r="A8477" s="1" t="s">
        <v>8722</v>
      </c>
      <c r="B8477" t="s">
        <v>901</v>
      </c>
    </row>
    <row r="8478" spans="1:2">
      <c r="A8478" s="1" t="s">
        <v>8723</v>
      </c>
      <c r="B8478" t="s">
        <v>901</v>
      </c>
    </row>
    <row r="8479" spans="1:2">
      <c r="A8479" s="1" t="s">
        <v>8724</v>
      </c>
      <c r="B8479" t="s">
        <v>901</v>
      </c>
    </row>
    <row r="8480" spans="1:2">
      <c r="A8480" s="1" t="s">
        <v>8725</v>
      </c>
      <c r="B8480" t="s">
        <v>901</v>
      </c>
    </row>
    <row r="8481" spans="1:2">
      <c r="A8481" s="1" t="s">
        <v>8726</v>
      </c>
      <c r="B8481" t="s">
        <v>901</v>
      </c>
    </row>
    <row r="8482" spans="1:2">
      <c r="A8482" s="1" t="s">
        <v>8727</v>
      </c>
      <c r="B8482" t="s">
        <v>901</v>
      </c>
    </row>
    <row r="8483" spans="1:2">
      <c r="A8483" s="1" t="s">
        <v>8728</v>
      </c>
      <c r="B8483" t="s">
        <v>901</v>
      </c>
    </row>
    <row r="8484" spans="1:2">
      <c r="A8484" s="1" t="s">
        <v>8729</v>
      </c>
      <c r="B8484" t="s">
        <v>901</v>
      </c>
    </row>
    <row r="8485" spans="1:2">
      <c r="A8485" s="1" t="s">
        <v>8730</v>
      </c>
      <c r="B8485" t="s">
        <v>901</v>
      </c>
    </row>
    <row r="8486" spans="1:2">
      <c r="A8486" s="1" t="s">
        <v>8731</v>
      </c>
      <c r="B8486" t="s">
        <v>901</v>
      </c>
    </row>
    <row r="8487" spans="1:2">
      <c r="A8487" s="1" t="s">
        <v>8732</v>
      </c>
      <c r="B8487" t="s">
        <v>901</v>
      </c>
    </row>
    <row r="8488" spans="1:2">
      <c r="A8488" s="1" t="s">
        <v>8733</v>
      </c>
      <c r="B8488" t="s">
        <v>901</v>
      </c>
    </row>
    <row r="8489" spans="1:2">
      <c r="A8489" s="1" t="s">
        <v>8734</v>
      </c>
      <c r="B8489" t="s">
        <v>901</v>
      </c>
    </row>
    <row r="8490" spans="1:2">
      <c r="A8490" s="1" t="s">
        <v>8735</v>
      </c>
      <c r="B8490" t="s">
        <v>901</v>
      </c>
    </row>
    <row r="8491" spans="1:2">
      <c r="A8491" s="1" t="s">
        <v>8736</v>
      </c>
      <c r="B8491" t="s">
        <v>901</v>
      </c>
    </row>
    <row r="8492" spans="1:2">
      <c r="A8492" s="1" t="s">
        <v>8737</v>
      </c>
      <c r="B8492" t="s">
        <v>901</v>
      </c>
    </row>
    <row r="8493" spans="1:2">
      <c r="A8493" s="1" t="s">
        <v>8738</v>
      </c>
      <c r="B8493" t="s">
        <v>901</v>
      </c>
    </row>
    <row r="8494" spans="1:2">
      <c r="A8494" s="1" t="s">
        <v>8739</v>
      </c>
      <c r="B8494" t="s">
        <v>901</v>
      </c>
    </row>
    <row r="8495" spans="1:2">
      <c r="A8495" s="1" t="s">
        <v>8740</v>
      </c>
      <c r="B8495" t="s">
        <v>901</v>
      </c>
    </row>
    <row r="8496" spans="1:2">
      <c r="A8496" s="1" t="s">
        <v>8741</v>
      </c>
      <c r="B8496" t="s">
        <v>901</v>
      </c>
    </row>
    <row r="8497" spans="1:2">
      <c r="A8497" s="1" t="s">
        <v>8742</v>
      </c>
      <c r="B8497" t="s">
        <v>901</v>
      </c>
    </row>
    <row r="8498" spans="1:2">
      <c r="A8498" s="1" t="s">
        <v>8743</v>
      </c>
      <c r="B8498" t="s">
        <v>901</v>
      </c>
    </row>
    <row r="8499" spans="1:2">
      <c r="A8499" s="1" t="s">
        <v>8744</v>
      </c>
      <c r="B8499" t="s">
        <v>901</v>
      </c>
    </row>
    <row r="8500" spans="1:2">
      <c r="A8500" s="1" t="s">
        <v>8745</v>
      </c>
      <c r="B8500" t="s">
        <v>901</v>
      </c>
    </row>
    <row r="8501" spans="1:2">
      <c r="A8501" s="1" t="s">
        <v>8746</v>
      </c>
      <c r="B8501" t="s">
        <v>901</v>
      </c>
    </row>
    <row r="8502" spans="1:2">
      <c r="A8502" s="1" t="s">
        <v>8747</v>
      </c>
      <c r="B8502" t="s">
        <v>901</v>
      </c>
    </row>
    <row r="8503" spans="1:2">
      <c r="A8503" s="1" t="s">
        <v>8748</v>
      </c>
      <c r="B8503" t="s">
        <v>901</v>
      </c>
    </row>
    <row r="8504" spans="1:2">
      <c r="A8504" s="1" t="s">
        <v>8749</v>
      </c>
      <c r="B8504" t="s">
        <v>901</v>
      </c>
    </row>
    <row r="8505" spans="1:2">
      <c r="A8505" s="1" t="s">
        <v>8750</v>
      </c>
      <c r="B8505" t="s">
        <v>901</v>
      </c>
    </row>
    <row r="8506" spans="1:2">
      <c r="A8506" s="1" t="s">
        <v>8751</v>
      </c>
      <c r="B8506" t="s">
        <v>901</v>
      </c>
    </row>
    <row r="8507" spans="1:2">
      <c r="A8507" s="1" t="s">
        <v>8752</v>
      </c>
      <c r="B8507" t="s">
        <v>901</v>
      </c>
    </row>
    <row r="8508" spans="1:2">
      <c r="A8508" s="1" t="s">
        <v>8753</v>
      </c>
      <c r="B8508" t="s">
        <v>901</v>
      </c>
    </row>
    <row r="8509" spans="1:2">
      <c r="A8509" s="1" t="s">
        <v>8754</v>
      </c>
      <c r="B8509" t="s">
        <v>901</v>
      </c>
    </row>
    <row r="8510" spans="1:2">
      <c r="A8510" s="1" t="s">
        <v>8755</v>
      </c>
      <c r="B8510" t="s">
        <v>901</v>
      </c>
    </row>
    <row r="8511" spans="1:2">
      <c r="A8511" s="1" t="s">
        <v>8756</v>
      </c>
      <c r="B8511" t="s">
        <v>901</v>
      </c>
    </row>
    <row r="8512" spans="1:2">
      <c r="A8512" s="1" t="s">
        <v>8757</v>
      </c>
      <c r="B8512" t="s">
        <v>901</v>
      </c>
    </row>
    <row r="8513" spans="1:2">
      <c r="A8513" s="1" t="s">
        <v>8758</v>
      </c>
      <c r="B8513" t="s">
        <v>901</v>
      </c>
    </row>
    <row r="8514" spans="1:2">
      <c r="A8514" s="1" t="s">
        <v>8759</v>
      </c>
      <c r="B8514" t="s">
        <v>901</v>
      </c>
    </row>
    <row r="8515" spans="1:2">
      <c r="A8515" s="1" t="s">
        <v>8760</v>
      </c>
      <c r="B8515" t="s">
        <v>901</v>
      </c>
    </row>
    <row r="8516" spans="1:2">
      <c r="A8516" s="1" t="s">
        <v>8761</v>
      </c>
      <c r="B8516" t="s">
        <v>901</v>
      </c>
    </row>
    <row r="8517" spans="1:2">
      <c r="A8517" s="1" t="s">
        <v>8762</v>
      </c>
      <c r="B8517" t="s">
        <v>901</v>
      </c>
    </row>
    <row r="8518" spans="1:2">
      <c r="A8518" s="1" t="s">
        <v>8763</v>
      </c>
      <c r="B8518" t="s">
        <v>901</v>
      </c>
    </row>
    <row r="8519" spans="1:2">
      <c r="A8519" s="1" t="s">
        <v>8764</v>
      </c>
      <c r="B8519" t="s">
        <v>901</v>
      </c>
    </row>
    <row r="8520" spans="1:2">
      <c r="A8520" s="1" t="s">
        <v>8765</v>
      </c>
      <c r="B8520" t="s">
        <v>901</v>
      </c>
    </row>
    <row r="8521" spans="1:2">
      <c r="A8521" s="1" t="s">
        <v>8766</v>
      </c>
      <c r="B8521" t="s">
        <v>901</v>
      </c>
    </row>
    <row r="8522" spans="1:2">
      <c r="A8522" s="1" t="s">
        <v>8767</v>
      </c>
      <c r="B8522" t="s">
        <v>901</v>
      </c>
    </row>
    <row r="8523" spans="1:2">
      <c r="A8523" s="1" t="s">
        <v>8768</v>
      </c>
      <c r="B8523" t="s">
        <v>901</v>
      </c>
    </row>
    <row r="8524" spans="1:2">
      <c r="A8524" s="1" t="s">
        <v>8769</v>
      </c>
      <c r="B8524" t="s">
        <v>901</v>
      </c>
    </row>
    <row r="8525" spans="1:2">
      <c r="A8525" s="1" t="s">
        <v>8770</v>
      </c>
      <c r="B8525" t="s">
        <v>901</v>
      </c>
    </row>
    <row r="8526" spans="1:2">
      <c r="A8526" s="1" t="s">
        <v>8771</v>
      </c>
      <c r="B8526" t="s">
        <v>901</v>
      </c>
    </row>
    <row r="8527" spans="1:2">
      <c r="A8527" s="1" t="s">
        <v>8772</v>
      </c>
      <c r="B8527" t="s">
        <v>901</v>
      </c>
    </row>
    <row r="8528" spans="1:2">
      <c r="A8528" s="1" t="s">
        <v>8773</v>
      </c>
      <c r="B8528" t="s">
        <v>901</v>
      </c>
    </row>
    <row r="8529" spans="1:2">
      <c r="A8529" s="1" t="s">
        <v>8774</v>
      </c>
      <c r="B8529" t="s">
        <v>901</v>
      </c>
    </row>
    <row r="8530" spans="1:2">
      <c r="A8530" s="1" t="s">
        <v>8775</v>
      </c>
      <c r="B8530" t="s">
        <v>901</v>
      </c>
    </row>
    <row r="8531" spans="1:2">
      <c r="A8531" s="1" t="s">
        <v>8776</v>
      </c>
      <c r="B8531" t="s">
        <v>901</v>
      </c>
    </row>
    <row r="8532" spans="1:2">
      <c r="A8532" s="1" t="s">
        <v>8777</v>
      </c>
      <c r="B8532" t="s">
        <v>901</v>
      </c>
    </row>
    <row r="8533" spans="1:2">
      <c r="A8533" s="1" t="s">
        <v>8778</v>
      </c>
      <c r="B8533" t="s">
        <v>901</v>
      </c>
    </row>
    <row r="8534" spans="1:2">
      <c r="A8534" s="1" t="s">
        <v>8779</v>
      </c>
      <c r="B8534" t="s">
        <v>901</v>
      </c>
    </row>
    <row r="8535" spans="1:2">
      <c r="A8535" s="1" t="s">
        <v>8780</v>
      </c>
      <c r="B8535" t="s">
        <v>901</v>
      </c>
    </row>
    <row r="8536" spans="1:2">
      <c r="A8536" s="1" t="s">
        <v>8781</v>
      </c>
      <c r="B8536" t="s">
        <v>901</v>
      </c>
    </row>
    <row r="8537" spans="1:2">
      <c r="A8537" s="1" t="s">
        <v>8782</v>
      </c>
      <c r="B8537" t="s">
        <v>901</v>
      </c>
    </row>
    <row r="8538" spans="1:2">
      <c r="A8538" s="1" t="s">
        <v>8783</v>
      </c>
      <c r="B8538" t="s">
        <v>901</v>
      </c>
    </row>
    <row r="8539" spans="1:2">
      <c r="A8539" s="1" t="s">
        <v>8784</v>
      </c>
      <c r="B8539" t="s">
        <v>901</v>
      </c>
    </row>
    <row r="8540" spans="1:2">
      <c r="A8540" s="1" t="s">
        <v>8785</v>
      </c>
      <c r="B8540" t="s">
        <v>901</v>
      </c>
    </row>
    <row r="8541" spans="1:2">
      <c r="A8541" s="1" t="s">
        <v>8786</v>
      </c>
      <c r="B8541" t="s">
        <v>901</v>
      </c>
    </row>
    <row r="8542" spans="1:2">
      <c r="A8542" s="1" t="s">
        <v>8787</v>
      </c>
      <c r="B8542" t="s">
        <v>901</v>
      </c>
    </row>
    <row r="8543" spans="1:2">
      <c r="A8543" s="1" t="s">
        <v>8788</v>
      </c>
      <c r="B8543" t="s">
        <v>901</v>
      </c>
    </row>
    <row r="8544" spans="1:2">
      <c r="A8544" s="1" t="s">
        <v>8789</v>
      </c>
      <c r="B8544" t="s">
        <v>901</v>
      </c>
    </row>
    <row r="8545" spans="1:2">
      <c r="A8545" s="1" t="s">
        <v>8790</v>
      </c>
      <c r="B8545" t="s">
        <v>901</v>
      </c>
    </row>
    <row r="8546" spans="1:2">
      <c r="A8546" s="1" t="s">
        <v>8791</v>
      </c>
      <c r="B8546" t="s">
        <v>901</v>
      </c>
    </row>
    <row r="8547" spans="1:2">
      <c r="A8547" s="1" t="s">
        <v>8792</v>
      </c>
      <c r="B8547" t="s">
        <v>901</v>
      </c>
    </row>
    <row r="8548" spans="1:2">
      <c r="A8548" s="1" t="s">
        <v>8793</v>
      </c>
      <c r="B8548" t="s">
        <v>901</v>
      </c>
    </row>
    <row r="8549" spans="1:2">
      <c r="A8549" s="1" t="s">
        <v>8794</v>
      </c>
      <c r="B8549" t="s">
        <v>901</v>
      </c>
    </row>
    <row r="8550" spans="1:2">
      <c r="A8550" s="1" t="s">
        <v>8795</v>
      </c>
      <c r="B8550" t="s">
        <v>901</v>
      </c>
    </row>
    <row r="8551" spans="1:2">
      <c r="A8551" s="1" t="s">
        <v>8796</v>
      </c>
      <c r="B8551" t="s">
        <v>901</v>
      </c>
    </row>
    <row r="8552" spans="1:2">
      <c r="A8552" s="1" t="s">
        <v>8797</v>
      </c>
      <c r="B8552" t="s">
        <v>901</v>
      </c>
    </row>
    <row r="8553" spans="1:2">
      <c r="A8553" s="1" t="s">
        <v>8798</v>
      </c>
      <c r="B8553" t="s">
        <v>901</v>
      </c>
    </row>
    <row r="8554" spans="1:2">
      <c r="A8554" s="1" t="s">
        <v>8799</v>
      </c>
      <c r="B8554" t="s">
        <v>901</v>
      </c>
    </row>
    <row r="8555" spans="1:2">
      <c r="A8555" s="1" t="s">
        <v>8800</v>
      </c>
      <c r="B8555" t="s">
        <v>901</v>
      </c>
    </row>
    <row r="8556" spans="1:2">
      <c r="A8556" s="1" t="s">
        <v>8801</v>
      </c>
      <c r="B8556" t="s">
        <v>901</v>
      </c>
    </row>
    <row r="8557" spans="1:2">
      <c r="A8557" s="1" t="s">
        <v>8802</v>
      </c>
      <c r="B8557" t="s">
        <v>901</v>
      </c>
    </row>
    <row r="8558" spans="1:2">
      <c r="A8558" s="1" t="s">
        <v>8803</v>
      </c>
      <c r="B8558" t="s">
        <v>901</v>
      </c>
    </row>
    <row r="8559" spans="1:2">
      <c r="A8559" s="1" t="s">
        <v>8804</v>
      </c>
      <c r="B8559" t="s">
        <v>901</v>
      </c>
    </row>
    <row r="8560" spans="1:2">
      <c r="A8560" s="1" t="s">
        <v>8805</v>
      </c>
      <c r="B8560" t="s">
        <v>901</v>
      </c>
    </row>
    <row r="8561" spans="1:2">
      <c r="A8561" s="1" t="s">
        <v>8806</v>
      </c>
      <c r="B8561" t="s">
        <v>901</v>
      </c>
    </row>
    <row r="8562" spans="1:2">
      <c r="A8562" s="1" t="s">
        <v>8807</v>
      </c>
      <c r="B8562" t="s">
        <v>901</v>
      </c>
    </row>
    <row r="8563" spans="1:2">
      <c r="A8563" s="1" t="s">
        <v>8808</v>
      </c>
      <c r="B8563" t="s">
        <v>901</v>
      </c>
    </row>
    <row r="8564" spans="1:2">
      <c r="A8564" s="1" t="s">
        <v>8809</v>
      </c>
      <c r="B8564" t="s">
        <v>901</v>
      </c>
    </row>
    <row r="8565" spans="1:2">
      <c r="A8565" s="1" t="s">
        <v>8810</v>
      </c>
      <c r="B8565" t="s">
        <v>901</v>
      </c>
    </row>
    <row r="8566" spans="1:2">
      <c r="A8566" s="1" t="s">
        <v>8811</v>
      </c>
      <c r="B8566" t="s">
        <v>901</v>
      </c>
    </row>
    <row r="8567" spans="1:2">
      <c r="A8567" s="1" t="s">
        <v>8812</v>
      </c>
      <c r="B8567" t="s">
        <v>901</v>
      </c>
    </row>
    <row r="8568" spans="1:2">
      <c r="A8568" s="1" t="s">
        <v>8813</v>
      </c>
      <c r="B8568" t="s">
        <v>901</v>
      </c>
    </row>
    <row r="8569" spans="1:2">
      <c r="A8569" s="1" t="s">
        <v>8814</v>
      </c>
      <c r="B8569" t="s">
        <v>901</v>
      </c>
    </row>
    <row r="8570" spans="1:2">
      <c r="A8570" s="1" t="s">
        <v>8815</v>
      </c>
      <c r="B8570" t="s">
        <v>901</v>
      </c>
    </row>
    <row r="8571" spans="1:2">
      <c r="A8571" s="1" t="s">
        <v>8816</v>
      </c>
      <c r="B8571" t="s">
        <v>901</v>
      </c>
    </row>
    <row r="8572" spans="1:2">
      <c r="A8572" s="1" t="s">
        <v>8817</v>
      </c>
      <c r="B8572" t="s">
        <v>901</v>
      </c>
    </row>
    <row r="8573" spans="1:2">
      <c r="A8573" s="1" t="s">
        <v>8818</v>
      </c>
      <c r="B8573" t="s">
        <v>901</v>
      </c>
    </row>
    <row r="8574" spans="1:2">
      <c r="A8574" s="1" t="s">
        <v>8819</v>
      </c>
      <c r="B8574" t="s">
        <v>901</v>
      </c>
    </row>
    <row r="8575" spans="1:2">
      <c r="A8575" s="1" t="s">
        <v>8820</v>
      </c>
      <c r="B8575" t="s">
        <v>901</v>
      </c>
    </row>
    <row r="8576" spans="1:2">
      <c r="A8576" s="1" t="s">
        <v>8821</v>
      </c>
      <c r="B8576" t="s">
        <v>901</v>
      </c>
    </row>
    <row r="8577" spans="1:2">
      <c r="A8577" s="1" t="s">
        <v>8822</v>
      </c>
      <c r="B8577" t="s">
        <v>901</v>
      </c>
    </row>
    <row r="8578" spans="1:2">
      <c r="A8578" s="1" t="s">
        <v>8823</v>
      </c>
      <c r="B8578" t="s">
        <v>901</v>
      </c>
    </row>
    <row r="8579" spans="1:2">
      <c r="A8579" s="1" t="s">
        <v>8824</v>
      </c>
      <c r="B8579" t="s">
        <v>901</v>
      </c>
    </row>
    <row r="8580" spans="1:2">
      <c r="A8580" s="1" t="s">
        <v>8825</v>
      </c>
      <c r="B8580" t="s">
        <v>901</v>
      </c>
    </row>
    <row r="8581" spans="1:2">
      <c r="A8581" s="1" t="s">
        <v>8826</v>
      </c>
      <c r="B8581" t="s">
        <v>901</v>
      </c>
    </row>
    <row r="8582" spans="1:2">
      <c r="A8582" s="1" t="s">
        <v>8827</v>
      </c>
      <c r="B8582" t="s">
        <v>901</v>
      </c>
    </row>
    <row r="8583" spans="1:2">
      <c r="A8583" s="1" t="s">
        <v>8828</v>
      </c>
      <c r="B8583" t="s">
        <v>901</v>
      </c>
    </row>
    <row r="8584" spans="1:2">
      <c r="A8584" s="1" t="s">
        <v>8829</v>
      </c>
      <c r="B8584" t="s">
        <v>901</v>
      </c>
    </row>
    <row r="8585" spans="1:2">
      <c r="A8585" s="1" t="s">
        <v>8830</v>
      </c>
      <c r="B8585" t="s">
        <v>901</v>
      </c>
    </row>
    <row r="8586" spans="1:2">
      <c r="A8586" s="1" t="s">
        <v>8831</v>
      </c>
      <c r="B8586" t="s">
        <v>901</v>
      </c>
    </row>
    <row r="8587" spans="1:2">
      <c r="A8587" s="1" t="s">
        <v>8832</v>
      </c>
      <c r="B8587" t="s">
        <v>901</v>
      </c>
    </row>
    <row r="8588" spans="1:2">
      <c r="A8588" s="1" t="s">
        <v>8833</v>
      </c>
      <c r="B8588" t="s">
        <v>901</v>
      </c>
    </row>
    <row r="8589" spans="1:2">
      <c r="A8589" s="1" t="s">
        <v>8834</v>
      </c>
      <c r="B8589" t="s">
        <v>901</v>
      </c>
    </row>
    <row r="8590" spans="1:2">
      <c r="A8590" s="1" t="s">
        <v>8835</v>
      </c>
      <c r="B8590" t="s">
        <v>901</v>
      </c>
    </row>
    <row r="8591" spans="1:2">
      <c r="A8591" s="1" t="s">
        <v>8836</v>
      </c>
      <c r="B8591" t="s">
        <v>901</v>
      </c>
    </row>
    <row r="8592" spans="1:2">
      <c r="A8592" s="1" t="s">
        <v>8837</v>
      </c>
      <c r="B8592" t="s">
        <v>901</v>
      </c>
    </row>
    <row r="8593" spans="1:2">
      <c r="A8593" s="1" t="s">
        <v>8838</v>
      </c>
      <c r="B8593" t="s">
        <v>901</v>
      </c>
    </row>
    <row r="8594" spans="1:2">
      <c r="A8594" s="1" t="s">
        <v>8839</v>
      </c>
      <c r="B8594" t="s">
        <v>901</v>
      </c>
    </row>
    <row r="8595" spans="1:2">
      <c r="A8595" s="1" t="s">
        <v>8840</v>
      </c>
      <c r="B8595" t="s">
        <v>901</v>
      </c>
    </row>
    <row r="8596" spans="1:2">
      <c r="A8596" s="1" t="s">
        <v>8841</v>
      </c>
      <c r="B8596" t="s">
        <v>901</v>
      </c>
    </row>
    <row r="8597" spans="1:2">
      <c r="A8597" s="1" t="s">
        <v>8842</v>
      </c>
      <c r="B8597" t="s">
        <v>901</v>
      </c>
    </row>
    <row r="8598" spans="1:2">
      <c r="A8598" s="1" t="s">
        <v>8843</v>
      </c>
      <c r="B8598" t="s">
        <v>901</v>
      </c>
    </row>
    <row r="8599" spans="1:2">
      <c r="A8599" s="1" t="s">
        <v>8844</v>
      </c>
      <c r="B8599" t="s">
        <v>901</v>
      </c>
    </row>
    <row r="8600" spans="1:2">
      <c r="A8600" s="1" t="s">
        <v>8845</v>
      </c>
      <c r="B8600" t="s">
        <v>901</v>
      </c>
    </row>
    <row r="8601" spans="1:2">
      <c r="A8601" s="1" t="s">
        <v>8846</v>
      </c>
      <c r="B8601" t="s">
        <v>901</v>
      </c>
    </row>
    <row r="8602" spans="1:2">
      <c r="A8602" s="1" t="s">
        <v>8847</v>
      </c>
      <c r="B8602" t="s">
        <v>901</v>
      </c>
    </row>
    <row r="8603" spans="1:2">
      <c r="A8603" s="1" t="s">
        <v>8848</v>
      </c>
      <c r="B8603" t="s">
        <v>901</v>
      </c>
    </row>
    <row r="8604" spans="1:2">
      <c r="A8604" s="1" t="s">
        <v>8849</v>
      </c>
      <c r="B8604" t="s">
        <v>901</v>
      </c>
    </row>
    <row r="8605" spans="1:2">
      <c r="A8605" s="1" t="s">
        <v>8850</v>
      </c>
      <c r="B8605" t="s">
        <v>901</v>
      </c>
    </row>
    <row r="8606" spans="1:2">
      <c r="A8606" s="1" t="s">
        <v>8851</v>
      </c>
      <c r="B8606" t="s">
        <v>901</v>
      </c>
    </row>
    <row r="8607" spans="1:2">
      <c r="A8607" s="1" t="s">
        <v>8852</v>
      </c>
      <c r="B8607" t="s">
        <v>901</v>
      </c>
    </row>
    <row r="8608" spans="1:2">
      <c r="A8608" s="1" t="s">
        <v>8853</v>
      </c>
      <c r="B8608" t="s">
        <v>901</v>
      </c>
    </row>
    <row r="8609" spans="1:2">
      <c r="A8609" s="1" t="s">
        <v>8854</v>
      </c>
      <c r="B8609" t="s">
        <v>901</v>
      </c>
    </row>
    <row r="8610" spans="1:2">
      <c r="A8610" s="1" t="s">
        <v>8855</v>
      </c>
      <c r="B8610" t="s">
        <v>901</v>
      </c>
    </row>
    <row r="8611" spans="1:2">
      <c r="A8611" s="1" t="s">
        <v>8856</v>
      </c>
      <c r="B8611" t="s">
        <v>901</v>
      </c>
    </row>
    <row r="8612" spans="1:2">
      <c r="A8612" s="1" t="s">
        <v>8857</v>
      </c>
      <c r="B8612" t="s">
        <v>901</v>
      </c>
    </row>
    <row r="8613" spans="1:2">
      <c r="A8613" s="1" t="s">
        <v>8858</v>
      </c>
      <c r="B8613" t="s">
        <v>901</v>
      </c>
    </row>
    <row r="8614" spans="1:2">
      <c r="A8614" s="1" t="s">
        <v>8859</v>
      </c>
      <c r="B8614" t="s">
        <v>901</v>
      </c>
    </row>
    <row r="8615" spans="1:2">
      <c r="A8615" s="1" t="s">
        <v>8860</v>
      </c>
      <c r="B8615" t="s">
        <v>901</v>
      </c>
    </row>
    <row r="8616" spans="1:2">
      <c r="A8616" s="1" t="s">
        <v>8861</v>
      </c>
      <c r="B8616" t="s">
        <v>901</v>
      </c>
    </row>
    <row r="8617" spans="1:2">
      <c r="A8617" s="1" t="s">
        <v>8862</v>
      </c>
      <c r="B8617" t="s">
        <v>901</v>
      </c>
    </row>
    <row r="8618" spans="1:2">
      <c r="A8618" s="1" t="s">
        <v>8863</v>
      </c>
      <c r="B8618" t="s">
        <v>901</v>
      </c>
    </row>
    <row r="8619" spans="1:2">
      <c r="A8619" s="1" t="s">
        <v>8864</v>
      </c>
      <c r="B8619" t="s">
        <v>901</v>
      </c>
    </row>
    <row r="8620" spans="1:2">
      <c r="A8620" s="1" t="s">
        <v>8865</v>
      </c>
      <c r="B8620" t="s">
        <v>901</v>
      </c>
    </row>
    <row r="8621" spans="1:2">
      <c r="A8621" s="1" t="s">
        <v>8866</v>
      </c>
      <c r="B8621" t="s">
        <v>901</v>
      </c>
    </row>
    <row r="8622" spans="1:2">
      <c r="A8622" s="1" t="s">
        <v>8867</v>
      </c>
      <c r="B8622" t="s">
        <v>901</v>
      </c>
    </row>
    <row r="8623" spans="1:2">
      <c r="A8623" s="1" t="s">
        <v>8868</v>
      </c>
      <c r="B8623" t="s">
        <v>901</v>
      </c>
    </row>
    <row r="8624" spans="1:2">
      <c r="A8624" s="1" t="s">
        <v>8869</v>
      </c>
      <c r="B8624" t="s">
        <v>901</v>
      </c>
    </row>
    <row r="8625" spans="1:2">
      <c r="A8625" s="1" t="s">
        <v>8870</v>
      </c>
      <c r="B8625" t="s">
        <v>901</v>
      </c>
    </row>
    <row r="8626" spans="1:2">
      <c r="A8626" s="1" t="s">
        <v>8871</v>
      </c>
      <c r="B8626" t="s">
        <v>901</v>
      </c>
    </row>
    <row r="8627" spans="1:2">
      <c r="A8627" s="1" t="s">
        <v>8872</v>
      </c>
      <c r="B8627" t="s">
        <v>901</v>
      </c>
    </row>
    <row r="8628" spans="1:2">
      <c r="A8628" s="1" t="s">
        <v>8873</v>
      </c>
      <c r="B8628" t="s">
        <v>901</v>
      </c>
    </row>
    <row r="8629" spans="1:2">
      <c r="A8629" s="1" t="s">
        <v>8874</v>
      </c>
      <c r="B8629" t="s">
        <v>901</v>
      </c>
    </row>
    <row r="8630" spans="1:2">
      <c r="A8630" s="1" t="s">
        <v>8875</v>
      </c>
      <c r="B8630" t="s">
        <v>901</v>
      </c>
    </row>
    <row r="8631" spans="1:2">
      <c r="A8631" s="1" t="s">
        <v>8876</v>
      </c>
      <c r="B8631" t="s">
        <v>901</v>
      </c>
    </row>
    <row r="8632" spans="1:2">
      <c r="A8632" s="1" t="s">
        <v>8877</v>
      </c>
      <c r="B8632" t="s">
        <v>901</v>
      </c>
    </row>
    <row r="8633" spans="1:2">
      <c r="A8633" s="1" t="s">
        <v>8878</v>
      </c>
      <c r="B8633" t="s">
        <v>901</v>
      </c>
    </row>
    <row r="8634" spans="1:2">
      <c r="A8634" s="1" t="s">
        <v>8879</v>
      </c>
      <c r="B8634" t="s">
        <v>901</v>
      </c>
    </row>
    <row r="8635" spans="1:2">
      <c r="A8635" s="1" t="s">
        <v>8880</v>
      </c>
      <c r="B8635" t="s">
        <v>901</v>
      </c>
    </row>
    <row r="8636" spans="1:2">
      <c r="A8636" s="1" t="s">
        <v>8881</v>
      </c>
      <c r="B8636" t="s">
        <v>901</v>
      </c>
    </row>
    <row r="8637" spans="1:2">
      <c r="A8637" s="1" t="s">
        <v>8882</v>
      </c>
      <c r="B8637" t="s">
        <v>901</v>
      </c>
    </row>
    <row r="8638" spans="1:2">
      <c r="A8638" s="1" t="s">
        <v>8883</v>
      </c>
      <c r="B8638" t="s">
        <v>901</v>
      </c>
    </row>
    <row r="8639" spans="1:2">
      <c r="A8639" s="1" t="s">
        <v>8884</v>
      </c>
      <c r="B8639" t="s">
        <v>901</v>
      </c>
    </row>
    <row r="8640" spans="1:2">
      <c r="A8640" s="1" t="s">
        <v>8885</v>
      </c>
      <c r="B8640" t="s">
        <v>901</v>
      </c>
    </row>
    <row r="8641" spans="1:2">
      <c r="A8641" s="1" t="s">
        <v>8886</v>
      </c>
      <c r="B8641" t="s">
        <v>901</v>
      </c>
    </row>
    <row r="8642" spans="1:2">
      <c r="A8642" s="1" t="s">
        <v>8887</v>
      </c>
      <c r="B8642" t="s">
        <v>901</v>
      </c>
    </row>
    <row r="8643" spans="1:2">
      <c r="A8643" s="1" t="s">
        <v>8888</v>
      </c>
      <c r="B8643" t="s">
        <v>901</v>
      </c>
    </row>
    <row r="8644" spans="1:2">
      <c r="A8644" s="1" t="s">
        <v>8889</v>
      </c>
      <c r="B8644" t="s">
        <v>901</v>
      </c>
    </row>
    <row r="8645" spans="1:2">
      <c r="A8645" s="1" t="s">
        <v>8890</v>
      </c>
      <c r="B8645" t="s">
        <v>901</v>
      </c>
    </row>
    <row r="8646" spans="1:2">
      <c r="A8646" s="1" t="s">
        <v>8891</v>
      </c>
      <c r="B8646" t="s">
        <v>901</v>
      </c>
    </row>
    <row r="8647" spans="1:2">
      <c r="A8647" s="1" t="s">
        <v>8892</v>
      </c>
      <c r="B8647" t="s">
        <v>901</v>
      </c>
    </row>
    <row r="8648" spans="1:2">
      <c r="A8648" s="1" t="s">
        <v>8893</v>
      </c>
      <c r="B8648" t="s">
        <v>901</v>
      </c>
    </row>
    <row r="8649" spans="1:2">
      <c r="A8649" s="1" t="s">
        <v>8894</v>
      </c>
      <c r="B8649" t="s">
        <v>901</v>
      </c>
    </row>
    <row r="8650" spans="1:2">
      <c r="A8650" s="1" t="s">
        <v>8895</v>
      </c>
      <c r="B8650" t="s">
        <v>901</v>
      </c>
    </row>
    <row r="8651" spans="1:2">
      <c r="A8651" s="1" t="s">
        <v>8896</v>
      </c>
      <c r="B8651" t="s">
        <v>901</v>
      </c>
    </row>
    <row r="8652" spans="1:2">
      <c r="A8652" s="1" t="s">
        <v>8897</v>
      </c>
      <c r="B8652" t="s">
        <v>901</v>
      </c>
    </row>
    <row r="8653" spans="1:2">
      <c r="A8653" s="1" t="s">
        <v>8898</v>
      </c>
      <c r="B8653" t="s">
        <v>901</v>
      </c>
    </row>
    <row r="8654" spans="1:2">
      <c r="A8654" s="1" t="s">
        <v>8899</v>
      </c>
      <c r="B8654" t="s">
        <v>901</v>
      </c>
    </row>
    <row r="8655" spans="1:2">
      <c r="A8655" s="1" t="s">
        <v>8900</v>
      </c>
      <c r="B8655" t="s">
        <v>901</v>
      </c>
    </row>
    <row r="8656" spans="1:2">
      <c r="A8656" s="1" t="s">
        <v>8901</v>
      </c>
      <c r="B8656" t="s">
        <v>901</v>
      </c>
    </row>
    <row r="8657" spans="1:2">
      <c r="A8657" s="1" t="s">
        <v>8902</v>
      </c>
      <c r="B8657" t="s">
        <v>901</v>
      </c>
    </row>
    <row r="8658" spans="1:2">
      <c r="A8658" s="1" t="s">
        <v>8903</v>
      </c>
      <c r="B8658" t="s">
        <v>901</v>
      </c>
    </row>
    <row r="8659" spans="1:2">
      <c r="A8659" s="1" t="s">
        <v>8904</v>
      </c>
      <c r="B8659" t="s">
        <v>901</v>
      </c>
    </row>
    <row r="8660" spans="1:2">
      <c r="A8660" s="1" t="s">
        <v>8905</v>
      </c>
      <c r="B8660" t="s">
        <v>901</v>
      </c>
    </row>
    <row r="8661" spans="1:2">
      <c r="A8661" s="1" t="s">
        <v>8906</v>
      </c>
      <c r="B8661" t="s">
        <v>901</v>
      </c>
    </row>
    <row r="8662" spans="1:2">
      <c r="A8662" s="1" t="s">
        <v>8907</v>
      </c>
      <c r="B8662" t="s">
        <v>901</v>
      </c>
    </row>
    <row r="8663" spans="1:2">
      <c r="A8663" s="1" t="s">
        <v>8908</v>
      </c>
      <c r="B8663" t="s">
        <v>901</v>
      </c>
    </row>
    <row r="8664" spans="1:2">
      <c r="A8664" s="1" t="s">
        <v>8909</v>
      </c>
      <c r="B8664" t="s">
        <v>901</v>
      </c>
    </row>
    <row r="8665" spans="1:2">
      <c r="A8665" s="1" t="s">
        <v>8910</v>
      </c>
      <c r="B8665" t="s">
        <v>901</v>
      </c>
    </row>
    <row r="8666" spans="1:2">
      <c r="A8666" s="1" t="s">
        <v>8911</v>
      </c>
      <c r="B8666" t="s">
        <v>901</v>
      </c>
    </row>
    <row r="8667" spans="1:2">
      <c r="A8667" s="1" t="s">
        <v>8912</v>
      </c>
      <c r="B8667" t="s">
        <v>901</v>
      </c>
    </row>
    <row r="8668" spans="1:2">
      <c r="A8668" s="1" t="s">
        <v>8913</v>
      </c>
      <c r="B8668" t="s">
        <v>901</v>
      </c>
    </row>
    <row r="8669" spans="1:2">
      <c r="A8669" s="1" t="s">
        <v>8914</v>
      </c>
      <c r="B8669" t="s">
        <v>901</v>
      </c>
    </row>
    <row r="8670" spans="1:2">
      <c r="A8670" s="1" t="s">
        <v>8915</v>
      </c>
      <c r="B8670" t="s">
        <v>901</v>
      </c>
    </row>
    <row r="8671" spans="1:2">
      <c r="A8671" s="1" t="s">
        <v>8916</v>
      </c>
      <c r="B8671" t="s">
        <v>901</v>
      </c>
    </row>
    <row r="8672" spans="1:2">
      <c r="A8672" s="1" t="s">
        <v>8917</v>
      </c>
      <c r="B8672" t="s">
        <v>901</v>
      </c>
    </row>
    <row r="8673" spans="1:2">
      <c r="A8673" s="1" t="s">
        <v>8918</v>
      </c>
      <c r="B8673" t="s">
        <v>901</v>
      </c>
    </row>
    <row r="8674" spans="1:2">
      <c r="A8674" s="1" t="s">
        <v>8919</v>
      </c>
      <c r="B8674" t="s">
        <v>901</v>
      </c>
    </row>
    <row r="8675" spans="1:2">
      <c r="A8675" s="1" t="s">
        <v>8920</v>
      </c>
      <c r="B8675" t="s">
        <v>901</v>
      </c>
    </row>
    <row r="8676" spans="1:2">
      <c r="A8676" s="1" t="s">
        <v>8921</v>
      </c>
      <c r="B8676" t="s">
        <v>901</v>
      </c>
    </row>
    <row r="8677" spans="1:2">
      <c r="A8677" s="1" t="s">
        <v>8922</v>
      </c>
      <c r="B8677" t="s">
        <v>901</v>
      </c>
    </row>
    <row r="8678" spans="1:2">
      <c r="A8678" s="1" t="s">
        <v>8923</v>
      </c>
      <c r="B8678" t="s">
        <v>901</v>
      </c>
    </row>
    <row r="8679" spans="1:2">
      <c r="A8679" s="1" t="s">
        <v>8924</v>
      </c>
      <c r="B8679" t="s">
        <v>901</v>
      </c>
    </row>
    <row r="8680" spans="1:2">
      <c r="A8680" s="1" t="s">
        <v>8925</v>
      </c>
      <c r="B8680" t="s">
        <v>901</v>
      </c>
    </row>
    <row r="8681" spans="1:2">
      <c r="A8681" s="1" t="s">
        <v>8926</v>
      </c>
      <c r="B8681" t="s">
        <v>901</v>
      </c>
    </row>
    <row r="8682" spans="1:2">
      <c r="A8682" s="1" t="s">
        <v>8927</v>
      </c>
      <c r="B8682" t="s">
        <v>901</v>
      </c>
    </row>
    <row r="8683" spans="1:2">
      <c r="A8683" s="1" t="s">
        <v>8928</v>
      </c>
      <c r="B8683" t="s">
        <v>901</v>
      </c>
    </row>
    <row r="8684" spans="1:2">
      <c r="A8684" s="1" t="s">
        <v>8929</v>
      </c>
      <c r="B8684" t="s">
        <v>901</v>
      </c>
    </row>
    <row r="8685" spans="1:2">
      <c r="A8685" s="1" t="s">
        <v>8930</v>
      </c>
      <c r="B8685" t="s">
        <v>901</v>
      </c>
    </row>
    <row r="8686" spans="1:2">
      <c r="A8686" s="1" t="s">
        <v>8931</v>
      </c>
      <c r="B8686" t="s">
        <v>901</v>
      </c>
    </row>
    <row r="8687" spans="1:2">
      <c r="A8687" s="1" t="s">
        <v>8932</v>
      </c>
      <c r="B8687" t="s">
        <v>901</v>
      </c>
    </row>
    <row r="8688" spans="1:2">
      <c r="A8688" s="1" t="s">
        <v>8933</v>
      </c>
      <c r="B8688" t="s">
        <v>901</v>
      </c>
    </row>
    <row r="8689" spans="1:2">
      <c r="A8689" s="1" t="s">
        <v>8934</v>
      </c>
      <c r="B8689" t="s">
        <v>901</v>
      </c>
    </row>
    <row r="8690" spans="1:2">
      <c r="A8690" s="1" t="s">
        <v>8935</v>
      </c>
      <c r="B8690" t="s">
        <v>901</v>
      </c>
    </row>
    <row r="8691" spans="1:2">
      <c r="A8691" s="1" t="s">
        <v>8936</v>
      </c>
      <c r="B8691" t="s">
        <v>901</v>
      </c>
    </row>
    <row r="8692" spans="1:2">
      <c r="A8692" s="1" t="s">
        <v>8937</v>
      </c>
      <c r="B8692" t="s">
        <v>901</v>
      </c>
    </row>
    <row r="8693" spans="1:2">
      <c r="A8693" s="1" t="s">
        <v>8938</v>
      </c>
      <c r="B8693" t="s">
        <v>901</v>
      </c>
    </row>
    <row r="8694" spans="1:2">
      <c r="A8694" s="1" t="s">
        <v>8939</v>
      </c>
      <c r="B8694" t="s">
        <v>901</v>
      </c>
    </row>
    <row r="8695" spans="1:2">
      <c r="A8695" s="1" t="s">
        <v>8940</v>
      </c>
      <c r="B8695" t="s">
        <v>901</v>
      </c>
    </row>
    <row r="8696" spans="1:2">
      <c r="A8696" s="1" t="s">
        <v>8941</v>
      </c>
      <c r="B8696" t="s">
        <v>901</v>
      </c>
    </row>
    <row r="8697" spans="1:2">
      <c r="A8697" s="1" t="s">
        <v>8942</v>
      </c>
      <c r="B8697" t="s">
        <v>901</v>
      </c>
    </row>
    <row r="8698" spans="1:2">
      <c r="A8698" s="1" t="s">
        <v>8943</v>
      </c>
      <c r="B8698" t="s">
        <v>901</v>
      </c>
    </row>
    <row r="8699" spans="1:2">
      <c r="A8699" s="1" t="s">
        <v>8944</v>
      </c>
      <c r="B8699" t="s">
        <v>901</v>
      </c>
    </row>
    <row r="8700" spans="1:2">
      <c r="A8700" s="1" t="s">
        <v>8945</v>
      </c>
      <c r="B8700" t="s">
        <v>901</v>
      </c>
    </row>
    <row r="8701" spans="1:2">
      <c r="A8701" s="1" t="s">
        <v>8946</v>
      </c>
      <c r="B8701" t="s">
        <v>901</v>
      </c>
    </row>
    <row r="8702" spans="1:2">
      <c r="A8702" s="1" t="s">
        <v>8947</v>
      </c>
      <c r="B8702" t="s">
        <v>901</v>
      </c>
    </row>
    <row r="8703" spans="1:2">
      <c r="A8703" s="1" t="s">
        <v>8948</v>
      </c>
      <c r="B8703" t="s">
        <v>901</v>
      </c>
    </row>
    <row r="8704" spans="1:2">
      <c r="A8704" s="1" t="s">
        <v>8949</v>
      </c>
      <c r="B8704" t="s">
        <v>901</v>
      </c>
    </row>
    <row r="8705" spans="1:2">
      <c r="A8705" s="1" t="s">
        <v>8950</v>
      </c>
      <c r="B8705" t="s">
        <v>901</v>
      </c>
    </row>
    <row r="8706" spans="1:2">
      <c r="A8706" s="1" t="s">
        <v>8951</v>
      </c>
      <c r="B8706" t="s">
        <v>901</v>
      </c>
    </row>
    <row r="8707" spans="1:2">
      <c r="A8707" s="1" t="s">
        <v>8952</v>
      </c>
      <c r="B8707" t="s">
        <v>901</v>
      </c>
    </row>
    <row r="8708" spans="1:2">
      <c r="A8708" s="1" t="s">
        <v>8953</v>
      </c>
      <c r="B8708" t="s">
        <v>901</v>
      </c>
    </row>
    <row r="8709" spans="1:2">
      <c r="A8709" s="1" t="s">
        <v>8954</v>
      </c>
      <c r="B8709" t="s">
        <v>901</v>
      </c>
    </row>
    <row r="8710" spans="1:2">
      <c r="A8710" s="1" t="s">
        <v>8955</v>
      </c>
      <c r="B8710" t="s">
        <v>901</v>
      </c>
    </row>
    <row r="8711" spans="1:2">
      <c r="A8711" s="1" t="s">
        <v>8956</v>
      </c>
      <c r="B8711" t="s">
        <v>901</v>
      </c>
    </row>
    <row r="8712" spans="1:2">
      <c r="A8712" s="1" t="s">
        <v>8957</v>
      </c>
      <c r="B8712" t="s">
        <v>901</v>
      </c>
    </row>
    <row r="8713" spans="1:2">
      <c r="A8713" s="1" t="s">
        <v>8958</v>
      </c>
      <c r="B8713" t="s">
        <v>901</v>
      </c>
    </row>
    <row r="8714" spans="1:2">
      <c r="A8714" s="1" t="s">
        <v>8959</v>
      </c>
      <c r="B8714" t="s">
        <v>901</v>
      </c>
    </row>
    <row r="8715" spans="1:2">
      <c r="A8715" s="1" t="s">
        <v>8960</v>
      </c>
      <c r="B8715" t="s">
        <v>901</v>
      </c>
    </row>
    <row r="8716" spans="1:2">
      <c r="A8716" s="1" t="s">
        <v>8961</v>
      </c>
      <c r="B8716" t="s">
        <v>901</v>
      </c>
    </row>
    <row r="8717" spans="1:2">
      <c r="A8717" s="1" t="s">
        <v>8962</v>
      </c>
      <c r="B8717" t="s">
        <v>901</v>
      </c>
    </row>
    <row r="8718" spans="1:2">
      <c r="A8718" s="1" t="s">
        <v>8963</v>
      </c>
      <c r="B8718" t="s">
        <v>901</v>
      </c>
    </row>
    <row r="8719" spans="1:2">
      <c r="A8719" s="1" t="s">
        <v>8964</v>
      </c>
      <c r="B8719" t="s">
        <v>901</v>
      </c>
    </row>
    <row r="8720" spans="1:2">
      <c r="A8720" s="1" t="s">
        <v>8965</v>
      </c>
      <c r="B8720" t="s">
        <v>901</v>
      </c>
    </row>
    <row r="8721" spans="1:2">
      <c r="A8721" s="1" t="s">
        <v>8966</v>
      </c>
      <c r="B8721" t="s">
        <v>901</v>
      </c>
    </row>
    <row r="8722" spans="1:2">
      <c r="A8722" s="1" t="s">
        <v>8967</v>
      </c>
      <c r="B8722" t="s">
        <v>901</v>
      </c>
    </row>
    <row r="8723" spans="1:2">
      <c r="A8723" s="1" t="s">
        <v>8968</v>
      </c>
      <c r="B8723" t="s">
        <v>901</v>
      </c>
    </row>
    <row r="8724" spans="1:2">
      <c r="A8724" s="1" t="s">
        <v>8969</v>
      </c>
      <c r="B8724" t="s">
        <v>901</v>
      </c>
    </row>
    <row r="8725" spans="1:2">
      <c r="A8725" s="1" t="s">
        <v>8970</v>
      </c>
      <c r="B8725" t="s">
        <v>901</v>
      </c>
    </row>
    <row r="8726" spans="1:2">
      <c r="A8726" s="1" t="s">
        <v>8971</v>
      </c>
      <c r="B8726" t="s">
        <v>901</v>
      </c>
    </row>
    <row r="8727" spans="1:2">
      <c r="A8727" s="1" t="s">
        <v>8972</v>
      </c>
      <c r="B8727" t="s">
        <v>901</v>
      </c>
    </row>
    <row r="8728" spans="1:2">
      <c r="A8728" s="1" t="s">
        <v>8973</v>
      </c>
      <c r="B8728" t="s">
        <v>901</v>
      </c>
    </row>
    <row r="8729" spans="1:2">
      <c r="A8729" s="1" t="s">
        <v>8974</v>
      </c>
      <c r="B8729" t="s">
        <v>901</v>
      </c>
    </row>
    <row r="8730" spans="1:2">
      <c r="A8730" s="1" t="s">
        <v>8975</v>
      </c>
      <c r="B8730" t="s">
        <v>901</v>
      </c>
    </row>
    <row r="8731" spans="1:2">
      <c r="A8731" s="1" t="s">
        <v>8976</v>
      </c>
      <c r="B8731" t="s">
        <v>901</v>
      </c>
    </row>
    <row r="8732" spans="1:2">
      <c r="A8732" s="1" t="s">
        <v>8977</v>
      </c>
      <c r="B8732" t="s">
        <v>901</v>
      </c>
    </row>
    <row r="8733" spans="1:2">
      <c r="A8733" s="1" t="s">
        <v>8978</v>
      </c>
      <c r="B8733" t="s">
        <v>901</v>
      </c>
    </row>
    <row r="8734" spans="1:2">
      <c r="A8734" s="1" t="s">
        <v>8979</v>
      </c>
      <c r="B8734" t="s">
        <v>901</v>
      </c>
    </row>
    <row r="8735" spans="1:2">
      <c r="A8735" s="1" t="s">
        <v>8980</v>
      </c>
      <c r="B8735" t="s">
        <v>901</v>
      </c>
    </row>
    <row r="8736" spans="1:2">
      <c r="A8736" s="1" t="s">
        <v>8981</v>
      </c>
      <c r="B8736" t="s">
        <v>901</v>
      </c>
    </row>
    <row r="8737" spans="1:2">
      <c r="A8737" s="1" t="s">
        <v>8982</v>
      </c>
      <c r="B8737" t="s">
        <v>901</v>
      </c>
    </row>
    <row r="8738" spans="1:2">
      <c r="A8738" s="1" t="s">
        <v>8983</v>
      </c>
      <c r="B8738" t="s">
        <v>901</v>
      </c>
    </row>
    <row r="8739" spans="1:2">
      <c r="A8739" s="1" t="s">
        <v>8984</v>
      </c>
      <c r="B8739" t="s">
        <v>901</v>
      </c>
    </row>
    <row r="8740" spans="1:2">
      <c r="A8740" s="1" t="s">
        <v>8985</v>
      </c>
      <c r="B8740" t="s">
        <v>901</v>
      </c>
    </row>
    <row r="8741" spans="1:2">
      <c r="A8741" s="1" t="s">
        <v>8986</v>
      </c>
      <c r="B8741" t="s">
        <v>901</v>
      </c>
    </row>
    <row r="8742" spans="1:2">
      <c r="A8742" s="1" t="s">
        <v>8987</v>
      </c>
      <c r="B8742" t="s">
        <v>901</v>
      </c>
    </row>
    <row r="8743" spans="1:2">
      <c r="A8743" s="1" t="s">
        <v>8988</v>
      </c>
      <c r="B8743" t="s">
        <v>901</v>
      </c>
    </row>
    <row r="8744" spans="1:2">
      <c r="A8744" s="1" t="s">
        <v>8989</v>
      </c>
      <c r="B8744" t="s">
        <v>901</v>
      </c>
    </row>
    <row r="8745" spans="1:2">
      <c r="A8745" s="1" t="s">
        <v>8990</v>
      </c>
      <c r="B8745" t="s">
        <v>901</v>
      </c>
    </row>
    <row r="8746" spans="1:2">
      <c r="A8746" s="1" t="s">
        <v>8991</v>
      </c>
      <c r="B8746" t="s">
        <v>901</v>
      </c>
    </row>
    <row r="8747" spans="1:2">
      <c r="A8747" s="1" t="s">
        <v>8992</v>
      </c>
      <c r="B8747" t="s">
        <v>901</v>
      </c>
    </row>
    <row r="8748" spans="1:2">
      <c r="A8748" s="1" t="s">
        <v>8993</v>
      </c>
      <c r="B8748" t="s">
        <v>901</v>
      </c>
    </row>
    <row r="8749" spans="1:2">
      <c r="A8749" s="1" t="s">
        <v>8994</v>
      </c>
      <c r="B8749" t="s">
        <v>901</v>
      </c>
    </row>
    <row r="8750" spans="1:2">
      <c r="A8750" s="1" t="s">
        <v>8995</v>
      </c>
      <c r="B8750" t="s">
        <v>901</v>
      </c>
    </row>
    <row r="8751" spans="1:2">
      <c r="A8751" s="1" t="s">
        <v>8996</v>
      </c>
      <c r="B8751" t="s">
        <v>901</v>
      </c>
    </row>
    <row r="8752" spans="1:2">
      <c r="A8752" s="1" t="s">
        <v>8997</v>
      </c>
      <c r="B8752" t="s">
        <v>901</v>
      </c>
    </row>
    <row r="8753" spans="1:2">
      <c r="A8753" s="1" t="s">
        <v>8998</v>
      </c>
      <c r="B8753" t="s">
        <v>901</v>
      </c>
    </row>
    <row r="8754" spans="1:2">
      <c r="A8754" s="1" t="s">
        <v>8999</v>
      </c>
      <c r="B8754" t="s">
        <v>901</v>
      </c>
    </row>
    <row r="8755" spans="1:2">
      <c r="A8755" s="1" t="s">
        <v>9000</v>
      </c>
      <c r="B8755" t="s">
        <v>901</v>
      </c>
    </row>
    <row r="8756" spans="1:2">
      <c r="A8756" s="1" t="s">
        <v>9001</v>
      </c>
      <c r="B8756" t="s">
        <v>901</v>
      </c>
    </row>
    <row r="8757" spans="1:2">
      <c r="A8757" s="1" t="s">
        <v>9002</v>
      </c>
      <c r="B8757" t="s">
        <v>901</v>
      </c>
    </row>
    <row r="8758" spans="1:2">
      <c r="A8758" s="1" t="s">
        <v>9003</v>
      </c>
      <c r="B8758" t="s">
        <v>901</v>
      </c>
    </row>
    <row r="8759" spans="1:2">
      <c r="A8759" s="1" t="s">
        <v>9004</v>
      </c>
      <c r="B8759" t="s">
        <v>901</v>
      </c>
    </row>
    <row r="8760" spans="1:2">
      <c r="A8760" s="1" t="s">
        <v>9005</v>
      </c>
      <c r="B8760" t="s">
        <v>901</v>
      </c>
    </row>
    <row r="8761" spans="1:2">
      <c r="A8761" s="1" t="s">
        <v>9006</v>
      </c>
      <c r="B8761" t="s">
        <v>901</v>
      </c>
    </row>
    <row r="8762" spans="1:2">
      <c r="A8762" s="1" t="s">
        <v>9007</v>
      </c>
      <c r="B8762" t="s">
        <v>901</v>
      </c>
    </row>
    <row r="8763" spans="1:2">
      <c r="A8763" s="1" t="s">
        <v>9008</v>
      </c>
      <c r="B8763" t="s">
        <v>901</v>
      </c>
    </row>
    <row r="8764" spans="1:2">
      <c r="A8764" s="1" t="s">
        <v>9009</v>
      </c>
      <c r="B8764" t="s">
        <v>901</v>
      </c>
    </row>
    <row r="8765" spans="1:2">
      <c r="A8765" s="1" t="s">
        <v>9010</v>
      </c>
      <c r="B8765" t="s">
        <v>901</v>
      </c>
    </row>
    <row r="8766" spans="1:2">
      <c r="A8766" s="1" t="s">
        <v>9011</v>
      </c>
      <c r="B8766" t="s">
        <v>901</v>
      </c>
    </row>
    <row r="8767" spans="1:2">
      <c r="A8767" s="1" t="s">
        <v>9012</v>
      </c>
      <c r="B8767" t="s">
        <v>901</v>
      </c>
    </row>
    <row r="8768" spans="1:2">
      <c r="A8768" s="1" t="s">
        <v>9013</v>
      </c>
      <c r="B8768" t="s">
        <v>901</v>
      </c>
    </row>
    <row r="8769" spans="1:2">
      <c r="A8769" s="1" t="s">
        <v>9014</v>
      </c>
      <c r="B8769" t="s">
        <v>901</v>
      </c>
    </row>
    <row r="8770" spans="1:2">
      <c r="A8770" s="1" t="s">
        <v>9015</v>
      </c>
      <c r="B8770" t="s">
        <v>901</v>
      </c>
    </row>
    <row r="8771" spans="1:2">
      <c r="A8771" s="1" t="s">
        <v>9016</v>
      </c>
      <c r="B8771" t="s">
        <v>901</v>
      </c>
    </row>
    <row r="8772" spans="1:2">
      <c r="A8772" s="1" t="s">
        <v>9017</v>
      </c>
      <c r="B8772" t="s">
        <v>901</v>
      </c>
    </row>
    <row r="8773" spans="1:2">
      <c r="A8773" s="1" t="s">
        <v>9018</v>
      </c>
      <c r="B8773" t="s">
        <v>901</v>
      </c>
    </row>
    <row r="8774" spans="1:2">
      <c r="A8774" s="1" t="s">
        <v>9019</v>
      </c>
      <c r="B8774" t="s">
        <v>901</v>
      </c>
    </row>
    <row r="8775" spans="1:2">
      <c r="A8775" s="1" t="s">
        <v>9020</v>
      </c>
      <c r="B8775" t="s">
        <v>901</v>
      </c>
    </row>
    <row r="8776" spans="1:2">
      <c r="A8776" s="1" t="s">
        <v>9021</v>
      </c>
      <c r="B8776" t="s">
        <v>901</v>
      </c>
    </row>
    <row r="8777" spans="1:2">
      <c r="A8777" s="1" t="s">
        <v>9022</v>
      </c>
      <c r="B8777" t="s">
        <v>901</v>
      </c>
    </row>
    <row r="8778" spans="1:2">
      <c r="A8778" s="1" t="s">
        <v>9023</v>
      </c>
      <c r="B8778" t="s">
        <v>901</v>
      </c>
    </row>
    <row r="8779" spans="1:2">
      <c r="A8779" s="1" t="s">
        <v>9024</v>
      </c>
      <c r="B8779" t="s">
        <v>10459</v>
      </c>
    </row>
    <row r="8780" spans="1:2">
      <c r="A8780" s="1" t="s">
        <v>9025</v>
      </c>
      <c r="B8780" t="s">
        <v>901</v>
      </c>
    </row>
    <row r="8781" spans="1:2">
      <c r="A8781" s="1" t="s">
        <v>9026</v>
      </c>
      <c r="B8781" t="s">
        <v>901</v>
      </c>
    </row>
    <row r="8782" spans="1:2">
      <c r="A8782" s="1" t="s">
        <v>9027</v>
      </c>
      <c r="B8782" t="s">
        <v>901</v>
      </c>
    </row>
    <row r="8783" spans="1:2">
      <c r="A8783" s="1" t="s">
        <v>9028</v>
      </c>
      <c r="B8783" t="s">
        <v>901</v>
      </c>
    </row>
    <row r="8784" spans="1:2">
      <c r="A8784" s="1" t="s">
        <v>9029</v>
      </c>
      <c r="B8784" t="s">
        <v>901</v>
      </c>
    </row>
    <row r="8785" spans="1:2">
      <c r="A8785" s="1" t="s">
        <v>9030</v>
      </c>
      <c r="B8785" t="s">
        <v>901</v>
      </c>
    </row>
    <row r="8786" spans="1:2">
      <c r="A8786" s="1" t="s">
        <v>9031</v>
      </c>
      <c r="B8786" t="s">
        <v>901</v>
      </c>
    </row>
    <row r="8787" spans="1:2">
      <c r="A8787" s="1" t="s">
        <v>9032</v>
      </c>
      <c r="B8787" t="s">
        <v>901</v>
      </c>
    </row>
    <row r="8788" spans="1:2">
      <c r="A8788" s="1" t="s">
        <v>9033</v>
      </c>
      <c r="B8788" t="s">
        <v>901</v>
      </c>
    </row>
    <row r="8789" spans="1:2">
      <c r="A8789" s="1" t="s">
        <v>9034</v>
      </c>
      <c r="B8789" t="s">
        <v>901</v>
      </c>
    </row>
    <row r="8790" spans="1:2">
      <c r="A8790" s="1" t="s">
        <v>9035</v>
      </c>
      <c r="B8790" t="s">
        <v>901</v>
      </c>
    </row>
    <row r="8791" spans="1:2">
      <c r="A8791" s="1" t="s">
        <v>9036</v>
      </c>
      <c r="B8791" t="s">
        <v>901</v>
      </c>
    </row>
    <row r="8792" spans="1:2">
      <c r="A8792" s="1" t="s">
        <v>9037</v>
      </c>
      <c r="B8792" t="s">
        <v>901</v>
      </c>
    </row>
    <row r="8793" spans="1:2">
      <c r="A8793" s="1" t="s">
        <v>9038</v>
      </c>
      <c r="B8793" t="s">
        <v>901</v>
      </c>
    </row>
    <row r="8794" spans="1:2">
      <c r="A8794" s="1" t="s">
        <v>9039</v>
      </c>
      <c r="B8794" t="s">
        <v>901</v>
      </c>
    </row>
    <row r="8795" spans="1:2">
      <c r="A8795" s="1" t="s">
        <v>9040</v>
      </c>
      <c r="B8795" t="s">
        <v>901</v>
      </c>
    </row>
    <row r="8796" spans="1:2">
      <c r="A8796" s="1" t="s">
        <v>9041</v>
      </c>
      <c r="B8796" t="s">
        <v>901</v>
      </c>
    </row>
    <row r="8797" spans="1:2">
      <c r="A8797" s="1" t="s">
        <v>9042</v>
      </c>
      <c r="B8797" t="s">
        <v>901</v>
      </c>
    </row>
    <row r="8798" spans="1:2">
      <c r="A8798" s="1" t="s">
        <v>9043</v>
      </c>
      <c r="B8798" t="s">
        <v>901</v>
      </c>
    </row>
    <row r="8799" spans="1:2">
      <c r="A8799" s="1" t="s">
        <v>9044</v>
      </c>
      <c r="B8799" t="s">
        <v>901</v>
      </c>
    </row>
    <row r="8800" spans="1:2">
      <c r="A8800" s="1" t="s">
        <v>9045</v>
      </c>
      <c r="B8800" t="s">
        <v>901</v>
      </c>
    </row>
    <row r="8801" spans="1:2">
      <c r="A8801" s="1" t="s">
        <v>9046</v>
      </c>
      <c r="B8801" t="s">
        <v>901</v>
      </c>
    </row>
    <row r="8802" spans="1:2">
      <c r="A8802" s="1" t="s">
        <v>9047</v>
      </c>
      <c r="B8802" t="s">
        <v>901</v>
      </c>
    </row>
    <row r="8803" spans="1:2">
      <c r="A8803" s="1" t="s">
        <v>9048</v>
      </c>
      <c r="B8803" t="s">
        <v>901</v>
      </c>
    </row>
    <row r="8804" spans="1:2">
      <c r="A8804" s="1" t="s">
        <v>9049</v>
      </c>
      <c r="B8804" t="s">
        <v>901</v>
      </c>
    </row>
    <row r="8805" spans="1:2">
      <c r="A8805" s="1" t="s">
        <v>9050</v>
      </c>
      <c r="B8805" t="s">
        <v>901</v>
      </c>
    </row>
    <row r="8806" spans="1:2">
      <c r="A8806" s="1" t="s">
        <v>9051</v>
      </c>
      <c r="B8806" t="s">
        <v>901</v>
      </c>
    </row>
    <row r="8807" spans="1:2">
      <c r="A8807" s="1" t="s">
        <v>9052</v>
      </c>
      <c r="B8807" t="s">
        <v>901</v>
      </c>
    </row>
    <row r="8808" spans="1:2">
      <c r="A8808" s="1" t="s">
        <v>9053</v>
      </c>
      <c r="B8808" t="s">
        <v>901</v>
      </c>
    </row>
    <row r="8809" spans="1:2">
      <c r="A8809" s="1" t="s">
        <v>9054</v>
      </c>
      <c r="B8809" t="s">
        <v>901</v>
      </c>
    </row>
    <row r="8810" spans="1:2">
      <c r="A8810" s="1" t="s">
        <v>9055</v>
      </c>
      <c r="B8810" t="s">
        <v>901</v>
      </c>
    </row>
    <row r="8811" spans="1:2">
      <c r="A8811" s="1" t="s">
        <v>9056</v>
      </c>
      <c r="B8811" t="s">
        <v>901</v>
      </c>
    </row>
    <row r="8812" spans="1:2">
      <c r="A8812" s="1" t="s">
        <v>9057</v>
      </c>
      <c r="B8812" t="s">
        <v>901</v>
      </c>
    </row>
    <row r="8813" spans="1:2">
      <c r="A8813" s="1" t="s">
        <v>9058</v>
      </c>
      <c r="B8813" t="s">
        <v>901</v>
      </c>
    </row>
    <row r="8814" spans="1:2">
      <c r="A8814" s="1" t="s">
        <v>9059</v>
      </c>
      <c r="B8814" t="s">
        <v>901</v>
      </c>
    </row>
    <row r="8815" spans="1:2">
      <c r="A8815" s="1" t="s">
        <v>9060</v>
      </c>
      <c r="B8815" t="s">
        <v>901</v>
      </c>
    </row>
    <row r="8816" spans="1:2">
      <c r="A8816" s="1" t="s">
        <v>9061</v>
      </c>
      <c r="B8816" t="s">
        <v>901</v>
      </c>
    </row>
    <row r="8817" spans="1:2">
      <c r="A8817" s="1" t="s">
        <v>9062</v>
      </c>
      <c r="B8817" t="s">
        <v>901</v>
      </c>
    </row>
    <row r="8818" spans="1:2">
      <c r="A8818" s="1" t="s">
        <v>9063</v>
      </c>
      <c r="B8818" t="s">
        <v>901</v>
      </c>
    </row>
    <row r="8819" spans="1:2">
      <c r="A8819" s="1" t="s">
        <v>9064</v>
      </c>
      <c r="B8819" t="s">
        <v>901</v>
      </c>
    </row>
    <row r="8820" spans="1:2">
      <c r="A8820" s="1" t="s">
        <v>9065</v>
      </c>
      <c r="B8820" t="s">
        <v>901</v>
      </c>
    </row>
    <row r="8821" spans="1:2">
      <c r="A8821" s="1" t="s">
        <v>9066</v>
      </c>
      <c r="B8821" t="s">
        <v>901</v>
      </c>
    </row>
    <row r="8822" spans="1:2">
      <c r="A8822" s="1" t="s">
        <v>9067</v>
      </c>
      <c r="B8822" t="s">
        <v>901</v>
      </c>
    </row>
    <row r="8823" spans="1:2">
      <c r="A8823" s="1" t="s">
        <v>9068</v>
      </c>
      <c r="B8823" t="s">
        <v>901</v>
      </c>
    </row>
    <row r="8824" spans="1:2">
      <c r="A8824" s="1" t="s">
        <v>9069</v>
      </c>
      <c r="B8824" t="s">
        <v>901</v>
      </c>
    </row>
    <row r="8825" spans="1:2">
      <c r="A8825" s="1" t="s">
        <v>9070</v>
      </c>
      <c r="B8825" t="s">
        <v>901</v>
      </c>
    </row>
    <row r="8826" spans="1:2">
      <c r="A8826" s="1" t="s">
        <v>9071</v>
      </c>
      <c r="B8826" t="s">
        <v>901</v>
      </c>
    </row>
    <row r="8827" spans="1:2">
      <c r="A8827" s="1" t="s">
        <v>9072</v>
      </c>
      <c r="B8827" t="s">
        <v>901</v>
      </c>
    </row>
    <row r="8828" spans="1:2">
      <c r="A8828" s="1" t="s">
        <v>9073</v>
      </c>
      <c r="B8828" t="s">
        <v>901</v>
      </c>
    </row>
    <row r="8829" spans="1:2">
      <c r="A8829" s="1" t="s">
        <v>9074</v>
      </c>
      <c r="B8829" t="s">
        <v>901</v>
      </c>
    </row>
    <row r="8830" spans="1:2">
      <c r="A8830" s="1" t="s">
        <v>9075</v>
      </c>
      <c r="B8830" t="s">
        <v>901</v>
      </c>
    </row>
    <row r="8831" spans="1:2">
      <c r="A8831" s="1" t="s">
        <v>9076</v>
      </c>
      <c r="B8831" t="s">
        <v>901</v>
      </c>
    </row>
    <row r="8832" spans="1:2">
      <c r="A8832" s="1" t="s">
        <v>9077</v>
      </c>
      <c r="B8832" t="s">
        <v>901</v>
      </c>
    </row>
    <row r="8833" spans="1:2">
      <c r="A8833" s="1" t="s">
        <v>9078</v>
      </c>
      <c r="B8833" t="s">
        <v>901</v>
      </c>
    </row>
    <row r="8834" spans="1:2">
      <c r="A8834" s="1" t="s">
        <v>9079</v>
      </c>
      <c r="B8834" t="s">
        <v>901</v>
      </c>
    </row>
    <row r="8835" spans="1:2">
      <c r="A8835" s="1" t="s">
        <v>9080</v>
      </c>
      <c r="B8835" t="s">
        <v>901</v>
      </c>
    </row>
    <row r="8836" spans="1:2">
      <c r="A8836" s="1" t="s">
        <v>9081</v>
      </c>
      <c r="B8836" t="s">
        <v>901</v>
      </c>
    </row>
    <row r="8837" spans="1:2">
      <c r="A8837" s="1" t="s">
        <v>9082</v>
      </c>
      <c r="B8837" t="s">
        <v>901</v>
      </c>
    </row>
    <row r="8838" spans="1:2">
      <c r="A8838" s="1" t="s">
        <v>9083</v>
      </c>
      <c r="B8838" t="s">
        <v>901</v>
      </c>
    </row>
    <row r="8839" spans="1:2">
      <c r="A8839" s="1" t="s">
        <v>9084</v>
      </c>
      <c r="B8839" t="s">
        <v>901</v>
      </c>
    </row>
    <row r="8840" spans="1:2">
      <c r="A8840" s="1" t="s">
        <v>9085</v>
      </c>
      <c r="B8840" t="s">
        <v>901</v>
      </c>
    </row>
    <row r="8841" spans="1:2">
      <c r="A8841" s="1" t="s">
        <v>9086</v>
      </c>
      <c r="B8841" t="s">
        <v>901</v>
      </c>
    </row>
    <row r="8842" spans="1:2">
      <c r="A8842" s="1" t="s">
        <v>9087</v>
      </c>
      <c r="B8842" t="s">
        <v>901</v>
      </c>
    </row>
    <row r="8843" spans="1:2">
      <c r="A8843" s="1" t="s">
        <v>9088</v>
      </c>
      <c r="B8843" t="s">
        <v>901</v>
      </c>
    </row>
    <row r="8844" spans="1:2">
      <c r="A8844" s="1" t="s">
        <v>9089</v>
      </c>
      <c r="B8844" t="s">
        <v>901</v>
      </c>
    </row>
    <row r="8845" spans="1:2">
      <c r="A8845" s="1" t="s">
        <v>9090</v>
      </c>
      <c r="B8845" t="s">
        <v>901</v>
      </c>
    </row>
    <row r="8846" spans="1:2">
      <c r="A8846" s="1" t="s">
        <v>9091</v>
      </c>
      <c r="B8846" t="s">
        <v>901</v>
      </c>
    </row>
    <row r="8847" spans="1:2">
      <c r="A8847" s="1" t="s">
        <v>9092</v>
      </c>
      <c r="B8847" t="s">
        <v>901</v>
      </c>
    </row>
    <row r="8848" spans="1:2">
      <c r="A8848" s="1" t="s">
        <v>9093</v>
      </c>
      <c r="B8848" t="s">
        <v>901</v>
      </c>
    </row>
    <row r="8849" spans="1:2">
      <c r="A8849" s="1" t="s">
        <v>9094</v>
      </c>
      <c r="B8849" t="s">
        <v>901</v>
      </c>
    </row>
    <row r="8850" spans="1:2">
      <c r="A8850" s="1" t="s">
        <v>9095</v>
      </c>
      <c r="B8850" t="s">
        <v>901</v>
      </c>
    </row>
    <row r="8851" spans="1:2">
      <c r="A8851" s="1" t="s">
        <v>9096</v>
      </c>
      <c r="B8851" t="s">
        <v>901</v>
      </c>
    </row>
    <row r="8852" spans="1:2">
      <c r="A8852" s="1" t="s">
        <v>9097</v>
      </c>
      <c r="B8852" t="s">
        <v>901</v>
      </c>
    </row>
    <row r="8853" spans="1:2">
      <c r="A8853" s="1" t="s">
        <v>9098</v>
      </c>
      <c r="B8853" t="s">
        <v>901</v>
      </c>
    </row>
    <row r="8854" spans="1:2">
      <c r="A8854" s="1" t="s">
        <v>9099</v>
      </c>
      <c r="B8854" t="s">
        <v>901</v>
      </c>
    </row>
    <row r="8855" spans="1:2">
      <c r="A8855" s="1" t="s">
        <v>9100</v>
      </c>
      <c r="B8855" t="s">
        <v>901</v>
      </c>
    </row>
    <row r="8856" spans="1:2">
      <c r="A8856" s="1" t="s">
        <v>9101</v>
      </c>
      <c r="B8856" t="s">
        <v>901</v>
      </c>
    </row>
    <row r="8857" spans="1:2">
      <c r="A8857" s="1" t="s">
        <v>9102</v>
      </c>
      <c r="B8857" t="s">
        <v>901</v>
      </c>
    </row>
    <row r="8858" spans="1:2">
      <c r="A8858" s="1" t="s">
        <v>9103</v>
      </c>
      <c r="B8858" t="s">
        <v>901</v>
      </c>
    </row>
    <row r="8859" spans="1:2">
      <c r="A8859" s="1" t="s">
        <v>9104</v>
      </c>
      <c r="B8859" t="s">
        <v>901</v>
      </c>
    </row>
    <row r="8860" spans="1:2">
      <c r="A8860" s="1" t="s">
        <v>9105</v>
      </c>
      <c r="B8860" t="s">
        <v>901</v>
      </c>
    </row>
    <row r="8861" spans="1:2">
      <c r="A8861" s="1" t="s">
        <v>9106</v>
      </c>
      <c r="B8861" t="s">
        <v>901</v>
      </c>
    </row>
    <row r="8862" spans="1:2">
      <c r="A8862" s="1" t="s">
        <v>9107</v>
      </c>
      <c r="B8862" t="s">
        <v>901</v>
      </c>
    </row>
    <row r="8863" spans="1:2">
      <c r="A8863" s="1" t="s">
        <v>9108</v>
      </c>
      <c r="B8863" t="s">
        <v>901</v>
      </c>
    </row>
    <row r="8864" spans="1:2">
      <c r="A8864" s="1" t="s">
        <v>9109</v>
      </c>
      <c r="B8864" t="s">
        <v>901</v>
      </c>
    </row>
    <row r="8865" spans="1:2">
      <c r="A8865" s="1" t="s">
        <v>9110</v>
      </c>
      <c r="B8865" t="s">
        <v>901</v>
      </c>
    </row>
    <row r="8866" spans="1:2">
      <c r="A8866" s="1" t="s">
        <v>9111</v>
      </c>
      <c r="B8866" t="s">
        <v>901</v>
      </c>
    </row>
    <row r="8867" spans="1:2">
      <c r="A8867" s="1" t="s">
        <v>9112</v>
      </c>
      <c r="B8867" t="s">
        <v>901</v>
      </c>
    </row>
    <row r="8868" spans="1:2">
      <c r="A8868" s="1" t="s">
        <v>9113</v>
      </c>
      <c r="B8868" t="s">
        <v>901</v>
      </c>
    </row>
    <row r="8869" spans="1:2">
      <c r="A8869" s="1" t="s">
        <v>9114</v>
      </c>
      <c r="B8869" t="s">
        <v>901</v>
      </c>
    </row>
    <row r="8870" spans="1:2">
      <c r="A8870" s="1" t="s">
        <v>9115</v>
      </c>
      <c r="B8870" t="s">
        <v>901</v>
      </c>
    </row>
    <row r="8871" spans="1:2">
      <c r="A8871" s="1" t="s">
        <v>9116</v>
      </c>
      <c r="B8871" t="s">
        <v>901</v>
      </c>
    </row>
    <row r="8872" spans="1:2">
      <c r="A8872" s="1" t="s">
        <v>9117</v>
      </c>
      <c r="B8872" t="s">
        <v>901</v>
      </c>
    </row>
    <row r="8873" spans="1:2">
      <c r="A8873" s="1" t="s">
        <v>9118</v>
      </c>
      <c r="B8873" t="s">
        <v>901</v>
      </c>
    </row>
    <row r="8874" spans="1:2">
      <c r="A8874" s="1" t="s">
        <v>9119</v>
      </c>
      <c r="B8874" t="s">
        <v>901</v>
      </c>
    </row>
    <row r="8875" spans="1:2">
      <c r="A8875" s="1" t="s">
        <v>9120</v>
      </c>
      <c r="B8875" t="s">
        <v>901</v>
      </c>
    </row>
    <row r="8876" spans="1:2">
      <c r="A8876" s="1" t="s">
        <v>9121</v>
      </c>
      <c r="B8876" t="s">
        <v>901</v>
      </c>
    </row>
    <row r="8877" spans="1:2">
      <c r="A8877" s="1" t="s">
        <v>9122</v>
      </c>
      <c r="B8877" t="s">
        <v>901</v>
      </c>
    </row>
    <row r="8878" spans="1:2">
      <c r="A8878" s="1" t="s">
        <v>9123</v>
      </c>
      <c r="B8878" t="s">
        <v>901</v>
      </c>
    </row>
    <row r="8879" spans="1:2">
      <c r="A8879" s="1" t="s">
        <v>9124</v>
      </c>
      <c r="B8879" t="s">
        <v>901</v>
      </c>
    </row>
    <row r="8880" spans="1:2">
      <c r="A8880" s="1" t="s">
        <v>9125</v>
      </c>
      <c r="B8880" t="s">
        <v>901</v>
      </c>
    </row>
    <row r="8881" spans="1:2">
      <c r="A8881" s="1" t="s">
        <v>9126</v>
      </c>
      <c r="B8881" t="s">
        <v>901</v>
      </c>
    </row>
    <row r="8882" spans="1:2">
      <c r="A8882" s="1" t="s">
        <v>9127</v>
      </c>
      <c r="B8882" t="s">
        <v>901</v>
      </c>
    </row>
    <row r="8883" spans="1:2">
      <c r="A8883" s="1" t="s">
        <v>9128</v>
      </c>
      <c r="B8883" t="s">
        <v>901</v>
      </c>
    </row>
    <row r="8884" spans="1:2">
      <c r="A8884" s="1" t="s">
        <v>9129</v>
      </c>
      <c r="B8884" t="s">
        <v>901</v>
      </c>
    </row>
    <row r="8885" spans="1:2">
      <c r="A8885" s="1" t="s">
        <v>9130</v>
      </c>
      <c r="B8885" t="s">
        <v>901</v>
      </c>
    </row>
    <row r="8886" spans="1:2">
      <c r="A8886" s="1" t="s">
        <v>9131</v>
      </c>
      <c r="B8886" t="s">
        <v>901</v>
      </c>
    </row>
    <row r="8887" spans="1:2">
      <c r="A8887" s="1" t="s">
        <v>9132</v>
      </c>
      <c r="B8887" t="s">
        <v>901</v>
      </c>
    </row>
    <row r="8888" spans="1:2">
      <c r="A8888" s="1" t="s">
        <v>9133</v>
      </c>
      <c r="B8888" t="s">
        <v>901</v>
      </c>
    </row>
    <row r="8889" spans="1:2">
      <c r="A8889" s="1" t="s">
        <v>9134</v>
      </c>
      <c r="B8889" t="s">
        <v>901</v>
      </c>
    </row>
    <row r="8890" spans="1:2">
      <c r="A8890" s="1" t="s">
        <v>9135</v>
      </c>
      <c r="B8890" t="s">
        <v>901</v>
      </c>
    </row>
    <row r="8891" spans="1:2">
      <c r="A8891" s="1" t="s">
        <v>9136</v>
      </c>
      <c r="B8891" t="s">
        <v>901</v>
      </c>
    </row>
    <row r="8892" spans="1:2">
      <c r="A8892" s="1" t="s">
        <v>9137</v>
      </c>
      <c r="B8892" t="s">
        <v>901</v>
      </c>
    </row>
    <row r="8893" spans="1:2">
      <c r="A8893" s="1" t="s">
        <v>9138</v>
      </c>
      <c r="B8893" t="s">
        <v>901</v>
      </c>
    </row>
    <row r="8894" spans="1:2">
      <c r="A8894" s="1" t="s">
        <v>9139</v>
      </c>
      <c r="B8894" t="s">
        <v>901</v>
      </c>
    </row>
    <row r="8895" spans="1:2">
      <c r="A8895" s="1" t="s">
        <v>9140</v>
      </c>
      <c r="B8895" t="s">
        <v>901</v>
      </c>
    </row>
    <row r="8896" spans="1:2">
      <c r="A8896" s="1" t="s">
        <v>9141</v>
      </c>
      <c r="B8896" t="s">
        <v>901</v>
      </c>
    </row>
    <row r="8897" spans="1:2">
      <c r="A8897" s="1" t="s">
        <v>9142</v>
      </c>
      <c r="B8897" t="s">
        <v>901</v>
      </c>
    </row>
    <row r="8898" spans="1:2">
      <c r="A8898" s="1" t="s">
        <v>9143</v>
      </c>
      <c r="B8898" t="s">
        <v>901</v>
      </c>
    </row>
    <row r="8899" spans="1:2">
      <c r="A8899" s="1" t="s">
        <v>9144</v>
      </c>
      <c r="B8899" t="s">
        <v>901</v>
      </c>
    </row>
    <row r="8900" spans="1:2">
      <c r="A8900" s="1" t="s">
        <v>9145</v>
      </c>
      <c r="B8900" t="s">
        <v>901</v>
      </c>
    </row>
    <row r="8901" spans="1:2">
      <c r="A8901" s="1" t="s">
        <v>9146</v>
      </c>
      <c r="B8901" t="s">
        <v>901</v>
      </c>
    </row>
    <row r="8902" spans="1:2">
      <c r="A8902" s="1" t="s">
        <v>9147</v>
      </c>
      <c r="B8902" t="s">
        <v>901</v>
      </c>
    </row>
    <row r="8903" spans="1:2">
      <c r="A8903" s="1" t="s">
        <v>9148</v>
      </c>
      <c r="B8903" t="s">
        <v>901</v>
      </c>
    </row>
    <row r="8904" spans="1:2">
      <c r="A8904" s="1" t="s">
        <v>9149</v>
      </c>
      <c r="B8904" t="s">
        <v>901</v>
      </c>
    </row>
    <row r="8905" spans="1:2">
      <c r="A8905" s="1" t="s">
        <v>9150</v>
      </c>
      <c r="B8905" t="s">
        <v>901</v>
      </c>
    </row>
    <row r="8906" spans="1:2">
      <c r="A8906" s="1" t="s">
        <v>9151</v>
      </c>
      <c r="B8906" t="s">
        <v>901</v>
      </c>
    </row>
    <row r="8907" spans="1:2">
      <c r="A8907" s="1" t="s">
        <v>9152</v>
      </c>
      <c r="B8907" t="s">
        <v>901</v>
      </c>
    </row>
    <row r="8908" spans="1:2">
      <c r="A8908" s="1" t="s">
        <v>9153</v>
      </c>
      <c r="B8908" t="s">
        <v>901</v>
      </c>
    </row>
    <row r="8909" spans="1:2">
      <c r="A8909" s="1" t="s">
        <v>9154</v>
      </c>
      <c r="B8909" t="s">
        <v>901</v>
      </c>
    </row>
    <row r="8910" spans="1:2">
      <c r="A8910" s="1" t="s">
        <v>9155</v>
      </c>
      <c r="B8910" t="s">
        <v>901</v>
      </c>
    </row>
    <row r="8911" spans="1:2">
      <c r="A8911" s="1" t="s">
        <v>9156</v>
      </c>
      <c r="B8911" t="s">
        <v>901</v>
      </c>
    </row>
    <row r="8912" spans="1:2">
      <c r="A8912" s="1" t="s">
        <v>9157</v>
      </c>
      <c r="B8912" t="s">
        <v>901</v>
      </c>
    </row>
    <row r="8913" spans="1:2">
      <c r="A8913" s="1" t="s">
        <v>9158</v>
      </c>
      <c r="B8913" t="s">
        <v>901</v>
      </c>
    </row>
    <row r="8914" spans="1:2">
      <c r="A8914" s="1" t="s">
        <v>9159</v>
      </c>
      <c r="B8914" t="s">
        <v>901</v>
      </c>
    </row>
    <row r="8915" spans="1:2">
      <c r="A8915" s="1" t="s">
        <v>9160</v>
      </c>
      <c r="B8915" t="s">
        <v>901</v>
      </c>
    </row>
    <row r="8916" spans="1:2">
      <c r="A8916" s="1" t="s">
        <v>9161</v>
      </c>
      <c r="B8916" t="s">
        <v>901</v>
      </c>
    </row>
    <row r="8917" spans="1:2">
      <c r="A8917" s="1" t="s">
        <v>9162</v>
      </c>
      <c r="B8917" t="s">
        <v>901</v>
      </c>
    </row>
    <row r="8918" spans="1:2">
      <c r="A8918" s="1" t="s">
        <v>9163</v>
      </c>
      <c r="B8918" t="s">
        <v>901</v>
      </c>
    </row>
    <row r="8919" spans="1:2">
      <c r="A8919" s="1" t="s">
        <v>9164</v>
      </c>
      <c r="B8919" t="s">
        <v>901</v>
      </c>
    </row>
    <row r="8920" spans="1:2">
      <c r="A8920" s="1" t="s">
        <v>9165</v>
      </c>
      <c r="B8920" t="s">
        <v>901</v>
      </c>
    </row>
    <row r="8921" spans="1:2">
      <c r="A8921" s="1" t="s">
        <v>9166</v>
      </c>
      <c r="B8921" t="s">
        <v>901</v>
      </c>
    </row>
    <row r="8922" spans="1:2">
      <c r="A8922" s="1" t="s">
        <v>9167</v>
      </c>
      <c r="B8922" t="s">
        <v>901</v>
      </c>
    </row>
    <row r="8923" spans="1:2">
      <c r="A8923" s="1" t="s">
        <v>9168</v>
      </c>
      <c r="B8923" t="s">
        <v>901</v>
      </c>
    </row>
    <row r="8924" spans="1:2">
      <c r="A8924" s="1" t="s">
        <v>9169</v>
      </c>
      <c r="B8924" t="s">
        <v>901</v>
      </c>
    </row>
    <row r="8925" spans="1:2">
      <c r="A8925" s="1" t="s">
        <v>9170</v>
      </c>
      <c r="B8925" t="s">
        <v>901</v>
      </c>
    </row>
    <row r="8926" spans="1:2">
      <c r="A8926" s="1" t="s">
        <v>9171</v>
      </c>
      <c r="B8926" t="s">
        <v>901</v>
      </c>
    </row>
    <row r="8927" spans="1:2">
      <c r="A8927" s="1" t="s">
        <v>9172</v>
      </c>
      <c r="B8927" t="s">
        <v>901</v>
      </c>
    </row>
    <row r="8928" spans="1:2">
      <c r="A8928" s="1" t="s">
        <v>9173</v>
      </c>
      <c r="B8928" t="s">
        <v>901</v>
      </c>
    </row>
    <row r="8929" spans="1:2">
      <c r="A8929" s="1" t="s">
        <v>9174</v>
      </c>
      <c r="B8929" t="s">
        <v>901</v>
      </c>
    </row>
    <row r="8930" spans="1:2">
      <c r="A8930" s="1" t="s">
        <v>9175</v>
      </c>
      <c r="B8930" t="s">
        <v>901</v>
      </c>
    </row>
    <row r="8931" spans="1:2">
      <c r="A8931" s="1" t="s">
        <v>9176</v>
      </c>
      <c r="B8931" t="s">
        <v>901</v>
      </c>
    </row>
    <row r="8932" spans="1:2">
      <c r="A8932" s="1" t="s">
        <v>9177</v>
      </c>
      <c r="B8932" t="s">
        <v>901</v>
      </c>
    </row>
    <row r="8933" spans="1:2">
      <c r="A8933" s="1" t="s">
        <v>9178</v>
      </c>
      <c r="B8933" t="s">
        <v>901</v>
      </c>
    </row>
    <row r="8934" spans="1:2">
      <c r="A8934" s="1" t="s">
        <v>9179</v>
      </c>
      <c r="B8934" t="s">
        <v>901</v>
      </c>
    </row>
    <row r="8935" spans="1:2">
      <c r="A8935" s="1" t="s">
        <v>9180</v>
      </c>
      <c r="B8935" t="s">
        <v>901</v>
      </c>
    </row>
    <row r="8936" spans="1:2">
      <c r="A8936" s="1" t="s">
        <v>9181</v>
      </c>
      <c r="B8936" t="s">
        <v>901</v>
      </c>
    </row>
    <row r="8937" spans="1:2">
      <c r="A8937" s="1" t="s">
        <v>9182</v>
      </c>
      <c r="B8937" t="s">
        <v>901</v>
      </c>
    </row>
    <row r="8938" spans="1:2">
      <c r="A8938" s="1" t="s">
        <v>9183</v>
      </c>
      <c r="B8938" t="s">
        <v>901</v>
      </c>
    </row>
    <row r="8939" spans="1:2">
      <c r="A8939" s="1" t="s">
        <v>9184</v>
      </c>
      <c r="B8939" t="s">
        <v>901</v>
      </c>
    </row>
    <row r="8940" spans="1:2">
      <c r="A8940" s="1" t="s">
        <v>9185</v>
      </c>
      <c r="B8940" t="s">
        <v>901</v>
      </c>
    </row>
    <row r="8941" spans="1:2">
      <c r="A8941" s="1" t="s">
        <v>9186</v>
      </c>
      <c r="B8941" t="s">
        <v>901</v>
      </c>
    </row>
    <row r="8942" spans="1:2">
      <c r="A8942" s="1" t="s">
        <v>9187</v>
      </c>
      <c r="B8942" t="s">
        <v>901</v>
      </c>
    </row>
    <row r="8943" spans="1:2">
      <c r="A8943" s="1" t="s">
        <v>9188</v>
      </c>
      <c r="B8943" t="s">
        <v>901</v>
      </c>
    </row>
    <row r="8944" spans="1:2">
      <c r="A8944" s="1" t="s">
        <v>9189</v>
      </c>
      <c r="B8944" t="s">
        <v>901</v>
      </c>
    </row>
    <row r="8945" spans="1:2">
      <c r="A8945" s="1" t="s">
        <v>9190</v>
      </c>
      <c r="B8945" t="s">
        <v>901</v>
      </c>
    </row>
    <row r="8946" spans="1:2">
      <c r="A8946" s="1" t="s">
        <v>9191</v>
      </c>
      <c r="B8946" t="s">
        <v>901</v>
      </c>
    </row>
    <row r="8947" spans="1:2">
      <c r="A8947" s="1" t="s">
        <v>9192</v>
      </c>
      <c r="B8947" t="s">
        <v>901</v>
      </c>
    </row>
    <row r="8948" spans="1:2">
      <c r="A8948" s="1" t="s">
        <v>9193</v>
      </c>
      <c r="B8948" t="s">
        <v>901</v>
      </c>
    </row>
    <row r="8949" spans="1:2">
      <c r="A8949" s="1" t="s">
        <v>9194</v>
      </c>
      <c r="B8949" t="s">
        <v>901</v>
      </c>
    </row>
    <row r="8950" spans="1:2">
      <c r="A8950" s="1" t="s">
        <v>9195</v>
      </c>
      <c r="B8950" t="s">
        <v>901</v>
      </c>
    </row>
    <row r="8951" spans="1:2">
      <c r="A8951" s="1" t="s">
        <v>9196</v>
      </c>
      <c r="B8951" t="s">
        <v>901</v>
      </c>
    </row>
    <row r="8952" spans="1:2">
      <c r="A8952" s="1" t="s">
        <v>9197</v>
      </c>
      <c r="B8952" t="s">
        <v>901</v>
      </c>
    </row>
    <row r="8953" spans="1:2">
      <c r="A8953" s="1" t="s">
        <v>9198</v>
      </c>
      <c r="B8953" t="s">
        <v>901</v>
      </c>
    </row>
    <row r="8954" spans="1:2">
      <c r="A8954" s="1" t="s">
        <v>9199</v>
      </c>
      <c r="B8954" t="s">
        <v>901</v>
      </c>
    </row>
    <row r="8955" spans="1:2">
      <c r="A8955" s="1" t="s">
        <v>9200</v>
      </c>
      <c r="B8955" t="s">
        <v>901</v>
      </c>
    </row>
    <row r="8956" spans="1:2">
      <c r="A8956" s="1" t="s">
        <v>9201</v>
      </c>
      <c r="B8956" t="s">
        <v>901</v>
      </c>
    </row>
    <row r="8957" spans="1:2">
      <c r="A8957" s="1" t="s">
        <v>9202</v>
      </c>
      <c r="B8957" t="s">
        <v>901</v>
      </c>
    </row>
    <row r="8958" spans="1:2">
      <c r="A8958" s="1" t="s">
        <v>9203</v>
      </c>
      <c r="B8958" t="s">
        <v>901</v>
      </c>
    </row>
    <row r="8959" spans="1:2">
      <c r="A8959" s="1" t="s">
        <v>9204</v>
      </c>
      <c r="B8959" t="s">
        <v>901</v>
      </c>
    </row>
    <row r="8960" spans="1:2">
      <c r="A8960" s="1" t="s">
        <v>9205</v>
      </c>
      <c r="B8960" t="s">
        <v>901</v>
      </c>
    </row>
    <row r="8961" spans="1:2">
      <c r="A8961" s="1" t="s">
        <v>9206</v>
      </c>
      <c r="B8961" t="s">
        <v>901</v>
      </c>
    </row>
    <row r="8962" spans="1:2">
      <c r="A8962" s="1" t="s">
        <v>9207</v>
      </c>
      <c r="B8962" t="s">
        <v>901</v>
      </c>
    </row>
    <row r="8963" spans="1:2">
      <c r="A8963" s="1" t="s">
        <v>9208</v>
      </c>
      <c r="B8963" t="s">
        <v>901</v>
      </c>
    </row>
    <row r="8964" spans="1:2">
      <c r="A8964" s="1" t="s">
        <v>9209</v>
      </c>
      <c r="B8964" t="s">
        <v>901</v>
      </c>
    </row>
    <row r="8965" spans="1:2">
      <c r="A8965" s="1" t="s">
        <v>9210</v>
      </c>
      <c r="B8965" t="s">
        <v>901</v>
      </c>
    </row>
    <row r="8966" spans="1:2">
      <c r="A8966" s="1" t="s">
        <v>9211</v>
      </c>
      <c r="B8966" t="s">
        <v>901</v>
      </c>
    </row>
    <row r="8967" spans="1:2">
      <c r="A8967" s="1" t="s">
        <v>9212</v>
      </c>
      <c r="B8967" t="s">
        <v>901</v>
      </c>
    </row>
    <row r="8968" spans="1:2">
      <c r="A8968" s="1" t="s">
        <v>9213</v>
      </c>
      <c r="B8968" t="s">
        <v>901</v>
      </c>
    </row>
    <row r="8969" spans="1:2">
      <c r="A8969" s="1" t="s">
        <v>9214</v>
      </c>
      <c r="B8969" t="s">
        <v>901</v>
      </c>
    </row>
    <row r="8970" spans="1:2">
      <c r="A8970" s="1" t="s">
        <v>9215</v>
      </c>
      <c r="B8970" t="s">
        <v>901</v>
      </c>
    </row>
    <row r="8971" spans="1:2">
      <c r="A8971" s="1" t="s">
        <v>9216</v>
      </c>
      <c r="B8971" t="s">
        <v>901</v>
      </c>
    </row>
    <row r="8972" spans="1:2">
      <c r="A8972" s="1" t="s">
        <v>9217</v>
      </c>
      <c r="B8972" t="s">
        <v>901</v>
      </c>
    </row>
    <row r="8973" spans="1:2">
      <c r="A8973" s="1" t="s">
        <v>9218</v>
      </c>
      <c r="B8973" t="s">
        <v>901</v>
      </c>
    </row>
    <row r="8974" spans="1:2">
      <c r="A8974" s="1" t="s">
        <v>9219</v>
      </c>
      <c r="B8974" t="s">
        <v>901</v>
      </c>
    </row>
    <row r="8975" spans="1:2">
      <c r="A8975" s="1" t="s">
        <v>9220</v>
      </c>
      <c r="B8975" t="s">
        <v>901</v>
      </c>
    </row>
    <row r="8976" spans="1:2">
      <c r="A8976" s="1" t="s">
        <v>9221</v>
      </c>
      <c r="B8976" t="s">
        <v>901</v>
      </c>
    </row>
    <row r="8977" spans="1:2">
      <c r="A8977" s="1" t="s">
        <v>9222</v>
      </c>
      <c r="B8977" t="s">
        <v>901</v>
      </c>
    </row>
    <row r="8978" spans="1:2">
      <c r="A8978" s="1" t="s">
        <v>9223</v>
      </c>
      <c r="B8978" t="s">
        <v>901</v>
      </c>
    </row>
    <row r="8979" spans="1:2">
      <c r="A8979" s="1" t="s">
        <v>9224</v>
      </c>
      <c r="B8979" t="s">
        <v>901</v>
      </c>
    </row>
    <row r="8980" spans="1:2">
      <c r="A8980" s="1" t="s">
        <v>9225</v>
      </c>
      <c r="B8980" t="s">
        <v>901</v>
      </c>
    </row>
    <row r="8981" spans="1:2">
      <c r="A8981" s="1" t="s">
        <v>9226</v>
      </c>
      <c r="B8981" t="s">
        <v>901</v>
      </c>
    </row>
    <row r="8982" spans="1:2">
      <c r="A8982" s="1" t="s">
        <v>9227</v>
      </c>
      <c r="B8982" t="s">
        <v>901</v>
      </c>
    </row>
    <row r="8983" spans="1:2">
      <c r="A8983" s="1" t="s">
        <v>9228</v>
      </c>
      <c r="B8983" t="s">
        <v>901</v>
      </c>
    </row>
    <row r="8984" spans="1:2">
      <c r="A8984" s="1" t="s">
        <v>9229</v>
      </c>
      <c r="B8984" t="s">
        <v>901</v>
      </c>
    </row>
    <row r="8985" spans="1:2">
      <c r="A8985" s="1" t="s">
        <v>9230</v>
      </c>
      <c r="B8985" t="s">
        <v>901</v>
      </c>
    </row>
    <row r="8986" spans="1:2">
      <c r="A8986" s="1" t="s">
        <v>9231</v>
      </c>
      <c r="B8986" t="s">
        <v>901</v>
      </c>
    </row>
    <row r="8987" spans="1:2">
      <c r="A8987" s="1" t="s">
        <v>9232</v>
      </c>
      <c r="B8987" t="s">
        <v>901</v>
      </c>
    </row>
    <row r="8988" spans="1:2">
      <c r="A8988" s="1" t="s">
        <v>9233</v>
      </c>
      <c r="B8988" t="s">
        <v>901</v>
      </c>
    </row>
    <row r="8989" spans="1:2">
      <c r="A8989" s="1" t="s">
        <v>9234</v>
      </c>
      <c r="B8989" t="s">
        <v>901</v>
      </c>
    </row>
    <row r="8990" spans="1:2">
      <c r="A8990" s="1" t="s">
        <v>9235</v>
      </c>
      <c r="B8990" t="s">
        <v>901</v>
      </c>
    </row>
    <row r="8991" spans="1:2">
      <c r="A8991" s="1" t="s">
        <v>9236</v>
      </c>
      <c r="B8991" t="s">
        <v>901</v>
      </c>
    </row>
    <row r="8992" spans="1:2">
      <c r="A8992" s="1" t="s">
        <v>9237</v>
      </c>
      <c r="B8992" t="s">
        <v>901</v>
      </c>
    </row>
    <row r="8993" spans="1:2">
      <c r="A8993" s="1" t="s">
        <v>9238</v>
      </c>
      <c r="B8993" t="s">
        <v>901</v>
      </c>
    </row>
    <row r="8994" spans="1:2">
      <c r="A8994" s="1" t="s">
        <v>9239</v>
      </c>
      <c r="B8994" t="s">
        <v>901</v>
      </c>
    </row>
    <row r="8995" spans="1:2">
      <c r="A8995" s="1" t="s">
        <v>9240</v>
      </c>
      <c r="B8995" t="s">
        <v>901</v>
      </c>
    </row>
    <row r="8996" spans="1:2">
      <c r="A8996" s="1" t="s">
        <v>9241</v>
      </c>
      <c r="B8996" t="s">
        <v>901</v>
      </c>
    </row>
    <row r="8997" spans="1:2">
      <c r="A8997" s="1" t="s">
        <v>9242</v>
      </c>
      <c r="B8997" t="s">
        <v>901</v>
      </c>
    </row>
    <row r="8998" spans="1:2">
      <c r="A8998" s="1" t="s">
        <v>9243</v>
      </c>
      <c r="B8998" t="s">
        <v>901</v>
      </c>
    </row>
    <row r="8999" spans="1:2">
      <c r="A8999" s="1" t="s">
        <v>9244</v>
      </c>
      <c r="B8999" t="s">
        <v>901</v>
      </c>
    </row>
    <row r="9000" spans="1:2">
      <c r="A9000" s="1" t="s">
        <v>9245</v>
      </c>
      <c r="B9000" t="s">
        <v>901</v>
      </c>
    </row>
    <row r="9001" spans="1:2">
      <c r="A9001" s="1" t="s">
        <v>9246</v>
      </c>
      <c r="B9001" t="s">
        <v>901</v>
      </c>
    </row>
    <row r="9002" spans="1:2">
      <c r="A9002" s="1" t="s">
        <v>9247</v>
      </c>
      <c r="B9002" t="s">
        <v>901</v>
      </c>
    </row>
    <row r="9003" spans="1:2">
      <c r="A9003" s="1" t="s">
        <v>9248</v>
      </c>
      <c r="B9003" t="s">
        <v>901</v>
      </c>
    </row>
    <row r="9004" spans="1:2">
      <c r="A9004" s="1" t="s">
        <v>9249</v>
      </c>
      <c r="B9004" t="s">
        <v>901</v>
      </c>
    </row>
    <row r="9005" spans="1:2">
      <c r="A9005" s="1" t="s">
        <v>9250</v>
      </c>
      <c r="B9005" t="s">
        <v>901</v>
      </c>
    </row>
    <row r="9006" spans="1:2">
      <c r="A9006" s="1" t="s">
        <v>9251</v>
      </c>
      <c r="B9006" t="s">
        <v>901</v>
      </c>
    </row>
    <row r="9007" spans="1:2">
      <c r="A9007" s="1" t="s">
        <v>9252</v>
      </c>
      <c r="B9007" t="s">
        <v>901</v>
      </c>
    </row>
    <row r="9008" spans="1:2">
      <c r="A9008" s="1" t="s">
        <v>9253</v>
      </c>
      <c r="B9008" t="s">
        <v>901</v>
      </c>
    </row>
    <row r="9009" spans="1:2">
      <c r="A9009" s="1" t="s">
        <v>9254</v>
      </c>
      <c r="B9009" t="s">
        <v>901</v>
      </c>
    </row>
    <row r="9010" spans="1:2">
      <c r="A9010" s="1" t="s">
        <v>9255</v>
      </c>
      <c r="B9010" t="s">
        <v>901</v>
      </c>
    </row>
    <row r="9011" spans="1:2">
      <c r="A9011" s="1" t="s">
        <v>9256</v>
      </c>
      <c r="B9011" t="s">
        <v>901</v>
      </c>
    </row>
    <row r="9012" spans="1:2">
      <c r="A9012" s="1" t="s">
        <v>9257</v>
      </c>
      <c r="B9012" t="s">
        <v>901</v>
      </c>
    </row>
    <row r="9013" spans="1:2">
      <c r="A9013" s="1" t="s">
        <v>9258</v>
      </c>
      <c r="B9013" t="s">
        <v>901</v>
      </c>
    </row>
    <row r="9014" spans="1:2">
      <c r="A9014" s="1" t="s">
        <v>9259</v>
      </c>
      <c r="B9014" t="s">
        <v>901</v>
      </c>
    </row>
    <row r="9015" spans="1:2">
      <c r="A9015" s="1" t="s">
        <v>9260</v>
      </c>
      <c r="B9015" t="s">
        <v>901</v>
      </c>
    </row>
    <row r="9016" spans="1:2">
      <c r="A9016" s="1" t="s">
        <v>9261</v>
      </c>
      <c r="B9016" t="s">
        <v>901</v>
      </c>
    </row>
    <row r="9017" spans="1:2">
      <c r="A9017" s="1" t="s">
        <v>9262</v>
      </c>
      <c r="B9017" t="s">
        <v>901</v>
      </c>
    </row>
    <row r="9018" spans="1:2">
      <c r="A9018" s="1" t="s">
        <v>9263</v>
      </c>
      <c r="B9018" t="s">
        <v>901</v>
      </c>
    </row>
    <row r="9019" spans="1:2">
      <c r="A9019" s="1" t="s">
        <v>9264</v>
      </c>
      <c r="B9019" t="s">
        <v>901</v>
      </c>
    </row>
    <row r="9020" spans="1:2">
      <c r="A9020" s="1" t="s">
        <v>9265</v>
      </c>
      <c r="B9020" t="s">
        <v>901</v>
      </c>
    </row>
    <row r="9021" spans="1:2">
      <c r="A9021" s="1" t="s">
        <v>9266</v>
      </c>
      <c r="B9021" t="s">
        <v>901</v>
      </c>
    </row>
    <row r="9022" spans="1:2">
      <c r="A9022" s="1" t="s">
        <v>9267</v>
      </c>
      <c r="B9022" t="s">
        <v>901</v>
      </c>
    </row>
    <row r="9023" spans="1:2">
      <c r="A9023" s="1" t="s">
        <v>9268</v>
      </c>
      <c r="B9023" t="s">
        <v>901</v>
      </c>
    </row>
    <row r="9024" spans="1:2">
      <c r="A9024" s="1" t="s">
        <v>9269</v>
      </c>
      <c r="B9024" t="s">
        <v>901</v>
      </c>
    </row>
    <row r="9025" spans="1:2">
      <c r="A9025" s="1" t="s">
        <v>9270</v>
      </c>
      <c r="B9025" t="s">
        <v>901</v>
      </c>
    </row>
    <row r="9026" spans="1:2">
      <c r="A9026" s="1" t="s">
        <v>9271</v>
      </c>
      <c r="B9026" t="s">
        <v>901</v>
      </c>
    </row>
    <row r="9027" spans="1:2">
      <c r="A9027" s="1" t="s">
        <v>9272</v>
      </c>
      <c r="B9027" t="s">
        <v>901</v>
      </c>
    </row>
    <row r="9028" spans="1:2">
      <c r="A9028" s="1" t="s">
        <v>9273</v>
      </c>
      <c r="B9028" t="s">
        <v>901</v>
      </c>
    </row>
    <row r="9029" spans="1:2">
      <c r="A9029" s="1" t="s">
        <v>9274</v>
      </c>
      <c r="B9029" t="s">
        <v>901</v>
      </c>
    </row>
    <row r="9030" spans="1:2">
      <c r="A9030" s="1" t="s">
        <v>9275</v>
      </c>
      <c r="B9030" t="s">
        <v>901</v>
      </c>
    </row>
    <row r="9031" spans="1:2">
      <c r="A9031" s="1" t="s">
        <v>9276</v>
      </c>
      <c r="B9031" t="s">
        <v>901</v>
      </c>
    </row>
    <row r="9032" spans="1:2">
      <c r="A9032" s="1" t="s">
        <v>9277</v>
      </c>
      <c r="B9032" t="s">
        <v>901</v>
      </c>
    </row>
    <row r="9033" spans="1:2">
      <c r="A9033" s="1" t="s">
        <v>9278</v>
      </c>
      <c r="B9033" t="s">
        <v>901</v>
      </c>
    </row>
    <row r="9034" spans="1:2">
      <c r="A9034" s="1" t="s">
        <v>9279</v>
      </c>
      <c r="B9034" t="s">
        <v>901</v>
      </c>
    </row>
    <row r="9035" spans="1:2">
      <c r="A9035" s="1" t="s">
        <v>9280</v>
      </c>
      <c r="B9035" t="s">
        <v>901</v>
      </c>
    </row>
    <row r="9036" spans="1:2">
      <c r="A9036" s="1" t="s">
        <v>9281</v>
      </c>
      <c r="B9036" t="s">
        <v>901</v>
      </c>
    </row>
    <row r="9037" spans="1:2">
      <c r="A9037" s="1" t="s">
        <v>9282</v>
      </c>
      <c r="B9037" t="s">
        <v>901</v>
      </c>
    </row>
    <row r="9038" spans="1:2">
      <c r="A9038" s="1" t="s">
        <v>9283</v>
      </c>
      <c r="B9038" t="s">
        <v>901</v>
      </c>
    </row>
    <row r="9039" spans="1:2">
      <c r="A9039" s="1" t="s">
        <v>9284</v>
      </c>
      <c r="B9039" t="s">
        <v>901</v>
      </c>
    </row>
    <row r="9040" spans="1:2">
      <c r="A9040" s="1" t="s">
        <v>9285</v>
      </c>
      <c r="B9040" t="s">
        <v>901</v>
      </c>
    </row>
    <row r="9041" spans="1:2">
      <c r="A9041" s="1" t="s">
        <v>9286</v>
      </c>
      <c r="B9041" t="s">
        <v>901</v>
      </c>
    </row>
    <row r="9042" spans="1:2">
      <c r="A9042" s="1" t="s">
        <v>9287</v>
      </c>
      <c r="B9042" t="s">
        <v>901</v>
      </c>
    </row>
    <row r="9043" spans="1:2">
      <c r="A9043" s="1" t="s">
        <v>9288</v>
      </c>
      <c r="B9043" t="s">
        <v>901</v>
      </c>
    </row>
    <row r="9044" spans="1:2">
      <c r="A9044" s="1" t="s">
        <v>9289</v>
      </c>
      <c r="B9044" t="s">
        <v>901</v>
      </c>
    </row>
    <row r="9045" spans="1:2">
      <c r="A9045" s="1" t="s">
        <v>9290</v>
      </c>
      <c r="B9045" t="s">
        <v>901</v>
      </c>
    </row>
    <row r="9046" spans="1:2">
      <c r="A9046" s="1" t="s">
        <v>9291</v>
      </c>
      <c r="B9046" t="s">
        <v>901</v>
      </c>
    </row>
    <row r="9047" spans="1:2">
      <c r="A9047" s="1" t="s">
        <v>9292</v>
      </c>
      <c r="B9047" t="s">
        <v>901</v>
      </c>
    </row>
    <row r="9048" spans="1:2">
      <c r="A9048" s="1" t="s">
        <v>9293</v>
      </c>
      <c r="B9048" t="s">
        <v>901</v>
      </c>
    </row>
    <row r="9049" spans="1:2">
      <c r="A9049" s="1" t="s">
        <v>9294</v>
      </c>
      <c r="B9049" t="s">
        <v>901</v>
      </c>
    </row>
    <row r="9050" spans="1:2">
      <c r="A9050" s="1" t="s">
        <v>9295</v>
      </c>
      <c r="B9050" t="s">
        <v>901</v>
      </c>
    </row>
    <row r="9051" spans="1:2">
      <c r="A9051" s="1" t="s">
        <v>9296</v>
      </c>
      <c r="B9051" t="s">
        <v>901</v>
      </c>
    </row>
    <row r="9052" spans="1:2">
      <c r="A9052" s="1" t="s">
        <v>9297</v>
      </c>
      <c r="B9052" t="s">
        <v>901</v>
      </c>
    </row>
    <row r="9053" spans="1:2">
      <c r="A9053" s="1" t="s">
        <v>9298</v>
      </c>
      <c r="B9053" t="s">
        <v>901</v>
      </c>
    </row>
    <row r="9054" spans="1:2">
      <c r="A9054" s="1" t="s">
        <v>9299</v>
      </c>
      <c r="B9054" t="s">
        <v>901</v>
      </c>
    </row>
    <row r="9055" spans="1:2">
      <c r="A9055" s="1" t="s">
        <v>9300</v>
      </c>
      <c r="B9055" t="s">
        <v>901</v>
      </c>
    </row>
    <row r="9056" spans="1:2">
      <c r="A9056" s="1" t="s">
        <v>9301</v>
      </c>
      <c r="B9056" t="s">
        <v>901</v>
      </c>
    </row>
    <row r="9057" spans="1:2">
      <c r="A9057" s="1" t="s">
        <v>9302</v>
      </c>
      <c r="B9057" t="s">
        <v>901</v>
      </c>
    </row>
    <row r="9058" spans="1:2">
      <c r="A9058" s="1" t="s">
        <v>9303</v>
      </c>
      <c r="B9058" t="s">
        <v>901</v>
      </c>
    </row>
    <row r="9059" spans="1:2">
      <c r="A9059" s="1" t="s">
        <v>9304</v>
      </c>
      <c r="B9059" t="s">
        <v>901</v>
      </c>
    </row>
    <row r="9060" spans="1:2">
      <c r="A9060" s="1" t="s">
        <v>9305</v>
      </c>
      <c r="B9060" t="s">
        <v>901</v>
      </c>
    </row>
    <row r="9061" spans="1:2">
      <c r="A9061" s="1" t="s">
        <v>9306</v>
      </c>
      <c r="B9061" t="s">
        <v>901</v>
      </c>
    </row>
    <row r="9062" spans="1:2">
      <c r="A9062" s="1" t="s">
        <v>9307</v>
      </c>
      <c r="B9062" t="s">
        <v>901</v>
      </c>
    </row>
    <row r="9063" spans="1:2">
      <c r="A9063" s="1" t="s">
        <v>9308</v>
      </c>
      <c r="B9063" t="s">
        <v>901</v>
      </c>
    </row>
    <row r="9064" spans="1:2">
      <c r="A9064" s="1" t="s">
        <v>9309</v>
      </c>
      <c r="B9064" t="s">
        <v>901</v>
      </c>
    </row>
    <row r="9065" spans="1:2">
      <c r="A9065" s="1" t="s">
        <v>9310</v>
      </c>
      <c r="B9065" t="s">
        <v>901</v>
      </c>
    </row>
    <row r="9066" spans="1:2">
      <c r="A9066" s="1" t="s">
        <v>9311</v>
      </c>
      <c r="B9066" t="s">
        <v>901</v>
      </c>
    </row>
    <row r="9067" spans="1:2">
      <c r="A9067" s="1" t="s">
        <v>9312</v>
      </c>
      <c r="B9067" t="s">
        <v>901</v>
      </c>
    </row>
    <row r="9068" spans="1:2">
      <c r="A9068" s="1" t="s">
        <v>9313</v>
      </c>
      <c r="B9068" t="s">
        <v>901</v>
      </c>
    </row>
    <row r="9069" spans="1:2">
      <c r="A9069" s="1" t="s">
        <v>9314</v>
      </c>
      <c r="B9069" t="s">
        <v>901</v>
      </c>
    </row>
    <row r="9070" spans="1:2">
      <c r="A9070" s="1" t="s">
        <v>9315</v>
      </c>
      <c r="B9070" t="s">
        <v>901</v>
      </c>
    </row>
    <row r="9071" spans="1:2">
      <c r="A9071" s="1" t="s">
        <v>9316</v>
      </c>
      <c r="B9071" t="s">
        <v>901</v>
      </c>
    </row>
    <row r="9072" spans="1:2">
      <c r="A9072" s="1" t="s">
        <v>9317</v>
      </c>
      <c r="B9072" t="s">
        <v>901</v>
      </c>
    </row>
    <row r="9073" spans="1:2">
      <c r="A9073" s="1" t="s">
        <v>9318</v>
      </c>
      <c r="B9073" t="s">
        <v>901</v>
      </c>
    </row>
    <row r="9074" spans="1:2">
      <c r="A9074" s="1" t="s">
        <v>9319</v>
      </c>
      <c r="B9074" t="s">
        <v>901</v>
      </c>
    </row>
    <row r="9075" spans="1:2">
      <c r="A9075" s="1" t="s">
        <v>9320</v>
      </c>
      <c r="B9075" t="s">
        <v>901</v>
      </c>
    </row>
    <row r="9076" spans="1:2">
      <c r="A9076" s="1" t="s">
        <v>9321</v>
      </c>
      <c r="B9076" t="s">
        <v>901</v>
      </c>
    </row>
    <row r="9077" spans="1:2">
      <c r="A9077" s="1" t="s">
        <v>9322</v>
      </c>
      <c r="B9077" t="s">
        <v>901</v>
      </c>
    </row>
    <row r="9078" spans="1:2">
      <c r="A9078" s="1" t="s">
        <v>9323</v>
      </c>
      <c r="B9078" t="s">
        <v>901</v>
      </c>
    </row>
    <row r="9079" spans="1:2">
      <c r="A9079" s="1" t="s">
        <v>9324</v>
      </c>
      <c r="B9079" t="s">
        <v>901</v>
      </c>
    </row>
    <row r="9080" spans="1:2">
      <c r="A9080" s="1" t="s">
        <v>9325</v>
      </c>
      <c r="B9080" t="s">
        <v>901</v>
      </c>
    </row>
    <row r="9081" spans="1:2">
      <c r="A9081" s="1" t="s">
        <v>9326</v>
      </c>
      <c r="B9081" t="s">
        <v>901</v>
      </c>
    </row>
    <row r="9082" spans="1:2">
      <c r="A9082" s="1" t="s">
        <v>9327</v>
      </c>
      <c r="B9082" t="s">
        <v>901</v>
      </c>
    </row>
    <row r="9083" spans="1:2">
      <c r="A9083" s="1" t="s">
        <v>9328</v>
      </c>
      <c r="B9083" t="s">
        <v>901</v>
      </c>
    </row>
    <row r="9084" spans="1:2">
      <c r="A9084" s="1" t="s">
        <v>9329</v>
      </c>
      <c r="B9084" t="s">
        <v>901</v>
      </c>
    </row>
    <row r="9085" spans="1:2">
      <c r="A9085" s="1" t="s">
        <v>9330</v>
      </c>
      <c r="B9085" t="s">
        <v>901</v>
      </c>
    </row>
    <row r="9086" spans="1:2">
      <c r="A9086" s="1" t="s">
        <v>9331</v>
      </c>
      <c r="B9086" t="s">
        <v>901</v>
      </c>
    </row>
    <row r="9087" spans="1:2">
      <c r="A9087" s="1" t="s">
        <v>9332</v>
      </c>
      <c r="B9087" t="s">
        <v>901</v>
      </c>
    </row>
    <row r="9088" spans="1:2">
      <c r="A9088" s="1" t="s">
        <v>9333</v>
      </c>
      <c r="B9088" t="s">
        <v>901</v>
      </c>
    </row>
    <row r="9089" spans="1:2">
      <c r="A9089" s="1" t="s">
        <v>9334</v>
      </c>
      <c r="B9089" t="s">
        <v>901</v>
      </c>
    </row>
    <row r="9090" spans="1:2">
      <c r="A9090" s="1" t="s">
        <v>9335</v>
      </c>
      <c r="B9090" t="s">
        <v>901</v>
      </c>
    </row>
    <row r="9091" spans="1:2">
      <c r="A9091" s="1" t="s">
        <v>9336</v>
      </c>
      <c r="B9091" t="s">
        <v>901</v>
      </c>
    </row>
    <row r="9092" spans="1:2">
      <c r="A9092" s="1" t="s">
        <v>9337</v>
      </c>
      <c r="B9092" t="s">
        <v>901</v>
      </c>
    </row>
    <row r="9093" spans="1:2">
      <c r="A9093" s="1" t="s">
        <v>9338</v>
      </c>
      <c r="B9093" t="s">
        <v>901</v>
      </c>
    </row>
    <row r="9094" spans="1:2">
      <c r="A9094" s="1" t="s">
        <v>9339</v>
      </c>
      <c r="B9094" t="s">
        <v>901</v>
      </c>
    </row>
    <row r="9095" spans="1:2">
      <c r="A9095" s="1" t="s">
        <v>9340</v>
      </c>
      <c r="B9095" t="s">
        <v>901</v>
      </c>
    </row>
    <row r="9096" spans="1:2">
      <c r="A9096" s="1" t="s">
        <v>9341</v>
      </c>
      <c r="B9096" t="s">
        <v>901</v>
      </c>
    </row>
    <row r="9097" spans="1:2">
      <c r="A9097" s="1" t="s">
        <v>9342</v>
      </c>
      <c r="B9097" t="s">
        <v>901</v>
      </c>
    </row>
    <row r="9098" spans="1:2">
      <c r="A9098" s="1" t="s">
        <v>9343</v>
      </c>
      <c r="B9098" t="s">
        <v>901</v>
      </c>
    </row>
    <row r="9099" spans="1:2">
      <c r="A9099" s="1" t="s">
        <v>9344</v>
      </c>
      <c r="B9099" t="s">
        <v>901</v>
      </c>
    </row>
    <row r="9100" spans="1:2">
      <c r="A9100" s="1" t="s">
        <v>9345</v>
      </c>
      <c r="B9100" t="s">
        <v>901</v>
      </c>
    </row>
    <row r="9101" spans="1:2">
      <c r="A9101" s="1" t="s">
        <v>9346</v>
      </c>
      <c r="B9101" t="s">
        <v>901</v>
      </c>
    </row>
    <row r="9102" spans="1:2">
      <c r="A9102" s="1" t="s">
        <v>9347</v>
      </c>
      <c r="B9102" t="s">
        <v>901</v>
      </c>
    </row>
    <row r="9103" spans="1:2">
      <c r="A9103" s="1" t="s">
        <v>9348</v>
      </c>
      <c r="B9103" t="s">
        <v>901</v>
      </c>
    </row>
    <row r="9104" spans="1:2">
      <c r="A9104" s="1" t="s">
        <v>9349</v>
      </c>
      <c r="B9104" t="s">
        <v>901</v>
      </c>
    </row>
    <row r="9105" spans="1:2">
      <c r="A9105" s="1" t="s">
        <v>9350</v>
      </c>
      <c r="B9105" t="s">
        <v>901</v>
      </c>
    </row>
    <row r="9106" spans="1:2">
      <c r="A9106" s="1" t="s">
        <v>9351</v>
      </c>
      <c r="B9106" t="s">
        <v>901</v>
      </c>
    </row>
    <row r="9107" spans="1:2">
      <c r="A9107" s="1" t="s">
        <v>9352</v>
      </c>
      <c r="B9107" t="s">
        <v>901</v>
      </c>
    </row>
    <row r="9108" spans="1:2">
      <c r="A9108" s="1" t="s">
        <v>9353</v>
      </c>
      <c r="B9108" t="s">
        <v>901</v>
      </c>
    </row>
    <row r="9109" spans="1:2">
      <c r="A9109" s="1" t="s">
        <v>9354</v>
      </c>
      <c r="B9109" t="s">
        <v>901</v>
      </c>
    </row>
    <row r="9110" spans="1:2">
      <c r="A9110" s="1" t="s">
        <v>9355</v>
      </c>
      <c r="B9110" t="s">
        <v>901</v>
      </c>
    </row>
    <row r="9111" spans="1:2">
      <c r="A9111" s="1" t="s">
        <v>9356</v>
      </c>
      <c r="B9111" t="s">
        <v>901</v>
      </c>
    </row>
    <row r="9112" spans="1:2">
      <c r="A9112" s="1" t="s">
        <v>9357</v>
      </c>
      <c r="B9112" t="s">
        <v>901</v>
      </c>
    </row>
    <row r="9113" spans="1:2">
      <c r="A9113" s="1" t="s">
        <v>9358</v>
      </c>
      <c r="B9113" t="s">
        <v>901</v>
      </c>
    </row>
    <row r="9114" spans="1:2">
      <c r="A9114" s="1" t="s">
        <v>9359</v>
      </c>
      <c r="B9114" t="s">
        <v>901</v>
      </c>
    </row>
    <row r="9115" spans="1:2">
      <c r="A9115" s="1" t="s">
        <v>9360</v>
      </c>
      <c r="B9115" t="s">
        <v>901</v>
      </c>
    </row>
    <row r="9116" spans="1:2">
      <c r="A9116" s="1" t="s">
        <v>9361</v>
      </c>
      <c r="B9116" t="s">
        <v>901</v>
      </c>
    </row>
    <row r="9117" spans="1:2">
      <c r="A9117" s="1" t="s">
        <v>9362</v>
      </c>
      <c r="B9117" t="s">
        <v>901</v>
      </c>
    </row>
    <row r="9118" spans="1:2">
      <c r="A9118" s="1" t="s">
        <v>9363</v>
      </c>
      <c r="B9118" t="s">
        <v>901</v>
      </c>
    </row>
    <row r="9119" spans="1:2">
      <c r="A9119" s="1" t="s">
        <v>9364</v>
      </c>
      <c r="B9119" t="s">
        <v>901</v>
      </c>
    </row>
    <row r="9120" spans="1:2">
      <c r="A9120" s="1" t="s">
        <v>9365</v>
      </c>
      <c r="B9120" t="s">
        <v>901</v>
      </c>
    </row>
    <row r="9121" spans="1:2">
      <c r="A9121" s="1" t="s">
        <v>9366</v>
      </c>
      <c r="B9121" t="s">
        <v>901</v>
      </c>
    </row>
    <row r="9122" spans="1:2">
      <c r="A9122" s="1" t="s">
        <v>9367</v>
      </c>
      <c r="B9122" t="s">
        <v>901</v>
      </c>
    </row>
    <row r="9123" spans="1:2">
      <c r="A9123" s="1" t="s">
        <v>9368</v>
      </c>
      <c r="B9123" t="s">
        <v>901</v>
      </c>
    </row>
    <row r="9124" spans="1:2">
      <c r="A9124" s="1" t="s">
        <v>9369</v>
      </c>
      <c r="B9124" t="s">
        <v>901</v>
      </c>
    </row>
    <row r="9125" spans="1:2">
      <c r="A9125" s="1" t="s">
        <v>9370</v>
      </c>
      <c r="B9125" t="s">
        <v>901</v>
      </c>
    </row>
    <row r="9126" spans="1:2">
      <c r="A9126" s="1" t="s">
        <v>9371</v>
      </c>
      <c r="B9126" t="s">
        <v>901</v>
      </c>
    </row>
    <row r="9127" spans="1:2">
      <c r="A9127" s="1" t="s">
        <v>9372</v>
      </c>
      <c r="B9127" t="s">
        <v>901</v>
      </c>
    </row>
    <row r="9128" spans="1:2">
      <c r="A9128" s="1" t="s">
        <v>9373</v>
      </c>
      <c r="B9128" t="s">
        <v>901</v>
      </c>
    </row>
    <row r="9129" spans="1:2">
      <c r="A9129" s="1" t="s">
        <v>9374</v>
      </c>
      <c r="B9129" t="s">
        <v>901</v>
      </c>
    </row>
    <row r="9130" spans="1:2">
      <c r="A9130" s="1" t="s">
        <v>9375</v>
      </c>
      <c r="B9130" t="s">
        <v>901</v>
      </c>
    </row>
    <row r="9131" spans="1:2">
      <c r="A9131" s="1" t="s">
        <v>9376</v>
      </c>
      <c r="B9131" t="s">
        <v>901</v>
      </c>
    </row>
    <row r="9132" spans="1:2">
      <c r="A9132" s="1" t="s">
        <v>9377</v>
      </c>
      <c r="B9132" t="s">
        <v>901</v>
      </c>
    </row>
    <row r="9133" spans="1:2">
      <c r="A9133" s="1" t="s">
        <v>9378</v>
      </c>
      <c r="B9133" t="s">
        <v>901</v>
      </c>
    </row>
    <row r="9134" spans="1:2">
      <c r="A9134" s="1" t="s">
        <v>9379</v>
      </c>
      <c r="B9134" t="s">
        <v>901</v>
      </c>
    </row>
    <row r="9135" spans="1:2">
      <c r="A9135" s="1" t="s">
        <v>9380</v>
      </c>
      <c r="B9135" t="s">
        <v>901</v>
      </c>
    </row>
    <row r="9136" spans="1:2">
      <c r="A9136" s="1" t="s">
        <v>9381</v>
      </c>
      <c r="B9136" t="s">
        <v>901</v>
      </c>
    </row>
    <row r="9137" spans="1:2">
      <c r="A9137" s="1" t="s">
        <v>9382</v>
      </c>
      <c r="B9137" t="s">
        <v>901</v>
      </c>
    </row>
    <row r="9138" spans="1:2">
      <c r="A9138" s="1" t="s">
        <v>9383</v>
      </c>
      <c r="B9138" t="s">
        <v>901</v>
      </c>
    </row>
    <row r="9139" spans="1:2">
      <c r="A9139" s="1" t="s">
        <v>9384</v>
      </c>
      <c r="B9139" t="s">
        <v>901</v>
      </c>
    </row>
    <row r="9140" spans="1:2">
      <c r="A9140" s="1" t="s">
        <v>9385</v>
      </c>
      <c r="B9140" t="s">
        <v>901</v>
      </c>
    </row>
    <row r="9141" spans="1:2">
      <c r="A9141" s="1" t="s">
        <v>9386</v>
      </c>
      <c r="B9141" t="s">
        <v>901</v>
      </c>
    </row>
    <row r="9142" spans="1:2">
      <c r="A9142" s="1" t="s">
        <v>9387</v>
      </c>
      <c r="B9142" t="s">
        <v>901</v>
      </c>
    </row>
    <row r="9143" spans="1:2">
      <c r="A9143" s="1" t="s">
        <v>9388</v>
      </c>
      <c r="B9143" t="s">
        <v>901</v>
      </c>
    </row>
    <row r="9144" spans="1:2">
      <c r="A9144" s="1" t="s">
        <v>9389</v>
      </c>
      <c r="B9144" t="s">
        <v>901</v>
      </c>
    </row>
    <row r="9145" spans="1:2">
      <c r="A9145" s="1" t="s">
        <v>9390</v>
      </c>
      <c r="B9145" t="s">
        <v>901</v>
      </c>
    </row>
    <row r="9146" spans="1:2">
      <c r="A9146" s="1" t="s">
        <v>9391</v>
      </c>
      <c r="B9146" t="s">
        <v>901</v>
      </c>
    </row>
    <row r="9147" spans="1:2">
      <c r="A9147" s="1" t="s">
        <v>9392</v>
      </c>
      <c r="B9147" t="s">
        <v>901</v>
      </c>
    </row>
    <row r="9148" spans="1:2">
      <c r="A9148" s="1" t="s">
        <v>9393</v>
      </c>
      <c r="B9148" t="s">
        <v>901</v>
      </c>
    </row>
    <row r="9149" spans="1:2">
      <c r="A9149" s="1" t="s">
        <v>9394</v>
      </c>
      <c r="B9149" t="s">
        <v>901</v>
      </c>
    </row>
    <row r="9150" spans="1:2">
      <c r="A9150" s="1" t="s">
        <v>9395</v>
      </c>
      <c r="B9150" t="s">
        <v>901</v>
      </c>
    </row>
    <row r="9151" spans="1:2">
      <c r="A9151" s="1" t="s">
        <v>9396</v>
      </c>
      <c r="B9151" t="s">
        <v>901</v>
      </c>
    </row>
    <row r="9152" spans="1:2">
      <c r="A9152" s="1" t="s">
        <v>9397</v>
      </c>
      <c r="B9152" t="s">
        <v>901</v>
      </c>
    </row>
    <row r="9153" spans="1:2">
      <c r="A9153" s="1" t="s">
        <v>9398</v>
      </c>
      <c r="B9153" t="s">
        <v>901</v>
      </c>
    </row>
    <row r="9154" spans="1:2">
      <c r="A9154" s="1" t="s">
        <v>9399</v>
      </c>
      <c r="B9154" t="s">
        <v>901</v>
      </c>
    </row>
    <row r="9155" spans="1:2">
      <c r="A9155" s="1" t="s">
        <v>9400</v>
      </c>
      <c r="B9155" t="s">
        <v>901</v>
      </c>
    </row>
    <row r="9156" spans="1:2">
      <c r="A9156" s="1" t="s">
        <v>9401</v>
      </c>
      <c r="B9156" t="s">
        <v>901</v>
      </c>
    </row>
    <row r="9157" spans="1:2">
      <c r="A9157" s="1" t="s">
        <v>9402</v>
      </c>
      <c r="B9157" t="s">
        <v>901</v>
      </c>
    </row>
    <row r="9158" spans="1:2">
      <c r="A9158" s="1" t="s">
        <v>9403</v>
      </c>
      <c r="B9158" t="s">
        <v>901</v>
      </c>
    </row>
    <row r="9159" spans="1:2">
      <c r="A9159" s="1" t="s">
        <v>9404</v>
      </c>
      <c r="B9159" t="s">
        <v>901</v>
      </c>
    </row>
    <row r="9160" spans="1:2">
      <c r="A9160" s="1" t="s">
        <v>9405</v>
      </c>
      <c r="B9160" t="s">
        <v>901</v>
      </c>
    </row>
    <row r="9161" spans="1:2">
      <c r="A9161" s="1" t="s">
        <v>9406</v>
      </c>
      <c r="B9161" t="s">
        <v>901</v>
      </c>
    </row>
    <row r="9162" spans="1:2">
      <c r="A9162" s="1" t="s">
        <v>9407</v>
      </c>
      <c r="B9162" t="s">
        <v>901</v>
      </c>
    </row>
    <row r="9163" spans="1:2">
      <c r="A9163" s="1" t="s">
        <v>9408</v>
      </c>
      <c r="B9163" t="s">
        <v>901</v>
      </c>
    </row>
    <row r="9164" spans="1:2">
      <c r="A9164" s="1" t="s">
        <v>9409</v>
      </c>
      <c r="B9164" t="s">
        <v>901</v>
      </c>
    </row>
    <row r="9165" spans="1:2">
      <c r="A9165" s="1" t="s">
        <v>9410</v>
      </c>
      <c r="B9165" t="s">
        <v>901</v>
      </c>
    </row>
    <row r="9166" spans="1:2">
      <c r="A9166" s="1" t="s">
        <v>9411</v>
      </c>
      <c r="B9166" t="s">
        <v>901</v>
      </c>
    </row>
    <row r="9167" spans="1:2">
      <c r="A9167" s="1" t="s">
        <v>9412</v>
      </c>
      <c r="B9167" t="s">
        <v>901</v>
      </c>
    </row>
    <row r="9168" spans="1:2">
      <c r="A9168" s="1" t="s">
        <v>9413</v>
      </c>
      <c r="B9168" t="s">
        <v>901</v>
      </c>
    </row>
    <row r="9169" spans="1:2">
      <c r="A9169" s="1" t="s">
        <v>9414</v>
      </c>
      <c r="B9169" t="s">
        <v>901</v>
      </c>
    </row>
    <row r="9170" spans="1:2">
      <c r="A9170" s="1" t="s">
        <v>9415</v>
      </c>
      <c r="B9170" t="s">
        <v>10426</v>
      </c>
    </row>
    <row r="9171" spans="1:2">
      <c r="A9171" s="1" t="s">
        <v>9416</v>
      </c>
      <c r="B9171" t="s">
        <v>901</v>
      </c>
    </row>
    <row r="9172" spans="1:2">
      <c r="A9172" s="1" t="s">
        <v>9417</v>
      </c>
      <c r="B9172" t="s">
        <v>901</v>
      </c>
    </row>
    <row r="9173" spans="1:2">
      <c r="A9173" s="1" t="s">
        <v>9418</v>
      </c>
      <c r="B9173" t="s">
        <v>901</v>
      </c>
    </row>
    <row r="9174" spans="1:2">
      <c r="A9174" s="1" t="s">
        <v>9419</v>
      </c>
      <c r="B9174" t="s">
        <v>901</v>
      </c>
    </row>
    <row r="9175" spans="1:2">
      <c r="A9175" s="1" t="s">
        <v>9420</v>
      </c>
      <c r="B9175" t="s">
        <v>901</v>
      </c>
    </row>
    <row r="9176" spans="1:2">
      <c r="A9176" s="1" t="s">
        <v>9421</v>
      </c>
      <c r="B9176" t="s">
        <v>10420</v>
      </c>
    </row>
    <row r="9177" spans="1:2">
      <c r="A9177" s="1" t="s">
        <v>9422</v>
      </c>
      <c r="B9177" t="s">
        <v>901</v>
      </c>
    </row>
    <row r="9178" spans="1:2">
      <c r="A9178" s="1" t="s">
        <v>9423</v>
      </c>
      <c r="B9178" t="s">
        <v>901</v>
      </c>
    </row>
    <row r="9179" spans="1:2">
      <c r="A9179" s="1" t="s">
        <v>9424</v>
      </c>
      <c r="B9179" t="s">
        <v>901</v>
      </c>
    </row>
    <row r="9180" spans="1:2">
      <c r="A9180" s="1" t="s">
        <v>9425</v>
      </c>
      <c r="B9180" t="s">
        <v>901</v>
      </c>
    </row>
    <row r="9181" spans="1:2">
      <c r="A9181" s="1" t="s">
        <v>9426</v>
      </c>
      <c r="B9181" t="s">
        <v>901</v>
      </c>
    </row>
    <row r="9182" spans="1:2">
      <c r="A9182" s="1" t="s">
        <v>9427</v>
      </c>
      <c r="B9182" t="s">
        <v>901</v>
      </c>
    </row>
    <row r="9183" spans="1:2">
      <c r="A9183" s="1" t="s">
        <v>9428</v>
      </c>
      <c r="B9183" t="s">
        <v>901</v>
      </c>
    </row>
    <row r="9184" spans="1:2">
      <c r="A9184" s="1" t="s">
        <v>9429</v>
      </c>
      <c r="B9184" t="s">
        <v>901</v>
      </c>
    </row>
    <row r="9185" spans="1:2">
      <c r="A9185" s="1" t="s">
        <v>9430</v>
      </c>
      <c r="B9185" t="s">
        <v>901</v>
      </c>
    </row>
    <row r="9186" spans="1:2">
      <c r="A9186" s="1" t="s">
        <v>9431</v>
      </c>
      <c r="B9186" t="s">
        <v>901</v>
      </c>
    </row>
    <row r="9187" spans="1:2">
      <c r="A9187" s="1" t="s">
        <v>9432</v>
      </c>
      <c r="B9187" t="s">
        <v>901</v>
      </c>
    </row>
    <row r="9188" spans="1:2">
      <c r="A9188" s="1" t="s">
        <v>9433</v>
      </c>
      <c r="B9188" t="s">
        <v>901</v>
      </c>
    </row>
    <row r="9189" spans="1:2">
      <c r="A9189" s="1" t="s">
        <v>9434</v>
      </c>
      <c r="B9189" t="s">
        <v>901</v>
      </c>
    </row>
    <row r="9190" spans="1:2">
      <c r="A9190" s="1" t="s">
        <v>9435</v>
      </c>
      <c r="B9190" t="s">
        <v>901</v>
      </c>
    </row>
    <row r="9191" spans="1:2">
      <c r="A9191" s="1" t="s">
        <v>9436</v>
      </c>
      <c r="B9191" t="s">
        <v>901</v>
      </c>
    </row>
    <row r="9192" spans="1:2">
      <c r="A9192" s="1" t="s">
        <v>9437</v>
      </c>
      <c r="B9192" t="s">
        <v>901</v>
      </c>
    </row>
    <row r="9193" spans="1:2">
      <c r="A9193" s="1" t="s">
        <v>9438</v>
      </c>
      <c r="B9193" t="s">
        <v>901</v>
      </c>
    </row>
    <row r="9194" spans="1:2">
      <c r="A9194" s="1" t="s">
        <v>9439</v>
      </c>
      <c r="B9194" t="s">
        <v>901</v>
      </c>
    </row>
    <row r="9195" spans="1:2">
      <c r="A9195" s="1" t="s">
        <v>9440</v>
      </c>
      <c r="B9195" t="s">
        <v>901</v>
      </c>
    </row>
    <row r="9196" spans="1:2">
      <c r="A9196" s="1" t="s">
        <v>9441</v>
      </c>
      <c r="B9196" t="s">
        <v>901</v>
      </c>
    </row>
    <row r="9197" spans="1:2">
      <c r="A9197" s="1" t="s">
        <v>9442</v>
      </c>
      <c r="B9197" t="s">
        <v>901</v>
      </c>
    </row>
    <row r="9198" spans="1:2">
      <c r="A9198" s="1" t="s">
        <v>9443</v>
      </c>
      <c r="B9198" t="s">
        <v>901</v>
      </c>
    </row>
    <row r="9199" spans="1:2">
      <c r="A9199" s="1" t="s">
        <v>9444</v>
      </c>
      <c r="B9199" t="s">
        <v>901</v>
      </c>
    </row>
    <row r="9200" spans="1:2">
      <c r="A9200" s="1" t="s">
        <v>9445</v>
      </c>
      <c r="B9200" t="s">
        <v>901</v>
      </c>
    </row>
    <row r="9201" spans="1:2">
      <c r="A9201" s="1" t="s">
        <v>9446</v>
      </c>
      <c r="B9201" t="s">
        <v>901</v>
      </c>
    </row>
    <row r="9202" spans="1:2">
      <c r="A9202" s="1" t="s">
        <v>9447</v>
      </c>
      <c r="B9202" t="s">
        <v>901</v>
      </c>
    </row>
    <row r="9203" spans="1:2">
      <c r="A9203" s="1" t="s">
        <v>9448</v>
      </c>
      <c r="B9203" t="s">
        <v>901</v>
      </c>
    </row>
    <row r="9204" spans="1:2">
      <c r="A9204" s="1" t="s">
        <v>9449</v>
      </c>
      <c r="B9204" t="s">
        <v>901</v>
      </c>
    </row>
    <row r="9205" spans="1:2">
      <c r="A9205" s="1" t="s">
        <v>9450</v>
      </c>
      <c r="B9205" t="s">
        <v>901</v>
      </c>
    </row>
    <row r="9206" spans="1:2">
      <c r="A9206" s="1" t="s">
        <v>9451</v>
      </c>
      <c r="B9206" t="s">
        <v>901</v>
      </c>
    </row>
    <row r="9207" spans="1:2">
      <c r="A9207" s="1" t="s">
        <v>9452</v>
      </c>
      <c r="B9207" t="s">
        <v>901</v>
      </c>
    </row>
    <row r="9208" spans="1:2">
      <c r="A9208" s="1" t="s">
        <v>9453</v>
      </c>
      <c r="B9208" t="s">
        <v>901</v>
      </c>
    </row>
    <row r="9209" spans="1:2">
      <c r="A9209" s="1" t="s">
        <v>9454</v>
      </c>
      <c r="B9209" t="s">
        <v>901</v>
      </c>
    </row>
    <row r="9210" spans="1:2">
      <c r="A9210" s="1" t="s">
        <v>9455</v>
      </c>
      <c r="B9210" t="s">
        <v>901</v>
      </c>
    </row>
    <row r="9211" spans="1:2">
      <c r="A9211" s="1" t="s">
        <v>9456</v>
      </c>
      <c r="B9211" t="s">
        <v>901</v>
      </c>
    </row>
    <row r="9212" spans="1:2">
      <c r="A9212" s="1" t="s">
        <v>9457</v>
      </c>
      <c r="B9212" t="s">
        <v>901</v>
      </c>
    </row>
    <row r="9213" spans="1:2">
      <c r="A9213" s="1" t="s">
        <v>9458</v>
      </c>
      <c r="B9213" t="s">
        <v>901</v>
      </c>
    </row>
    <row r="9214" spans="1:2">
      <c r="A9214" s="1" t="s">
        <v>9459</v>
      </c>
      <c r="B9214" t="s">
        <v>901</v>
      </c>
    </row>
    <row r="9215" spans="1:2">
      <c r="A9215" s="1" t="s">
        <v>9460</v>
      </c>
      <c r="B9215" t="s">
        <v>901</v>
      </c>
    </row>
    <row r="9216" spans="1:2">
      <c r="A9216" s="1" t="s">
        <v>9461</v>
      </c>
      <c r="B9216" t="s">
        <v>901</v>
      </c>
    </row>
    <row r="9217" spans="1:2">
      <c r="A9217" s="1" t="s">
        <v>9462</v>
      </c>
      <c r="B9217" t="s">
        <v>901</v>
      </c>
    </row>
    <row r="9218" spans="1:2">
      <c r="A9218" s="1" t="s">
        <v>9463</v>
      </c>
      <c r="B9218" t="s">
        <v>901</v>
      </c>
    </row>
    <row r="9219" spans="1:2">
      <c r="A9219" s="1" t="s">
        <v>9464</v>
      </c>
      <c r="B9219" t="s">
        <v>901</v>
      </c>
    </row>
    <row r="9220" spans="1:2">
      <c r="A9220" s="1" t="s">
        <v>9465</v>
      </c>
      <c r="B9220" t="s">
        <v>901</v>
      </c>
    </row>
    <row r="9221" spans="1:2">
      <c r="A9221" s="1" t="s">
        <v>9466</v>
      </c>
      <c r="B9221" t="s">
        <v>901</v>
      </c>
    </row>
    <row r="9222" spans="1:2">
      <c r="A9222" s="1" t="s">
        <v>9467</v>
      </c>
      <c r="B9222" t="s">
        <v>901</v>
      </c>
    </row>
    <row r="9223" spans="1:2">
      <c r="A9223" s="1" t="s">
        <v>9468</v>
      </c>
      <c r="B9223" t="s">
        <v>901</v>
      </c>
    </row>
    <row r="9224" spans="1:2">
      <c r="A9224" s="1" t="s">
        <v>9469</v>
      </c>
      <c r="B9224" t="s">
        <v>901</v>
      </c>
    </row>
    <row r="9225" spans="1:2">
      <c r="A9225" s="1" t="s">
        <v>9470</v>
      </c>
      <c r="B9225" t="s">
        <v>901</v>
      </c>
    </row>
    <row r="9226" spans="1:2">
      <c r="A9226" s="1" t="s">
        <v>9471</v>
      </c>
      <c r="B9226" t="s">
        <v>901</v>
      </c>
    </row>
    <row r="9227" spans="1:2">
      <c r="A9227" s="1" t="s">
        <v>9472</v>
      </c>
      <c r="B9227" t="s">
        <v>901</v>
      </c>
    </row>
    <row r="9228" spans="1:2">
      <c r="A9228" s="1" t="s">
        <v>9473</v>
      </c>
      <c r="B9228" t="s">
        <v>901</v>
      </c>
    </row>
    <row r="9229" spans="1:2">
      <c r="A9229" s="1" t="s">
        <v>9474</v>
      </c>
      <c r="B9229" t="s">
        <v>901</v>
      </c>
    </row>
    <row r="9230" spans="1:2">
      <c r="A9230" s="1" t="s">
        <v>9475</v>
      </c>
      <c r="B9230" t="s">
        <v>901</v>
      </c>
    </row>
    <row r="9231" spans="1:2">
      <c r="A9231" s="1" t="s">
        <v>9476</v>
      </c>
      <c r="B9231" t="s">
        <v>901</v>
      </c>
    </row>
    <row r="9232" spans="1:2">
      <c r="A9232" s="1" t="s">
        <v>9477</v>
      </c>
      <c r="B9232" t="s">
        <v>901</v>
      </c>
    </row>
    <row r="9233" spans="1:2">
      <c r="A9233" s="1" t="s">
        <v>9478</v>
      </c>
      <c r="B9233" t="s">
        <v>901</v>
      </c>
    </row>
    <row r="9234" spans="1:2">
      <c r="A9234" s="1" t="s">
        <v>9479</v>
      </c>
      <c r="B9234" t="s">
        <v>901</v>
      </c>
    </row>
    <row r="9235" spans="1:2">
      <c r="A9235" s="1" t="s">
        <v>9480</v>
      </c>
      <c r="B9235" t="s">
        <v>901</v>
      </c>
    </row>
    <row r="9236" spans="1:2">
      <c r="A9236" s="1" t="s">
        <v>9481</v>
      </c>
      <c r="B9236" t="s">
        <v>901</v>
      </c>
    </row>
    <row r="9237" spans="1:2">
      <c r="A9237" s="1" t="s">
        <v>9482</v>
      </c>
      <c r="B9237" t="s">
        <v>901</v>
      </c>
    </row>
    <row r="9238" spans="1:2">
      <c r="A9238" s="1" t="s">
        <v>9483</v>
      </c>
      <c r="B9238" t="s">
        <v>901</v>
      </c>
    </row>
    <row r="9239" spans="1:2">
      <c r="A9239" s="1" t="s">
        <v>9484</v>
      </c>
      <c r="B9239" t="s">
        <v>901</v>
      </c>
    </row>
    <row r="9240" spans="1:2">
      <c r="A9240" s="1" t="s">
        <v>9485</v>
      </c>
      <c r="B9240" t="s">
        <v>901</v>
      </c>
    </row>
    <row r="9241" spans="1:2">
      <c r="A9241" s="1" t="s">
        <v>9486</v>
      </c>
      <c r="B9241" t="s">
        <v>901</v>
      </c>
    </row>
    <row r="9242" spans="1:2">
      <c r="A9242" s="1" t="s">
        <v>9487</v>
      </c>
      <c r="B9242" t="s">
        <v>901</v>
      </c>
    </row>
    <row r="9243" spans="1:2">
      <c r="A9243" s="1" t="s">
        <v>9488</v>
      </c>
      <c r="B9243" t="s">
        <v>901</v>
      </c>
    </row>
    <row r="9244" spans="1:2">
      <c r="A9244" s="1" t="s">
        <v>9489</v>
      </c>
      <c r="B9244" t="s">
        <v>901</v>
      </c>
    </row>
    <row r="9245" spans="1:2">
      <c r="A9245" s="1" t="s">
        <v>9490</v>
      </c>
      <c r="B9245" t="s">
        <v>901</v>
      </c>
    </row>
    <row r="9246" spans="1:2">
      <c r="A9246" s="1" t="s">
        <v>9491</v>
      </c>
      <c r="B9246" t="s">
        <v>901</v>
      </c>
    </row>
    <row r="9247" spans="1:2">
      <c r="A9247" s="1" t="s">
        <v>9492</v>
      </c>
      <c r="B9247" t="s">
        <v>901</v>
      </c>
    </row>
    <row r="9248" spans="1:2">
      <c r="A9248" s="1" t="s">
        <v>9493</v>
      </c>
      <c r="B9248" t="s">
        <v>901</v>
      </c>
    </row>
    <row r="9249" spans="1:2">
      <c r="A9249" s="1" t="s">
        <v>9494</v>
      </c>
      <c r="B9249" t="s">
        <v>901</v>
      </c>
    </row>
    <row r="9250" spans="1:2">
      <c r="A9250" s="1" t="s">
        <v>9495</v>
      </c>
      <c r="B9250" t="s">
        <v>901</v>
      </c>
    </row>
    <row r="9251" spans="1:2">
      <c r="A9251" s="1" t="s">
        <v>9496</v>
      </c>
      <c r="B9251" t="s">
        <v>901</v>
      </c>
    </row>
    <row r="9252" spans="1:2">
      <c r="A9252" s="1" t="s">
        <v>9497</v>
      </c>
      <c r="B9252" t="s">
        <v>901</v>
      </c>
    </row>
    <row r="9253" spans="1:2">
      <c r="A9253" s="1" t="s">
        <v>9498</v>
      </c>
      <c r="B9253" t="s">
        <v>901</v>
      </c>
    </row>
    <row r="9254" spans="1:2">
      <c r="A9254" s="1" t="s">
        <v>9499</v>
      </c>
      <c r="B9254" t="s">
        <v>901</v>
      </c>
    </row>
    <row r="9255" spans="1:2">
      <c r="A9255" s="1" t="s">
        <v>9500</v>
      </c>
      <c r="B9255" t="s">
        <v>901</v>
      </c>
    </row>
    <row r="9256" spans="1:2">
      <c r="A9256" s="1" t="s">
        <v>9501</v>
      </c>
      <c r="B9256" t="s">
        <v>901</v>
      </c>
    </row>
    <row r="9257" spans="1:2">
      <c r="A9257" s="1" t="s">
        <v>9502</v>
      </c>
      <c r="B9257" t="s">
        <v>901</v>
      </c>
    </row>
    <row r="9258" spans="1:2">
      <c r="A9258" s="1" t="s">
        <v>9503</v>
      </c>
      <c r="B9258" t="s">
        <v>901</v>
      </c>
    </row>
    <row r="9259" spans="1:2">
      <c r="A9259" s="1" t="s">
        <v>9504</v>
      </c>
      <c r="B9259" t="s">
        <v>901</v>
      </c>
    </row>
    <row r="9260" spans="1:2">
      <c r="A9260" s="1" t="s">
        <v>9505</v>
      </c>
      <c r="B9260" t="s">
        <v>901</v>
      </c>
    </row>
    <row r="9261" spans="1:2">
      <c r="A9261" s="1" t="s">
        <v>9506</v>
      </c>
      <c r="B9261" t="s">
        <v>901</v>
      </c>
    </row>
    <row r="9262" spans="1:2">
      <c r="A9262" s="1" t="s">
        <v>9507</v>
      </c>
      <c r="B9262" t="s">
        <v>901</v>
      </c>
    </row>
    <row r="9263" spans="1:2">
      <c r="A9263" s="1" t="s">
        <v>9508</v>
      </c>
      <c r="B9263" t="s">
        <v>901</v>
      </c>
    </row>
    <row r="9264" spans="1:2">
      <c r="A9264" s="1" t="s">
        <v>9509</v>
      </c>
      <c r="B9264" t="s">
        <v>901</v>
      </c>
    </row>
    <row r="9265" spans="1:2">
      <c r="A9265" s="1" t="s">
        <v>9510</v>
      </c>
      <c r="B9265" t="s">
        <v>901</v>
      </c>
    </row>
    <row r="9266" spans="1:2">
      <c r="A9266" s="1" t="s">
        <v>9511</v>
      </c>
      <c r="B9266" t="s">
        <v>901</v>
      </c>
    </row>
    <row r="9267" spans="1:2">
      <c r="A9267" s="1" t="s">
        <v>9512</v>
      </c>
      <c r="B9267" t="s">
        <v>901</v>
      </c>
    </row>
    <row r="9268" spans="1:2">
      <c r="A9268" s="1" t="s">
        <v>9513</v>
      </c>
      <c r="B9268" t="s">
        <v>901</v>
      </c>
    </row>
    <row r="9269" spans="1:2">
      <c r="A9269" s="1" t="s">
        <v>9514</v>
      </c>
      <c r="B9269" t="s">
        <v>901</v>
      </c>
    </row>
    <row r="9270" spans="1:2">
      <c r="A9270" s="1" t="s">
        <v>9515</v>
      </c>
      <c r="B9270" t="s">
        <v>901</v>
      </c>
    </row>
    <row r="9271" spans="1:2">
      <c r="A9271" s="1" t="s">
        <v>9516</v>
      </c>
      <c r="B9271" t="s">
        <v>901</v>
      </c>
    </row>
    <row r="9272" spans="1:2">
      <c r="A9272" s="1" t="s">
        <v>9517</v>
      </c>
      <c r="B9272" t="s">
        <v>901</v>
      </c>
    </row>
    <row r="9273" spans="1:2">
      <c r="A9273" s="1" t="s">
        <v>9518</v>
      </c>
      <c r="B9273" t="s">
        <v>901</v>
      </c>
    </row>
    <row r="9274" spans="1:2">
      <c r="A9274" s="1" t="s">
        <v>9519</v>
      </c>
      <c r="B9274" t="s">
        <v>901</v>
      </c>
    </row>
    <row r="9275" spans="1:2">
      <c r="A9275" s="1" t="s">
        <v>9520</v>
      </c>
      <c r="B9275" t="s">
        <v>901</v>
      </c>
    </row>
    <row r="9276" spans="1:2">
      <c r="A9276" s="1" t="s">
        <v>9521</v>
      </c>
      <c r="B9276" t="s">
        <v>901</v>
      </c>
    </row>
    <row r="9277" spans="1:2">
      <c r="A9277" s="1" t="s">
        <v>9522</v>
      </c>
      <c r="B9277" t="s">
        <v>901</v>
      </c>
    </row>
    <row r="9278" spans="1:2">
      <c r="A9278" s="1" t="s">
        <v>9523</v>
      </c>
      <c r="B9278" t="s">
        <v>901</v>
      </c>
    </row>
    <row r="9279" spans="1:2">
      <c r="A9279" s="1" t="s">
        <v>9524</v>
      </c>
      <c r="B9279" t="s">
        <v>901</v>
      </c>
    </row>
    <row r="9280" spans="1:2">
      <c r="A9280" s="1" t="s">
        <v>9525</v>
      </c>
      <c r="B9280" t="s">
        <v>901</v>
      </c>
    </row>
    <row r="9281" spans="1:2">
      <c r="A9281" s="1" t="s">
        <v>9526</v>
      </c>
      <c r="B9281" t="s">
        <v>901</v>
      </c>
    </row>
    <row r="9282" spans="1:2">
      <c r="A9282" s="1" t="s">
        <v>9527</v>
      </c>
      <c r="B9282" t="s">
        <v>901</v>
      </c>
    </row>
    <row r="9283" spans="1:2">
      <c r="A9283" s="1" t="s">
        <v>9528</v>
      </c>
      <c r="B9283" t="s">
        <v>901</v>
      </c>
    </row>
    <row r="9284" spans="1:2">
      <c r="A9284" s="1" t="s">
        <v>9529</v>
      </c>
      <c r="B9284" t="s">
        <v>901</v>
      </c>
    </row>
    <row r="9285" spans="1:2">
      <c r="A9285" s="1" t="s">
        <v>9530</v>
      </c>
      <c r="B9285" t="s">
        <v>901</v>
      </c>
    </row>
    <row r="9286" spans="1:2">
      <c r="A9286" s="1" t="s">
        <v>9531</v>
      </c>
      <c r="B9286" t="s">
        <v>901</v>
      </c>
    </row>
    <row r="9287" spans="1:2">
      <c r="A9287" s="1" t="s">
        <v>9532</v>
      </c>
      <c r="B9287" t="s">
        <v>901</v>
      </c>
    </row>
    <row r="9288" spans="1:2">
      <c r="A9288" s="1" t="s">
        <v>9533</v>
      </c>
      <c r="B9288" t="s">
        <v>901</v>
      </c>
    </row>
    <row r="9289" spans="1:2">
      <c r="A9289" s="1" t="s">
        <v>9534</v>
      </c>
      <c r="B9289" t="s">
        <v>901</v>
      </c>
    </row>
    <row r="9290" spans="1:2">
      <c r="A9290" s="1" t="s">
        <v>9535</v>
      </c>
      <c r="B9290" t="s">
        <v>901</v>
      </c>
    </row>
    <row r="9291" spans="1:2">
      <c r="A9291" s="1" t="s">
        <v>9536</v>
      </c>
      <c r="B9291" t="s">
        <v>901</v>
      </c>
    </row>
    <row r="9292" spans="1:2">
      <c r="A9292" s="1" t="s">
        <v>9537</v>
      </c>
      <c r="B9292" t="s">
        <v>901</v>
      </c>
    </row>
    <row r="9293" spans="1:2">
      <c r="A9293" s="1" t="s">
        <v>9538</v>
      </c>
      <c r="B9293" t="s">
        <v>901</v>
      </c>
    </row>
    <row r="9294" spans="1:2">
      <c r="A9294" s="1" t="s">
        <v>9539</v>
      </c>
      <c r="B9294" t="s">
        <v>901</v>
      </c>
    </row>
    <row r="9295" spans="1:2">
      <c r="A9295" s="1" t="s">
        <v>9540</v>
      </c>
      <c r="B9295" t="s">
        <v>901</v>
      </c>
    </row>
    <row r="9296" spans="1:2">
      <c r="A9296" s="1" t="s">
        <v>9541</v>
      </c>
      <c r="B9296" t="s">
        <v>901</v>
      </c>
    </row>
    <row r="9297" spans="1:2">
      <c r="A9297" s="1" t="s">
        <v>9542</v>
      </c>
      <c r="B9297" t="s">
        <v>901</v>
      </c>
    </row>
    <row r="9298" spans="1:2">
      <c r="A9298" s="1" t="s">
        <v>9543</v>
      </c>
      <c r="B9298" t="s">
        <v>901</v>
      </c>
    </row>
    <row r="9299" spans="1:2">
      <c r="A9299" s="1" t="s">
        <v>9544</v>
      </c>
      <c r="B9299" t="s">
        <v>901</v>
      </c>
    </row>
    <row r="9300" spans="1:2">
      <c r="A9300" s="1" t="s">
        <v>9545</v>
      </c>
      <c r="B9300" t="s">
        <v>901</v>
      </c>
    </row>
    <row r="9301" spans="1:2">
      <c r="A9301" s="1" t="s">
        <v>9546</v>
      </c>
      <c r="B9301" t="s">
        <v>901</v>
      </c>
    </row>
    <row r="9302" spans="1:2">
      <c r="A9302" s="1" t="s">
        <v>9547</v>
      </c>
      <c r="B9302" t="s">
        <v>901</v>
      </c>
    </row>
    <row r="9303" spans="1:2">
      <c r="A9303" s="1" t="s">
        <v>9548</v>
      </c>
      <c r="B9303" t="s">
        <v>901</v>
      </c>
    </row>
    <row r="9304" spans="1:2">
      <c r="A9304" s="1" t="s">
        <v>9549</v>
      </c>
      <c r="B9304" t="s">
        <v>901</v>
      </c>
    </row>
    <row r="9305" spans="1:2">
      <c r="A9305" s="1" t="s">
        <v>9550</v>
      </c>
      <c r="B9305" t="s">
        <v>901</v>
      </c>
    </row>
    <row r="9306" spans="1:2">
      <c r="A9306" s="1" t="s">
        <v>9551</v>
      </c>
      <c r="B9306" t="s">
        <v>901</v>
      </c>
    </row>
    <row r="9307" spans="1:2">
      <c r="A9307" s="1" t="s">
        <v>9552</v>
      </c>
      <c r="B9307" t="s">
        <v>901</v>
      </c>
    </row>
    <row r="9308" spans="1:2">
      <c r="A9308" s="1" t="s">
        <v>9553</v>
      </c>
      <c r="B9308" t="s">
        <v>901</v>
      </c>
    </row>
    <row r="9309" spans="1:2">
      <c r="A9309" s="1" t="s">
        <v>9554</v>
      </c>
      <c r="B9309" t="s">
        <v>901</v>
      </c>
    </row>
    <row r="9310" spans="1:2">
      <c r="A9310" s="1" t="s">
        <v>9555</v>
      </c>
      <c r="B9310" t="s">
        <v>901</v>
      </c>
    </row>
    <row r="9311" spans="1:2">
      <c r="A9311" s="1" t="s">
        <v>9556</v>
      </c>
      <c r="B9311" t="s">
        <v>901</v>
      </c>
    </row>
    <row r="9312" spans="1:2">
      <c r="A9312" s="1" t="s">
        <v>9557</v>
      </c>
      <c r="B9312" t="s">
        <v>901</v>
      </c>
    </row>
    <row r="9313" spans="1:2">
      <c r="A9313" s="1" t="s">
        <v>9558</v>
      </c>
      <c r="B9313" t="s">
        <v>901</v>
      </c>
    </row>
    <row r="9314" spans="1:2">
      <c r="A9314" s="1" t="s">
        <v>9559</v>
      </c>
      <c r="B9314" t="s">
        <v>901</v>
      </c>
    </row>
    <row r="9315" spans="1:2">
      <c r="A9315" s="1" t="s">
        <v>9560</v>
      </c>
      <c r="B9315" t="s">
        <v>901</v>
      </c>
    </row>
    <row r="9316" spans="1:2">
      <c r="A9316" s="1" t="s">
        <v>9561</v>
      </c>
      <c r="B9316" t="s">
        <v>901</v>
      </c>
    </row>
    <row r="9317" spans="1:2">
      <c r="A9317" s="1" t="s">
        <v>9562</v>
      </c>
      <c r="B9317" t="s">
        <v>901</v>
      </c>
    </row>
    <row r="9318" spans="1:2">
      <c r="A9318" s="1" t="s">
        <v>9563</v>
      </c>
      <c r="B9318" t="s">
        <v>901</v>
      </c>
    </row>
    <row r="9319" spans="1:2">
      <c r="A9319" s="1" t="s">
        <v>9564</v>
      </c>
      <c r="B9319" t="s">
        <v>901</v>
      </c>
    </row>
    <row r="9320" spans="1:2">
      <c r="A9320" s="1" t="s">
        <v>9565</v>
      </c>
      <c r="B9320" t="s">
        <v>901</v>
      </c>
    </row>
    <row r="9321" spans="1:2">
      <c r="A9321" s="1" t="s">
        <v>9566</v>
      </c>
      <c r="B9321" t="s">
        <v>901</v>
      </c>
    </row>
    <row r="9322" spans="1:2">
      <c r="A9322" s="1" t="s">
        <v>9567</v>
      </c>
      <c r="B9322" t="s">
        <v>901</v>
      </c>
    </row>
    <row r="9323" spans="1:2">
      <c r="A9323" s="1" t="s">
        <v>9568</v>
      </c>
      <c r="B9323" t="s">
        <v>901</v>
      </c>
    </row>
    <row r="9324" spans="1:2">
      <c r="A9324" s="1" t="s">
        <v>9569</v>
      </c>
      <c r="B9324" t="s">
        <v>901</v>
      </c>
    </row>
    <row r="9325" spans="1:2">
      <c r="A9325" s="1" t="s">
        <v>9570</v>
      </c>
      <c r="B9325" t="s">
        <v>901</v>
      </c>
    </row>
    <row r="9326" spans="1:2">
      <c r="A9326" s="1" t="s">
        <v>9571</v>
      </c>
      <c r="B9326" t="s">
        <v>901</v>
      </c>
    </row>
    <row r="9327" spans="1:2">
      <c r="A9327" s="1" t="s">
        <v>9572</v>
      </c>
      <c r="B9327" t="s">
        <v>901</v>
      </c>
    </row>
    <row r="9328" spans="1:2">
      <c r="A9328" s="1" t="s">
        <v>9573</v>
      </c>
      <c r="B9328" t="s">
        <v>901</v>
      </c>
    </row>
    <row r="9329" spans="1:2">
      <c r="A9329" s="1" t="s">
        <v>9574</v>
      </c>
      <c r="B9329" t="s">
        <v>901</v>
      </c>
    </row>
    <row r="9330" spans="1:2">
      <c r="A9330" s="1" t="s">
        <v>9575</v>
      </c>
      <c r="B9330" t="s">
        <v>901</v>
      </c>
    </row>
    <row r="9331" spans="1:2">
      <c r="A9331" s="1" t="s">
        <v>9576</v>
      </c>
      <c r="B9331" t="s">
        <v>901</v>
      </c>
    </row>
    <row r="9332" spans="1:2">
      <c r="A9332" s="1" t="s">
        <v>9577</v>
      </c>
      <c r="B9332" t="s">
        <v>901</v>
      </c>
    </row>
    <row r="9333" spans="1:2">
      <c r="A9333" s="1" t="s">
        <v>9578</v>
      </c>
      <c r="B9333" t="s">
        <v>901</v>
      </c>
    </row>
    <row r="9334" spans="1:2">
      <c r="A9334" s="1" t="s">
        <v>9579</v>
      </c>
      <c r="B9334" t="s">
        <v>901</v>
      </c>
    </row>
    <row r="9335" spans="1:2">
      <c r="A9335" s="1" t="s">
        <v>9580</v>
      </c>
      <c r="B9335" t="s">
        <v>901</v>
      </c>
    </row>
    <row r="9336" spans="1:2">
      <c r="A9336" s="1" t="s">
        <v>9581</v>
      </c>
      <c r="B9336" t="s">
        <v>901</v>
      </c>
    </row>
    <row r="9337" spans="1:2">
      <c r="A9337" s="1" t="s">
        <v>9582</v>
      </c>
      <c r="B9337" t="s">
        <v>901</v>
      </c>
    </row>
    <row r="9338" spans="1:2">
      <c r="A9338" s="1" t="s">
        <v>9583</v>
      </c>
      <c r="B9338" t="s">
        <v>901</v>
      </c>
    </row>
    <row r="9339" spans="1:2">
      <c r="A9339" s="1" t="s">
        <v>9584</v>
      </c>
      <c r="B9339" t="s">
        <v>901</v>
      </c>
    </row>
    <row r="9340" spans="1:2">
      <c r="A9340" s="1" t="s">
        <v>9585</v>
      </c>
      <c r="B9340" t="s">
        <v>10378</v>
      </c>
    </row>
    <row r="9341" spans="1:2">
      <c r="A9341" s="1" t="s">
        <v>9586</v>
      </c>
      <c r="B9341" t="s">
        <v>901</v>
      </c>
    </row>
    <row r="9342" spans="1:2">
      <c r="A9342" s="1" t="s">
        <v>9587</v>
      </c>
      <c r="B9342" t="s">
        <v>901</v>
      </c>
    </row>
    <row r="9343" spans="1:2">
      <c r="A9343" s="1" t="s">
        <v>9588</v>
      </c>
      <c r="B9343" t="s">
        <v>901</v>
      </c>
    </row>
    <row r="9344" spans="1:2">
      <c r="A9344" s="1" t="s">
        <v>9589</v>
      </c>
      <c r="B9344" t="s">
        <v>901</v>
      </c>
    </row>
    <row r="9345" spans="1:2">
      <c r="A9345" s="1" t="s">
        <v>9590</v>
      </c>
      <c r="B9345" t="s">
        <v>901</v>
      </c>
    </row>
    <row r="9346" spans="1:2">
      <c r="A9346" s="1" t="s">
        <v>9591</v>
      </c>
      <c r="B9346" t="s">
        <v>901</v>
      </c>
    </row>
    <row r="9347" spans="1:2">
      <c r="A9347" s="1" t="s">
        <v>9592</v>
      </c>
      <c r="B9347" t="s">
        <v>901</v>
      </c>
    </row>
    <row r="9348" spans="1:2">
      <c r="A9348" s="1" t="s">
        <v>9593</v>
      </c>
      <c r="B9348" t="s">
        <v>901</v>
      </c>
    </row>
    <row r="9349" spans="1:2">
      <c r="A9349" s="1" t="s">
        <v>9594</v>
      </c>
      <c r="B9349" t="s">
        <v>901</v>
      </c>
    </row>
    <row r="9350" spans="1:2">
      <c r="A9350" s="1" t="s">
        <v>9595</v>
      </c>
      <c r="B9350" t="s">
        <v>901</v>
      </c>
    </row>
    <row r="9351" spans="1:2">
      <c r="A9351" s="1" t="s">
        <v>9596</v>
      </c>
      <c r="B9351" t="s">
        <v>901</v>
      </c>
    </row>
    <row r="9352" spans="1:2">
      <c r="A9352" s="1" t="s">
        <v>9597</v>
      </c>
      <c r="B9352" t="s">
        <v>901</v>
      </c>
    </row>
    <row r="9353" spans="1:2">
      <c r="A9353" s="1" t="s">
        <v>9598</v>
      </c>
      <c r="B9353" t="s">
        <v>901</v>
      </c>
    </row>
    <row r="9354" spans="1:2">
      <c r="A9354" s="1" t="s">
        <v>9599</v>
      </c>
      <c r="B9354" t="s">
        <v>901</v>
      </c>
    </row>
    <row r="9355" spans="1:2">
      <c r="A9355" s="1" t="s">
        <v>9600</v>
      </c>
      <c r="B9355" t="s">
        <v>901</v>
      </c>
    </row>
    <row r="9356" spans="1:2">
      <c r="A9356" s="1" t="s">
        <v>9601</v>
      </c>
      <c r="B9356" t="s">
        <v>901</v>
      </c>
    </row>
    <row r="9357" spans="1:2">
      <c r="A9357" s="1" t="s">
        <v>9602</v>
      </c>
      <c r="B9357" t="s">
        <v>901</v>
      </c>
    </row>
    <row r="9358" spans="1:2">
      <c r="A9358" s="1" t="s">
        <v>9603</v>
      </c>
      <c r="B9358" t="s">
        <v>901</v>
      </c>
    </row>
    <row r="9359" spans="1:2">
      <c r="A9359" s="1" t="s">
        <v>9604</v>
      </c>
      <c r="B9359" t="s">
        <v>901</v>
      </c>
    </row>
    <row r="9360" spans="1:2">
      <c r="A9360" s="1" t="s">
        <v>9605</v>
      </c>
      <c r="B9360" t="s">
        <v>901</v>
      </c>
    </row>
    <row r="9361" spans="1:2">
      <c r="A9361" s="1" t="s">
        <v>9606</v>
      </c>
      <c r="B9361" t="s">
        <v>901</v>
      </c>
    </row>
    <row r="9362" spans="1:2">
      <c r="A9362" s="1" t="s">
        <v>9607</v>
      </c>
      <c r="B9362" t="s">
        <v>901</v>
      </c>
    </row>
    <row r="9363" spans="1:2">
      <c r="A9363" s="1" t="s">
        <v>9608</v>
      </c>
      <c r="B9363" t="s">
        <v>901</v>
      </c>
    </row>
    <row r="9364" spans="1:2">
      <c r="A9364" s="1" t="s">
        <v>9609</v>
      </c>
      <c r="B9364" t="s">
        <v>901</v>
      </c>
    </row>
    <row r="9365" spans="1:2">
      <c r="A9365" s="1" t="s">
        <v>9610</v>
      </c>
      <c r="B9365" t="s">
        <v>901</v>
      </c>
    </row>
    <row r="9366" spans="1:2">
      <c r="A9366" s="1" t="s">
        <v>9611</v>
      </c>
      <c r="B9366" t="s">
        <v>901</v>
      </c>
    </row>
    <row r="9367" spans="1:2">
      <c r="A9367" s="1" t="s">
        <v>9612</v>
      </c>
      <c r="B9367" t="s">
        <v>901</v>
      </c>
    </row>
    <row r="9368" spans="1:2">
      <c r="A9368" s="1" t="s">
        <v>9613</v>
      </c>
      <c r="B9368" t="s">
        <v>901</v>
      </c>
    </row>
    <row r="9369" spans="1:2">
      <c r="A9369" s="1" t="s">
        <v>9614</v>
      </c>
      <c r="B9369" t="s">
        <v>901</v>
      </c>
    </row>
    <row r="9370" spans="1:2">
      <c r="A9370" s="1" t="s">
        <v>9615</v>
      </c>
      <c r="B9370" t="s">
        <v>901</v>
      </c>
    </row>
    <row r="9371" spans="1:2">
      <c r="A9371" s="1" t="s">
        <v>9616</v>
      </c>
      <c r="B9371" t="s">
        <v>901</v>
      </c>
    </row>
    <row r="9372" spans="1:2">
      <c r="A9372" s="1" t="s">
        <v>9617</v>
      </c>
      <c r="B9372" t="s">
        <v>901</v>
      </c>
    </row>
    <row r="9373" spans="1:2">
      <c r="A9373" s="1" t="s">
        <v>9618</v>
      </c>
      <c r="B9373" t="s">
        <v>901</v>
      </c>
    </row>
    <row r="9374" spans="1:2">
      <c r="A9374" s="1" t="s">
        <v>9619</v>
      </c>
      <c r="B9374" t="s">
        <v>901</v>
      </c>
    </row>
    <row r="9375" spans="1:2">
      <c r="A9375" s="1" t="s">
        <v>9620</v>
      </c>
      <c r="B9375" t="s">
        <v>901</v>
      </c>
    </row>
    <row r="9376" spans="1:2">
      <c r="A9376" s="1" t="s">
        <v>9621</v>
      </c>
      <c r="B9376" t="s">
        <v>901</v>
      </c>
    </row>
    <row r="9377" spans="1:2">
      <c r="A9377" s="1" t="s">
        <v>9622</v>
      </c>
      <c r="B9377" t="s">
        <v>901</v>
      </c>
    </row>
    <row r="9378" spans="1:2">
      <c r="A9378" s="1" t="s">
        <v>9623</v>
      </c>
      <c r="B9378" t="s">
        <v>901</v>
      </c>
    </row>
    <row r="9379" spans="1:2">
      <c r="A9379" s="1" t="s">
        <v>9624</v>
      </c>
      <c r="B9379" t="s">
        <v>901</v>
      </c>
    </row>
    <row r="9380" spans="1:2">
      <c r="A9380" s="1" t="s">
        <v>9625</v>
      </c>
      <c r="B9380" t="s">
        <v>901</v>
      </c>
    </row>
    <row r="9381" spans="1:2">
      <c r="A9381" s="1" t="s">
        <v>9626</v>
      </c>
      <c r="B9381" t="s">
        <v>901</v>
      </c>
    </row>
    <row r="9382" spans="1:2">
      <c r="A9382" s="1" t="s">
        <v>9627</v>
      </c>
      <c r="B9382" t="s">
        <v>901</v>
      </c>
    </row>
    <row r="9383" spans="1:2">
      <c r="A9383" s="1" t="s">
        <v>9628</v>
      </c>
      <c r="B9383" t="s">
        <v>901</v>
      </c>
    </row>
    <row r="9384" spans="1:2">
      <c r="A9384" s="1" t="s">
        <v>9629</v>
      </c>
      <c r="B9384" t="s">
        <v>901</v>
      </c>
    </row>
    <row r="9385" spans="1:2">
      <c r="A9385" s="1" t="s">
        <v>9630</v>
      </c>
      <c r="B9385" t="s">
        <v>901</v>
      </c>
    </row>
    <row r="9386" spans="1:2">
      <c r="A9386" s="1" t="s">
        <v>9631</v>
      </c>
      <c r="B9386" t="s">
        <v>901</v>
      </c>
    </row>
    <row r="9387" spans="1:2">
      <c r="A9387" s="1" t="s">
        <v>9632</v>
      </c>
      <c r="B9387" t="s">
        <v>901</v>
      </c>
    </row>
    <row r="9388" spans="1:2">
      <c r="A9388" s="1" t="s">
        <v>9633</v>
      </c>
      <c r="B9388" t="s">
        <v>901</v>
      </c>
    </row>
    <row r="9389" spans="1:2">
      <c r="A9389" s="1" t="s">
        <v>9634</v>
      </c>
      <c r="B9389" t="s">
        <v>901</v>
      </c>
    </row>
    <row r="9390" spans="1:2">
      <c r="A9390" s="1" t="s">
        <v>9635</v>
      </c>
      <c r="B9390" t="s">
        <v>901</v>
      </c>
    </row>
    <row r="9391" spans="1:2">
      <c r="A9391" s="1" t="s">
        <v>9636</v>
      </c>
      <c r="B9391" t="s">
        <v>901</v>
      </c>
    </row>
    <row r="9392" spans="1:2">
      <c r="A9392" s="1" t="s">
        <v>9637</v>
      </c>
      <c r="B9392" t="s">
        <v>901</v>
      </c>
    </row>
    <row r="9393" spans="1:2">
      <c r="A9393" s="1" t="s">
        <v>9638</v>
      </c>
      <c r="B9393" t="s">
        <v>901</v>
      </c>
    </row>
    <row r="9394" spans="1:2">
      <c r="A9394" s="1" t="s">
        <v>9639</v>
      </c>
      <c r="B9394" t="s">
        <v>901</v>
      </c>
    </row>
    <row r="9395" spans="1:2">
      <c r="A9395" s="1" t="s">
        <v>9640</v>
      </c>
      <c r="B9395" t="s">
        <v>901</v>
      </c>
    </row>
    <row r="9396" spans="1:2">
      <c r="A9396" s="1" t="s">
        <v>9641</v>
      </c>
      <c r="B9396" t="s">
        <v>901</v>
      </c>
    </row>
    <row r="9397" spans="1:2">
      <c r="A9397" s="1" t="s">
        <v>9642</v>
      </c>
      <c r="B9397" t="s">
        <v>901</v>
      </c>
    </row>
    <row r="9398" spans="1:2">
      <c r="A9398" s="1" t="s">
        <v>9643</v>
      </c>
      <c r="B9398" t="s">
        <v>901</v>
      </c>
    </row>
    <row r="9399" spans="1:2">
      <c r="A9399" s="1" t="s">
        <v>9644</v>
      </c>
      <c r="B9399" t="s">
        <v>901</v>
      </c>
    </row>
    <row r="9400" spans="1:2">
      <c r="A9400" s="1" t="s">
        <v>9645</v>
      </c>
      <c r="B9400" t="s">
        <v>901</v>
      </c>
    </row>
    <row r="9401" spans="1:2">
      <c r="A9401" s="1" t="s">
        <v>9646</v>
      </c>
      <c r="B9401" t="s">
        <v>901</v>
      </c>
    </row>
    <row r="9402" spans="1:2">
      <c r="A9402" s="1" t="s">
        <v>9647</v>
      </c>
      <c r="B9402" t="s">
        <v>901</v>
      </c>
    </row>
    <row r="9403" spans="1:2">
      <c r="A9403" s="1" t="s">
        <v>9648</v>
      </c>
      <c r="B9403" t="s">
        <v>901</v>
      </c>
    </row>
    <row r="9404" spans="1:2">
      <c r="A9404" s="1" t="s">
        <v>9649</v>
      </c>
      <c r="B9404" t="s">
        <v>901</v>
      </c>
    </row>
    <row r="9405" spans="1:2">
      <c r="A9405" s="1" t="s">
        <v>9650</v>
      </c>
      <c r="B9405" t="s">
        <v>901</v>
      </c>
    </row>
    <row r="9406" spans="1:2">
      <c r="A9406" s="1" t="s">
        <v>9651</v>
      </c>
      <c r="B9406" t="s">
        <v>901</v>
      </c>
    </row>
    <row r="9407" spans="1:2">
      <c r="A9407" s="1" t="s">
        <v>9652</v>
      </c>
      <c r="B9407" t="s">
        <v>901</v>
      </c>
    </row>
    <row r="9408" spans="1:2">
      <c r="A9408" s="1" t="s">
        <v>9653</v>
      </c>
      <c r="B9408" t="s">
        <v>901</v>
      </c>
    </row>
    <row r="9409" spans="1:2">
      <c r="A9409" s="1" t="s">
        <v>9654</v>
      </c>
      <c r="B9409" t="s">
        <v>901</v>
      </c>
    </row>
    <row r="9410" spans="1:2">
      <c r="A9410" s="1" t="s">
        <v>9655</v>
      </c>
      <c r="B9410" t="s">
        <v>901</v>
      </c>
    </row>
    <row r="9411" spans="1:2">
      <c r="A9411" s="1" t="s">
        <v>9656</v>
      </c>
      <c r="B9411" t="s">
        <v>901</v>
      </c>
    </row>
    <row r="9412" spans="1:2">
      <c r="A9412" s="1" t="s">
        <v>9657</v>
      </c>
      <c r="B9412" t="s">
        <v>901</v>
      </c>
    </row>
    <row r="9413" spans="1:2">
      <c r="A9413" s="1" t="s">
        <v>9658</v>
      </c>
      <c r="B9413" t="s">
        <v>901</v>
      </c>
    </row>
    <row r="9414" spans="1:2">
      <c r="A9414" s="1" t="s">
        <v>9659</v>
      </c>
      <c r="B9414" t="s">
        <v>901</v>
      </c>
    </row>
    <row r="9415" spans="1:2">
      <c r="A9415" s="1" t="s">
        <v>9660</v>
      </c>
      <c r="B9415" t="s">
        <v>901</v>
      </c>
    </row>
    <row r="9416" spans="1:2">
      <c r="A9416" s="1" t="s">
        <v>9661</v>
      </c>
      <c r="B9416" t="s">
        <v>901</v>
      </c>
    </row>
    <row r="9417" spans="1:2">
      <c r="A9417" s="1" t="s">
        <v>9662</v>
      </c>
      <c r="B9417" t="s">
        <v>901</v>
      </c>
    </row>
    <row r="9418" spans="1:2">
      <c r="A9418" s="1" t="s">
        <v>9663</v>
      </c>
      <c r="B9418" t="s">
        <v>901</v>
      </c>
    </row>
    <row r="9419" spans="1:2">
      <c r="A9419" s="1" t="s">
        <v>9664</v>
      </c>
      <c r="B9419" t="s">
        <v>901</v>
      </c>
    </row>
    <row r="9420" spans="1:2">
      <c r="A9420" s="1" t="s">
        <v>9665</v>
      </c>
      <c r="B9420" t="s">
        <v>901</v>
      </c>
    </row>
    <row r="9421" spans="1:2">
      <c r="A9421" s="1" t="s">
        <v>9666</v>
      </c>
      <c r="B9421" t="s">
        <v>901</v>
      </c>
    </row>
    <row r="9422" spans="1:2">
      <c r="A9422" s="1" t="s">
        <v>9667</v>
      </c>
      <c r="B9422" t="s">
        <v>901</v>
      </c>
    </row>
    <row r="9423" spans="1:2">
      <c r="A9423" s="1" t="s">
        <v>9668</v>
      </c>
      <c r="B9423" t="s">
        <v>901</v>
      </c>
    </row>
    <row r="9424" spans="1:2">
      <c r="A9424" s="1" t="s">
        <v>9669</v>
      </c>
      <c r="B9424" t="s">
        <v>901</v>
      </c>
    </row>
    <row r="9425" spans="1:2">
      <c r="A9425" s="1" t="s">
        <v>9670</v>
      </c>
      <c r="B9425" t="s">
        <v>901</v>
      </c>
    </row>
    <row r="9426" spans="1:2">
      <c r="A9426" s="1" t="s">
        <v>9671</v>
      </c>
      <c r="B9426" t="s">
        <v>901</v>
      </c>
    </row>
    <row r="9427" spans="1:2">
      <c r="A9427" s="1" t="s">
        <v>9672</v>
      </c>
      <c r="B9427" t="s">
        <v>901</v>
      </c>
    </row>
    <row r="9428" spans="1:2">
      <c r="A9428" s="1" t="s">
        <v>9673</v>
      </c>
      <c r="B9428" t="s">
        <v>901</v>
      </c>
    </row>
    <row r="9429" spans="1:2">
      <c r="A9429" s="1" t="s">
        <v>9674</v>
      </c>
      <c r="B9429" t="s">
        <v>901</v>
      </c>
    </row>
    <row r="9430" spans="1:2">
      <c r="A9430" s="1" t="s">
        <v>9675</v>
      </c>
      <c r="B9430" t="s">
        <v>901</v>
      </c>
    </row>
    <row r="9431" spans="1:2">
      <c r="A9431" s="1" t="s">
        <v>9676</v>
      </c>
      <c r="B9431" t="s">
        <v>901</v>
      </c>
    </row>
    <row r="9432" spans="1:2">
      <c r="A9432" s="1" t="s">
        <v>9677</v>
      </c>
      <c r="B9432" t="s">
        <v>901</v>
      </c>
    </row>
    <row r="9433" spans="1:2">
      <c r="A9433" s="1" t="s">
        <v>9678</v>
      </c>
      <c r="B9433" t="s">
        <v>901</v>
      </c>
    </row>
    <row r="9434" spans="1:2">
      <c r="A9434" s="1" t="s">
        <v>9679</v>
      </c>
      <c r="B9434" t="s">
        <v>901</v>
      </c>
    </row>
    <row r="9435" spans="1:2">
      <c r="A9435" s="1" t="s">
        <v>9680</v>
      </c>
      <c r="B9435" t="s">
        <v>901</v>
      </c>
    </row>
    <row r="9436" spans="1:2">
      <c r="A9436" s="1" t="s">
        <v>9681</v>
      </c>
      <c r="B9436" t="s">
        <v>901</v>
      </c>
    </row>
    <row r="9437" spans="1:2">
      <c r="A9437" s="1" t="s">
        <v>9682</v>
      </c>
      <c r="B9437" t="s">
        <v>901</v>
      </c>
    </row>
    <row r="9438" spans="1:2">
      <c r="A9438" s="1" t="s">
        <v>9683</v>
      </c>
      <c r="B9438" t="s">
        <v>901</v>
      </c>
    </row>
    <row r="9439" spans="1:2">
      <c r="A9439" s="1" t="s">
        <v>9684</v>
      </c>
      <c r="B9439" t="s">
        <v>901</v>
      </c>
    </row>
    <row r="9440" spans="1:2">
      <c r="A9440" s="1" t="s">
        <v>9685</v>
      </c>
      <c r="B9440" t="s">
        <v>901</v>
      </c>
    </row>
    <row r="9441" spans="1:2">
      <c r="A9441" s="1" t="s">
        <v>9686</v>
      </c>
      <c r="B9441" t="s">
        <v>901</v>
      </c>
    </row>
    <row r="9442" spans="1:2">
      <c r="A9442" s="1" t="s">
        <v>9687</v>
      </c>
      <c r="B9442" t="s">
        <v>901</v>
      </c>
    </row>
    <row r="9443" spans="1:2">
      <c r="A9443" s="1" t="s">
        <v>9688</v>
      </c>
      <c r="B9443" t="s">
        <v>901</v>
      </c>
    </row>
    <row r="9444" spans="1:2">
      <c r="A9444" s="1" t="s">
        <v>9689</v>
      </c>
      <c r="B9444" t="s">
        <v>901</v>
      </c>
    </row>
    <row r="9445" spans="1:2">
      <c r="A9445" s="1" t="s">
        <v>9690</v>
      </c>
      <c r="B9445" t="s">
        <v>901</v>
      </c>
    </row>
    <row r="9446" spans="1:2">
      <c r="A9446" s="1" t="s">
        <v>9691</v>
      </c>
      <c r="B9446" t="s">
        <v>901</v>
      </c>
    </row>
    <row r="9447" spans="1:2">
      <c r="A9447" s="1" t="s">
        <v>9692</v>
      </c>
      <c r="B9447" t="s">
        <v>901</v>
      </c>
    </row>
    <row r="9448" spans="1:2">
      <c r="A9448" s="1" t="s">
        <v>9693</v>
      </c>
      <c r="B9448" t="s">
        <v>901</v>
      </c>
    </row>
    <row r="9449" spans="1:2">
      <c r="A9449" s="1" t="s">
        <v>9694</v>
      </c>
      <c r="B9449" t="s">
        <v>901</v>
      </c>
    </row>
    <row r="9450" spans="1:2">
      <c r="A9450" s="1" t="s">
        <v>9695</v>
      </c>
      <c r="B9450" t="s">
        <v>901</v>
      </c>
    </row>
    <row r="9451" spans="1:2">
      <c r="A9451" s="1" t="s">
        <v>9696</v>
      </c>
      <c r="B9451" t="s">
        <v>901</v>
      </c>
    </row>
    <row r="9452" spans="1:2">
      <c r="A9452" s="1" t="s">
        <v>9697</v>
      </c>
      <c r="B9452" t="s">
        <v>901</v>
      </c>
    </row>
    <row r="9453" spans="1:2">
      <c r="A9453" s="1" t="s">
        <v>9698</v>
      </c>
      <c r="B9453" t="s">
        <v>901</v>
      </c>
    </row>
    <row r="9454" spans="1:2">
      <c r="A9454" s="1" t="s">
        <v>9699</v>
      </c>
      <c r="B9454" t="s">
        <v>901</v>
      </c>
    </row>
    <row r="9455" spans="1:2">
      <c r="A9455" s="1" t="s">
        <v>9700</v>
      </c>
      <c r="B9455" t="s">
        <v>901</v>
      </c>
    </row>
    <row r="9456" spans="1:2">
      <c r="A9456" s="1" t="s">
        <v>9701</v>
      </c>
      <c r="B9456" t="s">
        <v>901</v>
      </c>
    </row>
    <row r="9457" spans="1:2">
      <c r="A9457" s="1" t="s">
        <v>9702</v>
      </c>
      <c r="B9457" t="s">
        <v>901</v>
      </c>
    </row>
    <row r="9458" spans="1:2">
      <c r="A9458" s="1" t="s">
        <v>9703</v>
      </c>
      <c r="B9458" t="s">
        <v>901</v>
      </c>
    </row>
    <row r="9459" spans="1:2">
      <c r="A9459" s="1" t="s">
        <v>9704</v>
      </c>
      <c r="B9459" t="s">
        <v>901</v>
      </c>
    </row>
    <row r="9460" spans="1:2">
      <c r="A9460" s="1" t="s">
        <v>9705</v>
      </c>
      <c r="B9460" t="s">
        <v>901</v>
      </c>
    </row>
    <row r="9461" spans="1:2">
      <c r="A9461" s="1" t="s">
        <v>9706</v>
      </c>
      <c r="B9461" t="s">
        <v>901</v>
      </c>
    </row>
    <row r="9462" spans="1:2">
      <c r="A9462" s="1" t="s">
        <v>9707</v>
      </c>
      <c r="B9462" t="s">
        <v>901</v>
      </c>
    </row>
    <row r="9463" spans="1:2">
      <c r="A9463" s="1" t="s">
        <v>9708</v>
      </c>
      <c r="B9463" t="s">
        <v>901</v>
      </c>
    </row>
    <row r="9464" spans="1:2">
      <c r="A9464" s="1" t="s">
        <v>9709</v>
      </c>
      <c r="B9464" t="s">
        <v>901</v>
      </c>
    </row>
    <row r="9465" spans="1:2">
      <c r="A9465" s="1" t="s">
        <v>9710</v>
      </c>
      <c r="B9465" t="s">
        <v>901</v>
      </c>
    </row>
    <row r="9466" spans="1:2">
      <c r="A9466" s="1" t="s">
        <v>9711</v>
      </c>
      <c r="B9466" t="s">
        <v>901</v>
      </c>
    </row>
    <row r="9467" spans="1:2">
      <c r="A9467" s="1" t="s">
        <v>9712</v>
      </c>
      <c r="B9467" t="s">
        <v>901</v>
      </c>
    </row>
    <row r="9468" spans="1:2">
      <c r="A9468" s="1" t="s">
        <v>9713</v>
      </c>
      <c r="B9468" t="s">
        <v>901</v>
      </c>
    </row>
    <row r="9469" spans="1:2">
      <c r="A9469" s="1" t="s">
        <v>9714</v>
      </c>
      <c r="B9469" t="s">
        <v>901</v>
      </c>
    </row>
    <row r="9470" spans="1:2">
      <c r="A9470" s="1" t="s">
        <v>9715</v>
      </c>
      <c r="B9470" t="s">
        <v>901</v>
      </c>
    </row>
    <row r="9471" spans="1:2">
      <c r="A9471" s="1" t="s">
        <v>9716</v>
      </c>
      <c r="B9471" t="s">
        <v>901</v>
      </c>
    </row>
    <row r="9472" spans="1:2">
      <c r="A9472" s="1" t="s">
        <v>9717</v>
      </c>
      <c r="B9472" t="s">
        <v>901</v>
      </c>
    </row>
    <row r="9473" spans="1:2">
      <c r="A9473" s="1" t="s">
        <v>9718</v>
      </c>
      <c r="B9473" t="s">
        <v>901</v>
      </c>
    </row>
    <row r="9474" spans="1:2">
      <c r="A9474" s="1" t="s">
        <v>9719</v>
      </c>
      <c r="B9474" t="s">
        <v>901</v>
      </c>
    </row>
    <row r="9475" spans="1:2">
      <c r="A9475" s="1" t="s">
        <v>9720</v>
      </c>
      <c r="B9475" t="s">
        <v>901</v>
      </c>
    </row>
    <row r="9476" spans="1:2">
      <c r="A9476" s="1" t="s">
        <v>9721</v>
      </c>
      <c r="B9476" t="s">
        <v>901</v>
      </c>
    </row>
    <row r="9477" spans="1:2">
      <c r="A9477" s="1" t="s">
        <v>9722</v>
      </c>
      <c r="B9477" t="s">
        <v>901</v>
      </c>
    </row>
    <row r="9478" spans="1:2">
      <c r="A9478" s="1" t="s">
        <v>9723</v>
      </c>
      <c r="B9478" t="s">
        <v>901</v>
      </c>
    </row>
    <row r="9479" spans="1:2">
      <c r="A9479" s="1" t="s">
        <v>9724</v>
      </c>
      <c r="B9479" t="s">
        <v>901</v>
      </c>
    </row>
    <row r="9480" spans="1:2">
      <c r="A9480" s="1" t="s">
        <v>9725</v>
      </c>
      <c r="B9480" t="s">
        <v>901</v>
      </c>
    </row>
    <row r="9481" spans="1:2">
      <c r="A9481" s="1" t="s">
        <v>9726</v>
      </c>
      <c r="B9481" t="s">
        <v>901</v>
      </c>
    </row>
    <row r="9482" spans="1:2">
      <c r="A9482" s="1" t="s">
        <v>9727</v>
      </c>
      <c r="B9482" t="s">
        <v>901</v>
      </c>
    </row>
    <row r="9483" spans="1:2">
      <c r="A9483" s="1" t="s">
        <v>9728</v>
      </c>
      <c r="B9483" t="s">
        <v>901</v>
      </c>
    </row>
    <row r="9484" spans="1:2">
      <c r="A9484" s="1" t="s">
        <v>9729</v>
      </c>
      <c r="B9484" t="s">
        <v>901</v>
      </c>
    </row>
    <row r="9485" spans="1:2">
      <c r="A9485" s="1" t="s">
        <v>9730</v>
      </c>
      <c r="B9485" t="s">
        <v>901</v>
      </c>
    </row>
    <row r="9486" spans="1:2">
      <c r="A9486" s="1" t="s">
        <v>9731</v>
      </c>
      <c r="B9486" t="s">
        <v>901</v>
      </c>
    </row>
    <row r="9487" spans="1:2">
      <c r="A9487" s="1" t="s">
        <v>9732</v>
      </c>
      <c r="B9487" t="s">
        <v>901</v>
      </c>
    </row>
    <row r="9488" spans="1:2">
      <c r="A9488" s="1" t="s">
        <v>9733</v>
      </c>
      <c r="B9488" t="s">
        <v>901</v>
      </c>
    </row>
    <row r="9489" spans="1:2">
      <c r="A9489" s="1" t="s">
        <v>9734</v>
      </c>
      <c r="B9489" t="s">
        <v>901</v>
      </c>
    </row>
    <row r="9490" spans="1:2">
      <c r="A9490" s="1" t="s">
        <v>9735</v>
      </c>
      <c r="B9490" t="s">
        <v>901</v>
      </c>
    </row>
    <row r="9491" spans="1:2">
      <c r="A9491" s="1" t="s">
        <v>9736</v>
      </c>
      <c r="B9491" t="s">
        <v>901</v>
      </c>
    </row>
    <row r="9492" spans="1:2">
      <c r="A9492" s="1" t="s">
        <v>9737</v>
      </c>
      <c r="B9492" t="s">
        <v>901</v>
      </c>
    </row>
    <row r="9493" spans="1:2">
      <c r="A9493" s="1" t="s">
        <v>9738</v>
      </c>
      <c r="B9493" t="s">
        <v>901</v>
      </c>
    </row>
    <row r="9494" spans="1:2">
      <c r="A9494" s="1" t="s">
        <v>9739</v>
      </c>
      <c r="B9494" t="s">
        <v>901</v>
      </c>
    </row>
    <row r="9495" spans="1:2">
      <c r="A9495" s="1" t="s">
        <v>9740</v>
      </c>
      <c r="B9495" t="s">
        <v>901</v>
      </c>
    </row>
    <row r="9496" spans="1:2">
      <c r="A9496" s="1" t="s">
        <v>9741</v>
      </c>
      <c r="B9496" t="s">
        <v>901</v>
      </c>
    </row>
    <row r="9497" spans="1:2">
      <c r="A9497" s="1" t="s">
        <v>9742</v>
      </c>
      <c r="B9497" t="s">
        <v>901</v>
      </c>
    </row>
    <row r="9498" spans="1:2">
      <c r="A9498" s="1" t="s">
        <v>9743</v>
      </c>
      <c r="B9498" t="s">
        <v>901</v>
      </c>
    </row>
    <row r="9499" spans="1:2">
      <c r="A9499" s="1" t="s">
        <v>9744</v>
      </c>
      <c r="B9499" t="s">
        <v>901</v>
      </c>
    </row>
    <row r="9500" spans="1:2">
      <c r="A9500" s="1" t="s">
        <v>9745</v>
      </c>
      <c r="B9500" t="s">
        <v>901</v>
      </c>
    </row>
    <row r="9501" spans="1:2">
      <c r="A9501" s="1" t="s">
        <v>9746</v>
      </c>
      <c r="B9501" t="s">
        <v>901</v>
      </c>
    </row>
    <row r="9502" spans="1:2">
      <c r="A9502" s="1" t="s">
        <v>9747</v>
      </c>
      <c r="B9502" t="s">
        <v>901</v>
      </c>
    </row>
    <row r="9503" spans="1:2">
      <c r="A9503" s="1" t="s">
        <v>9748</v>
      </c>
      <c r="B9503" t="s">
        <v>901</v>
      </c>
    </row>
    <row r="9504" spans="1:2">
      <c r="A9504" s="1" t="s">
        <v>9749</v>
      </c>
      <c r="B9504" t="s">
        <v>901</v>
      </c>
    </row>
    <row r="9505" spans="1:2">
      <c r="A9505" s="1" t="s">
        <v>9750</v>
      </c>
      <c r="B9505" t="s">
        <v>901</v>
      </c>
    </row>
    <row r="9506" spans="1:2">
      <c r="A9506" s="1" t="s">
        <v>9751</v>
      </c>
      <c r="B9506" t="s">
        <v>901</v>
      </c>
    </row>
    <row r="9507" spans="1:2">
      <c r="A9507" s="1" t="s">
        <v>9752</v>
      </c>
      <c r="B9507" t="s">
        <v>901</v>
      </c>
    </row>
    <row r="9508" spans="1:2">
      <c r="A9508" s="1" t="s">
        <v>9753</v>
      </c>
      <c r="B9508" t="s">
        <v>901</v>
      </c>
    </row>
    <row r="9509" spans="1:2">
      <c r="A9509" s="1" t="s">
        <v>9754</v>
      </c>
      <c r="B9509" t="s">
        <v>901</v>
      </c>
    </row>
    <row r="9510" spans="1:2">
      <c r="A9510" s="1" t="s">
        <v>9755</v>
      </c>
      <c r="B9510" t="s">
        <v>901</v>
      </c>
    </row>
    <row r="9511" spans="1:2">
      <c r="A9511" s="1" t="s">
        <v>9756</v>
      </c>
      <c r="B9511" t="s">
        <v>901</v>
      </c>
    </row>
    <row r="9512" spans="1:2">
      <c r="A9512" s="1" t="s">
        <v>9757</v>
      </c>
      <c r="B9512" t="s">
        <v>901</v>
      </c>
    </row>
    <row r="9513" spans="1:2">
      <c r="A9513" s="1" t="s">
        <v>9758</v>
      </c>
      <c r="B9513" t="s">
        <v>901</v>
      </c>
    </row>
    <row r="9514" spans="1:2">
      <c r="A9514" s="1" t="s">
        <v>9759</v>
      </c>
      <c r="B9514" t="s">
        <v>901</v>
      </c>
    </row>
    <row r="9515" spans="1:2">
      <c r="A9515" s="1" t="s">
        <v>9760</v>
      </c>
      <c r="B9515" t="s">
        <v>901</v>
      </c>
    </row>
    <row r="9516" spans="1:2">
      <c r="A9516" s="1" t="s">
        <v>9761</v>
      </c>
      <c r="B9516" t="s">
        <v>901</v>
      </c>
    </row>
    <row r="9517" spans="1:2">
      <c r="A9517" s="1" t="s">
        <v>9762</v>
      </c>
      <c r="B9517" t="s">
        <v>901</v>
      </c>
    </row>
    <row r="9518" spans="1:2">
      <c r="A9518" s="1" t="s">
        <v>9763</v>
      </c>
      <c r="B9518" t="s">
        <v>901</v>
      </c>
    </row>
    <row r="9519" spans="1:2">
      <c r="A9519" s="1" t="s">
        <v>9764</v>
      </c>
      <c r="B9519" t="s">
        <v>901</v>
      </c>
    </row>
    <row r="9520" spans="1:2">
      <c r="A9520" s="1" t="s">
        <v>9765</v>
      </c>
      <c r="B9520" t="s">
        <v>901</v>
      </c>
    </row>
    <row r="9521" spans="1:2">
      <c r="A9521" s="1" t="s">
        <v>9766</v>
      </c>
      <c r="B9521" t="s">
        <v>901</v>
      </c>
    </row>
    <row r="9522" spans="1:2">
      <c r="A9522" s="1" t="s">
        <v>9767</v>
      </c>
      <c r="B9522" t="s">
        <v>901</v>
      </c>
    </row>
    <row r="9523" spans="1:2">
      <c r="A9523" s="1" t="s">
        <v>9768</v>
      </c>
      <c r="B9523" t="s">
        <v>901</v>
      </c>
    </row>
    <row r="9524" spans="1:2">
      <c r="A9524" s="1" t="s">
        <v>9769</v>
      </c>
      <c r="B9524" t="s">
        <v>901</v>
      </c>
    </row>
    <row r="9525" spans="1:2">
      <c r="A9525" s="1" t="s">
        <v>9770</v>
      </c>
      <c r="B9525" t="s">
        <v>901</v>
      </c>
    </row>
    <row r="9526" spans="1:2">
      <c r="A9526" s="1" t="s">
        <v>9771</v>
      </c>
      <c r="B9526" t="s">
        <v>901</v>
      </c>
    </row>
    <row r="9527" spans="1:2">
      <c r="A9527" s="1" t="s">
        <v>9772</v>
      </c>
      <c r="B9527" t="s">
        <v>901</v>
      </c>
    </row>
    <row r="9528" spans="1:2">
      <c r="A9528" s="1" t="s">
        <v>9773</v>
      </c>
      <c r="B9528" t="s">
        <v>901</v>
      </c>
    </row>
    <row r="9529" spans="1:2">
      <c r="A9529" s="1" t="s">
        <v>9774</v>
      </c>
      <c r="B9529" t="s">
        <v>901</v>
      </c>
    </row>
    <row r="9530" spans="1:2">
      <c r="A9530" s="1" t="s">
        <v>9775</v>
      </c>
      <c r="B9530" t="s">
        <v>901</v>
      </c>
    </row>
    <row r="9531" spans="1:2">
      <c r="A9531" s="1" t="s">
        <v>9776</v>
      </c>
      <c r="B9531" t="s">
        <v>901</v>
      </c>
    </row>
    <row r="9532" spans="1:2">
      <c r="A9532" s="1" t="s">
        <v>9777</v>
      </c>
      <c r="B9532" t="s">
        <v>901</v>
      </c>
    </row>
    <row r="9533" spans="1:2">
      <c r="A9533" s="1" t="s">
        <v>9778</v>
      </c>
      <c r="B9533" t="s">
        <v>901</v>
      </c>
    </row>
    <row r="9534" spans="1:2">
      <c r="A9534" s="1" t="s">
        <v>9779</v>
      </c>
      <c r="B9534" t="s">
        <v>901</v>
      </c>
    </row>
    <row r="9535" spans="1:2">
      <c r="A9535" s="1" t="s">
        <v>9780</v>
      </c>
      <c r="B9535" t="s">
        <v>901</v>
      </c>
    </row>
    <row r="9536" spans="1:2">
      <c r="A9536" s="1" t="s">
        <v>9781</v>
      </c>
      <c r="B9536" t="s">
        <v>901</v>
      </c>
    </row>
    <row r="9537" spans="1:2">
      <c r="A9537" s="1" t="s">
        <v>9782</v>
      </c>
      <c r="B9537" t="s">
        <v>901</v>
      </c>
    </row>
    <row r="9538" spans="1:2">
      <c r="A9538" s="1" t="s">
        <v>9783</v>
      </c>
      <c r="B9538" t="s">
        <v>901</v>
      </c>
    </row>
    <row r="9539" spans="1:2">
      <c r="A9539" s="1" t="s">
        <v>9784</v>
      </c>
      <c r="B9539" t="s">
        <v>901</v>
      </c>
    </row>
    <row r="9540" spans="1:2">
      <c r="A9540" s="1" t="s">
        <v>9785</v>
      </c>
      <c r="B9540" t="s">
        <v>901</v>
      </c>
    </row>
    <row r="9541" spans="1:2">
      <c r="A9541" s="1" t="s">
        <v>9786</v>
      </c>
      <c r="B9541" t="s">
        <v>901</v>
      </c>
    </row>
    <row r="9542" spans="1:2">
      <c r="A9542" s="1" t="s">
        <v>9787</v>
      </c>
      <c r="B9542" t="s">
        <v>901</v>
      </c>
    </row>
    <row r="9543" spans="1:2">
      <c r="A9543" s="1" t="s">
        <v>9788</v>
      </c>
      <c r="B9543" t="s">
        <v>901</v>
      </c>
    </row>
    <row r="9544" spans="1:2">
      <c r="A9544" s="1" t="s">
        <v>9789</v>
      </c>
      <c r="B9544" t="s">
        <v>901</v>
      </c>
    </row>
    <row r="9545" spans="1:2">
      <c r="A9545" s="1" t="s">
        <v>9790</v>
      </c>
      <c r="B9545" t="s">
        <v>901</v>
      </c>
    </row>
    <row r="9546" spans="1:2">
      <c r="A9546" s="1" t="s">
        <v>9791</v>
      </c>
      <c r="B9546" t="s">
        <v>901</v>
      </c>
    </row>
    <row r="9547" spans="1:2">
      <c r="A9547" s="1" t="s">
        <v>9792</v>
      </c>
      <c r="B9547" t="s">
        <v>901</v>
      </c>
    </row>
    <row r="9548" spans="1:2">
      <c r="A9548" s="1" t="s">
        <v>9793</v>
      </c>
      <c r="B9548" t="s">
        <v>901</v>
      </c>
    </row>
    <row r="9549" spans="1:2">
      <c r="A9549" s="1" t="s">
        <v>9794</v>
      </c>
      <c r="B9549" t="s">
        <v>901</v>
      </c>
    </row>
    <row r="9550" spans="1:2">
      <c r="A9550" s="1" t="s">
        <v>9795</v>
      </c>
      <c r="B9550" t="s">
        <v>901</v>
      </c>
    </row>
    <row r="9551" spans="1:2">
      <c r="A9551" s="1" t="s">
        <v>9796</v>
      </c>
      <c r="B9551" t="s">
        <v>901</v>
      </c>
    </row>
    <row r="9552" spans="1:2">
      <c r="A9552" s="1" t="s">
        <v>9797</v>
      </c>
      <c r="B9552" t="s">
        <v>901</v>
      </c>
    </row>
    <row r="9553" spans="1:2">
      <c r="A9553" s="1" t="s">
        <v>9798</v>
      </c>
      <c r="B9553" t="s">
        <v>901</v>
      </c>
    </row>
    <row r="9554" spans="1:2">
      <c r="A9554" s="1" t="s">
        <v>9799</v>
      </c>
      <c r="B9554" t="s">
        <v>901</v>
      </c>
    </row>
    <row r="9555" spans="1:2">
      <c r="A9555" s="1" t="s">
        <v>9800</v>
      </c>
      <c r="B9555" t="s">
        <v>901</v>
      </c>
    </row>
    <row r="9556" spans="1:2">
      <c r="A9556" s="1" t="s">
        <v>9801</v>
      </c>
      <c r="B9556" t="s">
        <v>901</v>
      </c>
    </row>
    <row r="9557" spans="1:2">
      <c r="A9557" s="1" t="s">
        <v>9802</v>
      </c>
      <c r="B9557" t="s">
        <v>901</v>
      </c>
    </row>
    <row r="9558" spans="1:2">
      <c r="A9558" s="1" t="s">
        <v>9803</v>
      </c>
      <c r="B9558" t="s">
        <v>901</v>
      </c>
    </row>
    <row r="9559" spans="1:2">
      <c r="A9559" s="1" t="s">
        <v>9804</v>
      </c>
      <c r="B9559" t="s">
        <v>901</v>
      </c>
    </row>
    <row r="9560" spans="1:2">
      <c r="A9560" s="1" t="s">
        <v>9805</v>
      </c>
      <c r="B9560" t="s">
        <v>901</v>
      </c>
    </row>
    <row r="9561" spans="1:2">
      <c r="A9561" s="1" t="s">
        <v>9806</v>
      </c>
      <c r="B9561" t="s">
        <v>901</v>
      </c>
    </row>
    <row r="9562" spans="1:2">
      <c r="A9562" s="1" t="s">
        <v>9807</v>
      </c>
      <c r="B9562" t="s">
        <v>901</v>
      </c>
    </row>
    <row r="9563" spans="1:2">
      <c r="A9563" s="1" t="s">
        <v>9808</v>
      </c>
      <c r="B9563" t="s">
        <v>901</v>
      </c>
    </row>
    <row r="9564" spans="1:2">
      <c r="A9564" s="1" t="s">
        <v>9809</v>
      </c>
      <c r="B9564" t="s">
        <v>901</v>
      </c>
    </row>
    <row r="9565" spans="1:2">
      <c r="A9565" s="1" t="s">
        <v>9810</v>
      </c>
      <c r="B9565" t="s">
        <v>901</v>
      </c>
    </row>
    <row r="9566" spans="1:2">
      <c r="A9566" s="1" t="s">
        <v>9811</v>
      </c>
      <c r="B9566" t="s">
        <v>901</v>
      </c>
    </row>
    <row r="9567" spans="1:2">
      <c r="A9567" s="1" t="s">
        <v>9812</v>
      </c>
      <c r="B9567" t="s">
        <v>901</v>
      </c>
    </row>
    <row r="9568" spans="1:2">
      <c r="A9568" s="1" t="s">
        <v>9813</v>
      </c>
      <c r="B9568" t="s">
        <v>901</v>
      </c>
    </row>
    <row r="9569" spans="1:2">
      <c r="A9569" s="1" t="s">
        <v>9814</v>
      </c>
      <c r="B9569" t="s">
        <v>901</v>
      </c>
    </row>
    <row r="9570" spans="1:2">
      <c r="A9570" s="1" t="s">
        <v>9815</v>
      </c>
      <c r="B9570" t="s">
        <v>901</v>
      </c>
    </row>
    <row r="9571" spans="1:2">
      <c r="A9571" s="1" t="s">
        <v>9816</v>
      </c>
      <c r="B9571" t="s">
        <v>901</v>
      </c>
    </row>
    <row r="9572" spans="1:2">
      <c r="A9572" s="1" t="s">
        <v>9817</v>
      </c>
      <c r="B9572" t="s">
        <v>901</v>
      </c>
    </row>
    <row r="9573" spans="1:2">
      <c r="A9573" s="1" t="s">
        <v>9818</v>
      </c>
      <c r="B9573" t="s">
        <v>901</v>
      </c>
    </row>
    <row r="9574" spans="1:2">
      <c r="A9574" s="1" t="s">
        <v>9819</v>
      </c>
      <c r="B9574" t="s">
        <v>901</v>
      </c>
    </row>
    <row r="9575" spans="1:2">
      <c r="A9575" s="1" t="s">
        <v>9820</v>
      </c>
      <c r="B9575" t="s">
        <v>901</v>
      </c>
    </row>
    <row r="9576" spans="1:2">
      <c r="A9576" s="1" t="s">
        <v>9821</v>
      </c>
      <c r="B9576" t="s">
        <v>901</v>
      </c>
    </row>
    <row r="9577" spans="1:2">
      <c r="A9577" s="1" t="s">
        <v>9822</v>
      </c>
      <c r="B9577" t="s">
        <v>901</v>
      </c>
    </row>
    <row r="9578" spans="1:2">
      <c r="A9578" s="1" t="s">
        <v>9823</v>
      </c>
      <c r="B9578" t="s">
        <v>901</v>
      </c>
    </row>
    <row r="9579" spans="1:2">
      <c r="A9579" s="1" t="s">
        <v>9824</v>
      </c>
      <c r="B9579" t="s">
        <v>901</v>
      </c>
    </row>
    <row r="9580" spans="1:2">
      <c r="A9580" s="1" t="s">
        <v>9825</v>
      </c>
      <c r="B9580" t="s">
        <v>901</v>
      </c>
    </row>
    <row r="9581" spans="1:2">
      <c r="A9581" s="1" t="s">
        <v>9826</v>
      </c>
      <c r="B9581" t="s">
        <v>901</v>
      </c>
    </row>
    <row r="9582" spans="1:2">
      <c r="A9582" s="1" t="s">
        <v>9827</v>
      </c>
      <c r="B9582" t="s">
        <v>901</v>
      </c>
    </row>
    <row r="9583" spans="1:2">
      <c r="A9583" s="1" t="s">
        <v>9828</v>
      </c>
      <c r="B9583" t="s">
        <v>901</v>
      </c>
    </row>
    <row r="9584" spans="1:2">
      <c r="A9584" s="1" t="s">
        <v>9829</v>
      </c>
      <c r="B9584" t="s">
        <v>901</v>
      </c>
    </row>
    <row r="9585" spans="1:2">
      <c r="A9585" s="1" t="s">
        <v>9830</v>
      </c>
      <c r="B9585" t="s">
        <v>901</v>
      </c>
    </row>
    <row r="9586" spans="1:2">
      <c r="A9586" s="1" t="s">
        <v>9831</v>
      </c>
      <c r="B9586" t="s">
        <v>901</v>
      </c>
    </row>
    <row r="9587" spans="1:2">
      <c r="A9587" s="1" t="s">
        <v>9832</v>
      </c>
      <c r="B9587" t="s">
        <v>901</v>
      </c>
    </row>
    <row r="9588" spans="1:2">
      <c r="A9588" s="1" t="s">
        <v>9833</v>
      </c>
      <c r="B9588" t="s">
        <v>901</v>
      </c>
    </row>
    <row r="9589" spans="1:2">
      <c r="A9589" s="1" t="s">
        <v>9834</v>
      </c>
      <c r="B9589" t="s">
        <v>901</v>
      </c>
    </row>
    <row r="9590" spans="1:2">
      <c r="A9590" s="1" t="s">
        <v>9835</v>
      </c>
      <c r="B9590" t="s">
        <v>901</v>
      </c>
    </row>
    <row r="9591" spans="1:2">
      <c r="A9591" s="1" t="s">
        <v>9836</v>
      </c>
      <c r="B9591" t="s">
        <v>901</v>
      </c>
    </row>
    <row r="9592" spans="1:2">
      <c r="A9592" s="1" t="s">
        <v>9837</v>
      </c>
      <c r="B9592" t="s">
        <v>901</v>
      </c>
    </row>
    <row r="9593" spans="1:2">
      <c r="A9593" s="1" t="s">
        <v>9838</v>
      </c>
      <c r="B9593" t="s">
        <v>901</v>
      </c>
    </row>
    <row r="9594" spans="1:2">
      <c r="A9594" s="1" t="s">
        <v>9839</v>
      </c>
      <c r="B9594" t="s">
        <v>901</v>
      </c>
    </row>
    <row r="9595" spans="1:2">
      <c r="A9595" s="1" t="s">
        <v>9840</v>
      </c>
      <c r="B9595" t="s">
        <v>901</v>
      </c>
    </row>
    <row r="9596" spans="1:2">
      <c r="A9596" s="1" t="s">
        <v>9841</v>
      </c>
      <c r="B9596" t="s">
        <v>901</v>
      </c>
    </row>
    <row r="9597" spans="1:2">
      <c r="A9597" s="1" t="s">
        <v>9842</v>
      </c>
      <c r="B9597" t="s">
        <v>901</v>
      </c>
    </row>
    <row r="9598" spans="1:2">
      <c r="A9598" s="1" t="s">
        <v>9843</v>
      </c>
      <c r="B9598" t="s">
        <v>901</v>
      </c>
    </row>
    <row r="9599" spans="1:2">
      <c r="A9599" s="1" t="s">
        <v>9844</v>
      </c>
      <c r="B9599" t="s">
        <v>901</v>
      </c>
    </row>
    <row r="9600" spans="1:2">
      <c r="A9600" s="1" t="s">
        <v>9845</v>
      </c>
      <c r="B9600" t="s">
        <v>901</v>
      </c>
    </row>
    <row r="9601" spans="1:2">
      <c r="A9601" s="1" t="s">
        <v>9846</v>
      </c>
      <c r="B9601" t="s">
        <v>901</v>
      </c>
    </row>
    <row r="9602" spans="1:2">
      <c r="A9602" s="1" t="s">
        <v>9847</v>
      </c>
      <c r="B9602" t="s">
        <v>901</v>
      </c>
    </row>
    <row r="9603" spans="1:2">
      <c r="A9603" s="1" t="s">
        <v>9848</v>
      </c>
      <c r="B9603" t="s">
        <v>901</v>
      </c>
    </row>
    <row r="9604" spans="1:2">
      <c r="A9604" s="1" t="s">
        <v>9849</v>
      </c>
      <c r="B9604" t="s">
        <v>901</v>
      </c>
    </row>
    <row r="9605" spans="1:2">
      <c r="A9605" s="1" t="s">
        <v>9850</v>
      </c>
      <c r="B9605" t="s">
        <v>901</v>
      </c>
    </row>
    <row r="9606" spans="1:2">
      <c r="A9606" s="1" t="s">
        <v>9851</v>
      </c>
      <c r="B9606" t="s">
        <v>901</v>
      </c>
    </row>
    <row r="9607" spans="1:2">
      <c r="A9607" s="1" t="s">
        <v>9852</v>
      </c>
      <c r="B9607" t="s">
        <v>901</v>
      </c>
    </row>
    <row r="9608" spans="1:2">
      <c r="A9608" s="1" t="s">
        <v>9853</v>
      </c>
      <c r="B9608" t="s">
        <v>901</v>
      </c>
    </row>
    <row r="9609" spans="1:2">
      <c r="A9609" s="1" t="s">
        <v>9854</v>
      </c>
      <c r="B9609" t="s">
        <v>901</v>
      </c>
    </row>
    <row r="9610" spans="1:2">
      <c r="A9610" s="1" t="s">
        <v>9855</v>
      </c>
      <c r="B9610" t="s">
        <v>901</v>
      </c>
    </row>
    <row r="9611" spans="1:2">
      <c r="A9611" s="1" t="s">
        <v>9856</v>
      </c>
      <c r="B9611" t="s">
        <v>901</v>
      </c>
    </row>
    <row r="9612" spans="1:2">
      <c r="A9612" s="1" t="s">
        <v>9857</v>
      </c>
      <c r="B9612" t="s">
        <v>901</v>
      </c>
    </row>
    <row r="9613" spans="1:2">
      <c r="A9613" s="1" t="s">
        <v>9858</v>
      </c>
      <c r="B9613" t="s">
        <v>901</v>
      </c>
    </row>
    <row r="9614" spans="1:2">
      <c r="A9614" s="1" t="s">
        <v>9859</v>
      </c>
      <c r="B9614" t="s">
        <v>901</v>
      </c>
    </row>
    <row r="9615" spans="1:2">
      <c r="A9615" s="1" t="s">
        <v>9860</v>
      </c>
      <c r="B9615" t="s">
        <v>901</v>
      </c>
    </row>
    <row r="9616" spans="1:2">
      <c r="A9616" s="1" t="s">
        <v>9861</v>
      </c>
      <c r="B9616" t="s">
        <v>901</v>
      </c>
    </row>
    <row r="9617" spans="1:2">
      <c r="A9617" s="1" t="s">
        <v>9862</v>
      </c>
      <c r="B9617" t="s">
        <v>901</v>
      </c>
    </row>
    <row r="9618" spans="1:2">
      <c r="A9618" s="1" t="s">
        <v>9863</v>
      </c>
      <c r="B9618" t="s">
        <v>901</v>
      </c>
    </row>
    <row r="9619" spans="1:2">
      <c r="A9619" s="1" t="s">
        <v>9864</v>
      </c>
      <c r="B9619" t="s">
        <v>901</v>
      </c>
    </row>
    <row r="9620" spans="1:2">
      <c r="A9620" s="1" t="s">
        <v>9865</v>
      </c>
      <c r="B9620" t="s">
        <v>901</v>
      </c>
    </row>
    <row r="9621" spans="1:2">
      <c r="A9621" s="1" t="s">
        <v>9866</v>
      </c>
      <c r="B9621" t="s">
        <v>901</v>
      </c>
    </row>
    <row r="9622" spans="1:2">
      <c r="A9622" s="1" t="s">
        <v>9867</v>
      </c>
      <c r="B9622" t="s">
        <v>901</v>
      </c>
    </row>
    <row r="9623" spans="1:2">
      <c r="A9623" s="1" t="s">
        <v>9868</v>
      </c>
      <c r="B9623" t="s">
        <v>901</v>
      </c>
    </row>
    <row r="9624" spans="1:2">
      <c r="A9624" s="1" t="s">
        <v>9869</v>
      </c>
      <c r="B9624" t="s">
        <v>901</v>
      </c>
    </row>
    <row r="9625" spans="1:2">
      <c r="A9625" s="1" t="s">
        <v>9870</v>
      </c>
      <c r="B9625" t="s">
        <v>901</v>
      </c>
    </row>
    <row r="9626" spans="1:2">
      <c r="A9626" s="1" t="s">
        <v>9871</v>
      </c>
      <c r="B9626" t="s">
        <v>901</v>
      </c>
    </row>
    <row r="9627" spans="1:2">
      <c r="A9627" s="1" t="s">
        <v>9872</v>
      </c>
      <c r="B9627" t="s">
        <v>901</v>
      </c>
    </row>
    <row r="9628" spans="1:2">
      <c r="A9628" s="1" t="s">
        <v>9873</v>
      </c>
      <c r="B9628" t="s">
        <v>901</v>
      </c>
    </row>
    <row r="9629" spans="1:2">
      <c r="A9629" s="1" t="s">
        <v>9874</v>
      </c>
      <c r="B9629" t="s">
        <v>901</v>
      </c>
    </row>
    <row r="9630" spans="1:2">
      <c r="A9630" s="1" t="s">
        <v>9875</v>
      </c>
      <c r="B9630" t="s">
        <v>901</v>
      </c>
    </row>
    <row r="9631" spans="1:2">
      <c r="A9631" s="1" t="s">
        <v>9876</v>
      </c>
      <c r="B9631" t="s">
        <v>901</v>
      </c>
    </row>
    <row r="9632" spans="1:2">
      <c r="A9632" s="1" t="s">
        <v>9877</v>
      </c>
      <c r="B9632" t="s">
        <v>901</v>
      </c>
    </row>
    <row r="9633" spans="1:2">
      <c r="A9633" s="1" t="s">
        <v>9878</v>
      </c>
      <c r="B9633" t="s">
        <v>901</v>
      </c>
    </row>
    <row r="9634" spans="1:2">
      <c r="A9634" s="1" t="s">
        <v>9879</v>
      </c>
      <c r="B9634" t="s">
        <v>901</v>
      </c>
    </row>
    <row r="9635" spans="1:2">
      <c r="A9635" s="1" t="s">
        <v>9880</v>
      </c>
      <c r="B9635" t="s">
        <v>901</v>
      </c>
    </row>
    <row r="9636" spans="1:2">
      <c r="A9636" s="1" t="s">
        <v>9881</v>
      </c>
      <c r="B9636" t="s">
        <v>901</v>
      </c>
    </row>
    <row r="9637" spans="1:2">
      <c r="A9637" s="1" t="s">
        <v>9882</v>
      </c>
      <c r="B9637" t="s">
        <v>901</v>
      </c>
    </row>
    <row r="9638" spans="1:2">
      <c r="A9638" s="1" t="s">
        <v>9883</v>
      </c>
      <c r="B9638" t="s">
        <v>901</v>
      </c>
    </row>
    <row r="9639" spans="1:2">
      <c r="A9639" s="1" t="s">
        <v>9884</v>
      </c>
      <c r="B9639" t="s">
        <v>901</v>
      </c>
    </row>
    <row r="9640" spans="1:2">
      <c r="A9640" s="1" t="s">
        <v>9885</v>
      </c>
      <c r="B9640" t="s">
        <v>901</v>
      </c>
    </row>
    <row r="9641" spans="1:2">
      <c r="A9641" s="1" t="s">
        <v>9886</v>
      </c>
      <c r="B9641" t="s">
        <v>901</v>
      </c>
    </row>
    <row r="9642" spans="1:2">
      <c r="A9642" s="1" t="s">
        <v>9887</v>
      </c>
      <c r="B9642" t="s">
        <v>901</v>
      </c>
    </row>
    <row r="9643" spans="1:2">
      <c r="A9643" s="1" t="s">
        <v>9888</v>
      </c>
      <c r="B9643" t="s">
        <v>901</v>
      </c>
    </row>
    <row r="9644" spans="1:2">
      <c r="A9644" s="1" t="s">
        <v>9889</v>
      </c>
      <c r="B9644" t="s">
        <v>901</v>
      </c>
    </row>
    <row r="9645" spans="1:2">
      <c r="A9645" s="1" t="s">
        <v>9890</v>
      </c>
      <c r="B9645" t="s">
        <v>901</v>
      </c>
    </row>
    <row r="9646" spans="1:2">
      <c r="A9646" s="1" t="s">
        <v>9891</v>
      </c>
      <c r="B9646" t="s">
        <v>901</v>
      </c>
    </row>
    <row r="9647" spans="1:2">
      <c r="A9647" s="1" t="s">
        <v>9892</v>
      </c>
      <c r="B9647" t="s">
        <v>901</v>
      </c>
    </row>
    <row r="9648" spans="1:2">
      <c r="A9648" s="1" t="s">
        <v>9893</v>
      </c>
      <c r="B9648" t="s">
        <v>901</v>
      </c>
    </row>
    <row r="9649" spans="1:2">
      <c r="A9649" s="1" t="s">
        <v>9894</v>
      </c>
      <c r="B9649" t="s">
        <v>901</v>
      </c>
    </row>
    <row r="9650" spans="1:2">
      <c r="A9650" s="1" t="s">
        <v>9895</v>
      </c>
      <c r="B9650" t="s">
        <v>901</v>
      </c>
    </row>
    <row r="9651" spans="1:2">
      <c r="A9651" s="1" t="s">
        <v>9896</v>
      </c>
      <c r="B9651" t="s">
        <v>901</v>
      </c>
    </row>
    <row r="9652" spans="1:2">
      <c r="A9652" s="1" t="s">
        <v>9897</v>
      </c>
      <c r="B9652" t="s">
        <v>901</v>
      </c>
    </row>
    <row r="9653" spans="1:2">
      <c r="A9653" s="1" t="s">
        <v>9898</v>
      </c>
      <c r="B9653" t="s">
        <v>901</v>
      </c>
    </row>
    <row r="9654" spans="1:2">
      <c r="A9654" s="1" t="s">
        <v>9899</v>
      </c>
      <c r="B9654" t="s">
        <v>901</v>
      </c>
    </row>
    <row r="9655" spans="1:2">
      <c r="A9655" s="1" t="s">
        <v>9900</v>
      </c>
      <c r="B9655" t="s">
        <v>901</v>
      </c>
    </row>
    <row r="9656" spans="1:2">
      <c r="A9656" s="1" t="s">
        <v>9901</v>
      </c>
      <c r="B9656" t="s">
        <v>901</v>
      </c>
    </row>
    <row r="9657" spans="1:2">
      <c r="A9657" s="1" t="s">
        <v>9902</v>
      </c>
      <c r="B9657" t="s">
        <v>901</v>
      </c>
    </row>
    <row r="9658" spans="1:2">
      <c r="A9658" s="1" t="s">
        <v>9903</v>
      </c>
      <c r="B9658" t="s">
        <v>901</v>
      </c>
    </row>
    <row r="9659" spans="1:2">
      <c r="A9659" s="1" t="s">
        <v>9904</v>
      </c>
      <c r="B9659" t="s">
        <v>901</v>
      </c>
    </row>
    <row r="9660" spans="1:2">
      <c r="A9660" s="1" t="s">
        <v>9905</v>
      </c>
      <c r="B9660" t="s">
        <v>901</v>
      </c>
    </row>
    <row r="9661" spans="1:2">
      <c r="A9661" s="1" t="s">
        <v>9906</v>
      </c>
      <c r="B9661" t="s">
        <v>901</v>
      </c>
    </row>
    <row r="9662" spans="1:2">
      <c r="A9662" s="1" t="s">
        <v>9907</v>
      </c>
      <c r="B9662" t="s">
        <v>901</v>
      </c>
    </row>
    <row r="9663" spans="1:2">
      <c r="A9663" s="1" t="s">
        <v>9908</v>
      </c>
      <c r="B9663" t="s">
        <v>901</v>
      </c>
    </row>
    <row r="9664" spans="1:2">
      <c r="A9664" s="1" t="s">
        <v>9909</v>
      </c>
      <c r="B9664" t="s">
        <v>901</v>
      </c>
    </row>
    <row r="9665" spans="1:2">
      <c r="A9665" s="1" t="s">
        <v>9910</v>
      </c>
      <c r="B9665" t="s">
        <v>901</v>
      </c>
    </row>
    <row r="9666" spans="1:2">
      <c r="A9666" s="1" t="s">
        <v>9911</v>
      </c>
      <c r="B9666" t="s">
        <v>901</v>
      </c>
    </row>
    <row r="9667" spans="1:2">
      <c r="A9667" s="1" t="s">
        <v>9912</v>
      </c>
      <c r="B9667" t="s">
        <v>901</v>
      </c>
    </row>
    <row r="9668" spans="1:2">
      <c r="A9668" s="1" t="s">
        <v>9913</v>
      </c>
      <c r="B9668" t="s">
        <v>901</v>
      </c>
    </row>
    <row r="9669" spans="1:2">
      <c r="A9669" s="1" t="s">
        <v>9914</v>
      </c>
      <c r="B9669" t="s">
        <v>901</v>
      </c>
    </row>
    <row r="9670" spans="1:2">
      <c r="A9670" s="1" t="s">
        <v>9915</v>
      </c>
      <c r="B9670" t="s">
        <v>901</v>
      </c>
    </row>
    <row r="9671" spans="1:2">
      <c r="A9671" s="1" t="s">
        <v>9916</v>
      </c>
      <c r="B9671" t="s">
        <v>901</v>
      </c>
    </row>
    <row r="9672" spans="1:2">
      <c r="A9672" s="1" t="s">
        <v>9917</v>
      </c>
      <c r="B9672" t="s">
        <v>901</v>
      </c>
    </row>
    <row r="9673" spans="1:2">
      <c r="A9673" s="1" t="s">
        <v>9918</v>
      </c>
      <c r="B9673" t="s">
        <v>901</v>
      </c>
    </row>
    <row r="9674" spans="1:2">
      <c r="A9674" s="1" t="s">
        <v>9919</v>
      </c>
      <c r="B9674" t="s">
        <v>901</v>
      </c>
    </row>
    <row r="9675" spans="1:2">
      <c r="A9675" s="1" t="s">
        <v>9920</v>
      </c>
      <c r="B9675" t="s">
        <v>901</v>
      </c>
    </row>
    <row r="9676" spans="1:2">
      <c r="A9676" s="1" t="s">
        <v>9921</v>
      </c>
      <c r="B9676" t="s">
        <v>901</v>
      </c>
    </row>
    <row r="9677" spans="1:2">
      <c r="A9677" s="1" t="s">
        <v>9922</v>
      </c>
      <c r="B9677" t="s">
        <v>901</v>
      </c>
    </row>
    <row r="9678" spans="1:2">
      <c r="A9678" s="1" t="s">
        <v>9923</v>
      </c>
      <c r="B9678" t="s">
        <v>901</v>
      </c>
    </row>
    <row r="9679" spans="1:2">
      <c r="A9679" s="1" t="s">
        <v>9924</v>
      </c>
      <c r="B9679" t="s">
        <v>901</v>
      </c>
    </row>
    <row r="9680" spans="1:2">
      <c r="A9680" s="1" t="s">
        <v>9925</v>
      </c>
      <c r="B9680" t="s">
        <v>901</v>
      </c>
    </row>
    <row r="9681" spans="1:2">
      <c r="A9681" s="1" t="s">
        <v>9926</v>
      </c>
      <c r="B9681" t="s">
        <v>901</v>
      </c>
    </row>
    <row r="9682" spans="1:2">
      <c r="A9682" s="1" t="s">
        <v>9927</v>
      </c>
      <c r="B9682" t="s">
        <v>901</v>
      </c>
    </row>
    <row r="9683" spans="1:2">
      <c r="A9683" s="1" t="s">
        <v>9928</v>
      </c>
      <c r="B9683" t="s">
        <v>901</v>
      </c>
    </row>
    <row r="9684" spans="1:2">
      <c r="A9684" s="1" t="s">
        <v>9929</v>
      </c>
      <c r="B9684" t="s">
        <v>901</v>
      </c>
    </row>
    <row r="9685" spans="1:2">
      <c r="A9685" s="1" t="s">
        <v>9930</v>
      </c>
      <c r="B9685" t="s">
        <v>901</v>
      </c>
    </row>
    <row r="9686" spans="1:2">
      <c r="A9686" s="1" t="s">
        <v>9931</v>
      </c>
      <c r="B9686" t="s">
        <v>901</v>
      </c>
    </row>
    <row r="9687" spans="1:2">
      <c r="A9687" s="1" t="s">
        <v>9932</v>
      </c>
      <c r="B9687" t="s">
        <v>901</v>
      </c>
    </row>
    <row r="9688" spans="1:2">
      <c r="A9688" s="1" t="s">
        <v>9933</v>
      </c>
      <c r="B9688" t="s">
        <v>901</v>
      </c>
    </row>
    <row r="9689" spans="1:2">
      <c r="A9689" s="1" t="s">
        <v>9934</v>
      </c>
      <c r="B9689" t="s">
        <v>901</v>
      </c>
    </row>
    <row r="9690" spans="1:2">
      <c r="A9690" s="1" t="s">
        <v>9935</v>
      </c>
      <c r="B9690" t="s">
        <v>901</v>
      </c>
    </row>
    <row r="9691" spans="1:2">
      <c r="A9691" s="1" t="s">
        <v>9936</v>
      </c>
      <c r="B9691" t="s">
        <v>901</v>
      </c>
    </row>
    <row r="9692" spans="1:2">
      <c r="A9692" s="1" t="s">
        <v>9937</v>
      </c>
      <c r="B9692" t="s">
        <v>901</v>
      </c>
    </row>
    <row r="9693" spans="1:2">
      <c r="A9693" s="1" t="s">
        <v>9938</v>
      </c>
      <c r="B9693" t="s">
        <v>901</v>
      </c>
    </row>
    <row r="9694" spans="1:2">
      <c r="A9694" s="1" t="s">
        <v>9939</v>
      </c>
      <c r="B9694" t="s">
        <v>901</v>
      </c>
    </row>
    <row r="9695" spans="1:2">
      <c r="A9695" s="1" t="s">
        <v>9940</v>
      </c>
      <c r="B9695" t="s">
        <v>901</v>
      </c>
    </row>
    <row r="9696" spans="1:2">
      <c r="A9696" s="1" t="s">
        <v>9941</v>
      </c>
      <c r="B9696" t="s">
        <v>901</v>
      </c>
    </row>
    <row r="9697" spans="1:2">
      <c r="A9697" s="1" t="s">
        <v>9942</v>
      </c>
      <c r="B9697" t="s">
        <v>901</v>
      </c>
    </row>
    <row r="9698" spans="1:2">
      <c r="A9698" s="1" t="s">
        <v>9943</v>
      </c>
      <c r="B9698" t="s">
        <v>901</v>
      </c>
    </row>
    <row r="9699" spans="1:2">
      <c r="A9699" s="1" t="s">
        <v>9944</v>
      </c>
      <c r="B9699" t="s">
        <v>901</v>
      </c>
    </row>
    <row r="9700" spans="1:2">
      <c r="A9700" s="1" t="s">
        <v>9945</v>
      </c>
      <c r="B9700" t="s">
        <v>901</v>
      </c>
    </row>
    <row r="9701" spans="1:2">
      <c r="A9701" s="1" t="s">
        <v>9946</v>
      </c>
      <c r="B9701" t="s">
        <v>901</v>
      </c>
    </row>
    <row r="9702" spans="1:2">
      <c r="A9702" s="1" t="s">
        <v>9947</v>
      </c>
      <c r="B9702" t="s">
        <v>901</v>
      </c>
    </row>
    <row r="9703" spans="1:2">
      <c r="A9703" s="1" t="s">
        <v>9948</v>
      </c>
      <c r="B9703" t="s">
        <v>901</v>
      </c>
    </row>
    <row r="9704" spans="1:2">
      <c r="A9704" s="1" t="s">
        <v>9949</v>
      </c>
      <c r="B9704" t="s">
        <v>901</v>
      </c>
    </row>
    <row r="9705" spans="1:2">
      <c r="A9705" s="1" t="s">
        <v>9950</v>
      </c>
      <c r="B9705" t="s">
        <v>901</v>
      </c>
    </row>
    <row r="9706" spans="1:2">
      <c r="A9706" s="1" t="s">
        <v>9951</v>
      </c>
      <c r="B9706" t="s">
        <v>901</v>
      </c>
    </row>
    <row r="9707" spans="1:2">
      <c r="A9707" s="1" t="s">
        <v>9952</v>
      </c>
      <c r="B9707" t="s">
        <v>901</v>
      </c>
    </row>
    <row r="9708" spans="1:2">
      <c r="A9708" s="1" t="s">
        <v>9953</v>
      </c>
      <c r="B9708" t="s">
        <v>901</v>
      </c>
    </row>
    <row r="9709" spans="1:2">
      <c r="A9709" s="1" t="s">
        <v>9954</v>
      </c>
      <c r="B9709" t="s">
        <v>901</v>
      </c>
    </row>
    <row r="9710" spans="1:2">
      <c r="A9710" s="1" t="s">
        <v>9955</v>
      </c>
      <c r="B9710" t="s">
        <v>901</v>
      </c>
    </row>
    <row r="9711" spans="1:2">
      <c r="A9711" s="1" t="s">
        <v>9956</v>
      </c>
      <c r="B9711" t="s">
        <v>901</v>
      </c>
    </row>
    <row r="9712" spans="1:2">
      <c r="A9712" s="1" t="s">
        <v>9957</v>
      </c>
      <c r="B9712" t="s">
        <v>901</v>
      </c>
    </row>
    <row r="9713" spans="1:2">
      <c r="A9713" s="1" t="s">
        <v>9958</v>
      </c>
      <c r="B9713" t="s">
        <v>901</v>
      </c>
    </row>
    <row r="9714" spans="1:2">
      <c r="A9714" s="1" t="s">
        <v>9959</v>
      </c>
      <c r="B9714" t="s">
        <v>901</v>
      </c>
    </row>
    <row r="9715" spans="1:2">
      <c r="A9715" s="1" t="s">
        <v>9960</v>
      </c>
      <c r="B9715" t="s">
        <v>901</v>
      </c>
    </row>
    <row r="9716" spans="1:2">
      <c r="A9716" s="1" t="s">
        <v>9961</v>
      </c>
      <c r="B9716" t="s">
        <v>901</v>
      </c>
    </row>
    <row r="9717" spans="1:2">
      <c r="A9717" s="1" t="s">
        <v>9962</v>
      </c>
      <c r="B9717" t="s">
        <v>901</v>
      </c>
    </row>
    <row r="9718" spans="1:2">
      <c r="A9718" s="1" t="s">
        <v>9963</v>
      </c>
      <c r="B9718" t="s">
        <v>901</v>
      </c>
    </row>
    <row r="9719" spans="1:2">
      <c r="A9719" s="1" t="s">
        <v>9964</v>
      </c>
      <c r="B9719" t="s">
        <v>901</v>
      </c>
    </row>
    <row r="9720" spans="1:2">
      <c r="A9720" s="1" t="s">
        <v>9965</v>
      </c>
      <c r="B9720" t="s">
        <v>901</v>
      </c>
    </row>
    <row r="9721" spans="1:2">
      <c r="A9721" s="1" t="s">
        <v>9966</v>
      </c>
      <c r="B9721" t="s">
        <v>901</v>
      </c>
    </row>
    <row r="9722" spans="1:2">
      <c r="A9722" s="1" t="s">
        <v>9967</v>
      </c>
      <c r="B9722" t="s">
        <v>901</v>
      </c>
    </row>
    <row r="9723" spans="1:2">
      <c r="A9723" s="1" t="s">
        <v>9968</v>
      </c>
      <c r="B9723" t="s">
        <v>901</v>
      </c>
    </row>
    <row r="9724" spans="1:2">
      <c r="A9724" s="1" t="s">
        <v>9969</v>
      </c>
      <c r="B9724" t="s">
        <v>901</v>
      </c>
    </row>
    <row r="9725" spans="1:2">
      <c r="A9725" s="1" t="s">
        <v>9970</v>
      </c>
      <c r="B9725" t="s">
        <v>901</v>
      </c>
    </row>
    <row r="9726" spans="1:2">
      <c r="A9726" s="1" t="s">
        <v>9971</v>
      </c>
      <c r="B9726" t="s">
        <v>901</v>
      </c>
    </row>
    <row r="9727" spans="1:2">
      <c r="A9727" s="1" t="s">
        <v>9972</v>
      </c>
      <c r="B9727" t="s">
        <v>901</v>
      </c>
    </row>
    <row r="9728" spans="1:2">
      <c r="A9728" s="1" t="s">
        <v>9973</v>
      </c>
      <c r="B9728" t="s">
        <v>901</v>
      </c>
    </row>
    <row r="9729" spans="1:2">
      <c r="A9729" s="1" t="s">
        <v>9974</v>
      </c>
      <c r="B9729" t="s">
        <v>901</v>
      </c>
    </row>
    <row r="9730" spans="1:2">
      <c r="A9730" s="1" t="s">
        <v>9975</v>
      </c>
      <c r="B9730" t="s">
        <v>901</v>
      </c>
    </row>
    <row r="9731" spans="1:2">
      <c r="A9731" s="1" t="s">
        <v>9976</v>
      </c>
      <c r="B9731" t="s">
        <v>901</v>
      </c>
    </row>
    <row r="9732" spans="1:2">
      <c r="A9732" s="1" t="s">
        <v>9977</v>
      </c>
      <c r="B9732" t="s">
        <v>901</v>
      </c>
    </row>
    <row r="9733" spans="1:2">
      <c r="A9733" s="1" t="s">
        <v>9978</v>
      </c>
      <c r="B9733" t="s">
        <v>901</v>
      </c>
    </row>
    <row r="9734" spans="1:2">
      <c r="A9734" s="1" t="s">
        <v>9979</v>
      </c>
      <c r="B9734" t="s">
        <v>901</v>
      </c>
    </row>
    <row r="9735" spans="1:2">
      <c r="A9735" s="1" t="s">
        <v>9980</v>
      </c>
      <c r="B9735" t="s">
        <v>901</v>
      </c>
    </row>
    <row r="9736" spans="1:2">
      <c r="A9736" s="1" t="s">
        <v>9981</v>
      </c>
      <c r="B9736" t="s">
        <v>901</v>
      </c>
    </row>
    <row r="9737" spans="1:2">
      <c r="A9737" s="1" t="s">
        <v>9982</v>
      </c>
      <c r="B9737" t="s">
        <v>901</v>
      </c>
    </row>
    <row r="9738" spans="1:2">
      <c r="A9738" s="1" t="s">
        <v>9983</v>
      </c>
      <c r="B9738" t="s">
        <v>901</v>
      </c>
    </row>
    <row r="9739" spans="1:2">
      <c r="A9739" s="1" t="s">
        <v>9984</v>
      </c>
      <c r="B9739" t="s">
        <v>901</v>
      </c>
    </row>
    <row r="9740" spans="1:2">
      <c r="A9740" s="1" t="s">
        <v>9985</v>
      </c>
      <c r="B9740" t="s">
        <v>901</v>
      </c>
    </row>
    <row r="9741" spans="1:2">
      <c r="A9741" s="1" t="s">
        <v>9986</v>
      </c>
      <c r="B9741" t="s">
        <v>901</v>
      </c>
    </row>
    <row r="9742" spans="1:2">
      <c r="A9742" s="1" t="s">
        <v>9987</v>
      </c>
      <c r="B9742" t="s">
        <v>901</v>
      </c>
    </row>
    <row r="9743" spans="1:2">
      <c r="A9743" s="1" t="s">
        <v>9988</v>
      </c>
      <c r="B9743" t="s">
        <v>901</v>
      </c>
    </row>
    <row r="9744" spans="1:2">
      <c r="A9744" s="1" t="s">
        <v>9989</v>
      </c>
      <c r="B9744" t="s">
        <v>901</v>
      </c>
    </row>
    <row r="9745" spans="1:2">
      <c r="A9745" s="1" t="s">
        <v>9990</v>
      </c>
      <c r="B9745" t="s">
        <v>901</v>
      </c>
    </row>
    <row r="9746" spans="1:2">
      <c r="A9746" s="1" t="s">
        <v>9991</v>
      </c>
      <c r="B9746" t="s">
        <v>901</v>
      </c>
    </row>
    <row r="9747" spans="1:2">
      <c r="A9747" s="1" t="s">
        <v>9992</v>
      </c>
      <c r="B9747" t="s">
        <v>901</v>
      </c>
    </row>
    <row r="9748" spans="1:2">
      <c r="A9748" s="1" t="s">
        <v>9993</v>
      </c>
      <c r="B9748" t="s">
        <v>901</v>
      </c>
    </row>
    <row r="9749" spans="1:2">
      <c r="A9749" s="1" t="s">
        <v>9994</v>
      </c>
      <c r="B9749" t="s">
        <v>901</v>
      </c>
    </row>
    <row r="9750" spans="1:2">
      <c r="A9750" s="1" t="s">
        <v>9995</v>
      </c>
      <c r="B9750" t="s">
        <v>901</v>
      </c>
    </row>
    <row r="9751" spans="1:2">
      <c r="A9751" s="1" t="s">
        <v>9996</v>
      </c>
      <c r="B9751" t="s">
        <v>901</v>
      </c>
    </row>
    <row r="9752" spans="1:2">
      <c r="A9752" s="1" t="s">
        <v>9997</v>
      </c>
      <c r="B9752" t="s">
        <v>901</v>
      </c>
    </row>
    <row r="9753" spans="1:2">
      <c r="A9753" s="1" t="s">
        <v>9998</v>
      </c>
      <c r="B9753" t="s">
        <v>901</v>
      </c>
    </row>
    <row r="9754" spans="1:2">
      <c r="A9754" s="1" t="s">
        <v>9999</v>
      </c>
      <c r="B9754" t="s">
        <v>901</v>
      </c>
    </row>
    <row r="9755" spans="1:2">
      <c r="A9755" s="1" t="s">
        <v>10000</v>
      </c>
      <c r="B9755" t="s">
        <v>901</v>
      </c>
    </row>
    <row r="9756" spans="1:2">
      <c r="A9756" s="1" t="s">
        <v>10001</v>
      </c>
      <c r="B9756" t="s">
        <v>901</v>
      </c>
    </row>
    <row r="9757" spans="1:2">
      <c r="A9757" s="1" t="s">
        <v>10002</v>
      </c>
      <c r="B9757" t="s">
        <v>901</v>
      </c>
    </row>
    <row r="9758" spans="1:2">
      <c r="A9758" s="1" t="s">
        <v>10003</v>
      </c>
      <c r="B9758" t="s">
        <v>901</v>
      </c>
    </row>
    <row r="9759" spans="1:2">
      <c r="A9759" s="1" t="s">
        <v>10004</v>
      </c>
      <c r="B9759" t="s">
        <v>901</v>
      </c>
    </row>
    <row r="9760" spans="1:2">
      <c r="A9760" s="1" t="s">
        <v>10005</v>
      </c>
      <c r="B9760" t="s">
        <v>901</v>
      </c>
    </row>
    <row r="9761" spans="1:2">
      <c r="A9761" s="1" t="s">
        <v>10006</v>
      </c>
      <c r="B9761" t="s">
        <v>901</v>
      </c>
    </row>
    <row r="9762" spans="1:2">
      <c r="A9762" s="1" t="s">
        <v>10007</v>
      </c>
      <c r="B9762" t="s">
        <v>901</v>
      </c>
    </row>
    <row r="9763" spans="1:2">
      <c r="A9763" s="1" t="s">
        <v>10008</v>
      </c>
      <c r="B9763" t="s">
        <v>901</v>
      </c>
    </row>
    <row r="9764" spans="1:2">
      <c r="A9764" s="1" t="s">
        <v>10009</v>
      </c>
      <c r="B9764" t="s">
        <v>901</v>
      </c>
    </row>
    <row r="9765" spans="1:2">
      <c r="A9765" s="1" t="s">
        <v>10010</v>
      </c>
      <c r="B9765" t="s">
        <v>901</v>
      </c>
    </row>
    <row r="9766" spans="1:2">
      <c r="A9766" s="1" t="s">
        <v>10011</v>
      </c>
      <c r="B9766" t="s">
        <v>901</v>
      </c>
    </row>
    <row r="9767" spans="1:2">
      <c r="A9767" s="1" t="s">
        <v>10012</v>
      </c>
      <c r="B9767" t="s">
        <v>901</v>
      </c>
    </row>
    <row r="9768" spans="1:2">
      <c r="A9768" s="1" t="s">
        <v>10013</v>
      </c>
      <c r="B9768" t="s">
        <v>901</v>
      </c>
    </row>
    <row r="9769" spans="1:2">
      <c r="A9769" s="1" t="s">
        <v>10014</v>
      </c>
      <c r="B9769" t="s">
        <v>901</v>
      </c>
    </row>
    <row r="9770" spans="1:2">
      <c r="A9770" s="1" t="s">
        <v>10015</v>
      </c>
      <c r="B9770" t="s">
        <v>901</v>
      </c>
    </row>
    <row r="9771" spans="1:2">
      <c r="A9771" s="1" t="s">
        <v>10016</v>
      </c>
      <c r="B9771" t="s">
        <v>901</v>
      </c>
    </row>
    <row r="9772" spans="1:2">
      <c r="A9772" s="1" t="s">
        <v>10017</v>
      </c>
      <c r="B9772" t="s">
        <v>901</v>
      </c>
    </row>
    <row r="9773" spans="1:2">
      <c r="A9773" s="1" t="s">
        <v>10018</v>
      </c>
      <c r="B9773" t="s">
        <v>901</v>
      </c>
    </row>
    <row r="9774" spans="1:2">
      <c r="A9774" s="1" t="s">
        <v>10019</v>
      </c>
      <c r="B9774" t="s">
        <v>901</v>
      </c>
    </row>
    <row r="9775" spans="1:2">
      <c r="A9775" s="1" t="s">
        <v>10020</v>
      </c>
      <c r="B9775" t="s">
        <v>901</v>
      </c>
    </row>
    <row r="9776" spans="1:2">
      <c r="A9776" s="1" t="s">
        <v>10021</v>
      </c>
      <c r="B9776" t="s">
        <v>901</v>
      </c>
    </row>
    <row r="9777" spans="1:2">
      <c r="A9777" s="1" t="s">
        <v>10022</v>
      </c>
      <c r="B9777" t="s">
        <v>901</v>
      </c>
    </row>
    <row r="9778" spans="1:2">
      <c r="A9778" s="1" t="s">
        <v>10023</v>
      </c>
      <c r="B9778" t="s">
        <v>901</v>
      </c>
    </row>
    <row r="9779" spans="1:2">
      <c r="A9779" s="1" t="s">
        <v>10024</v>
      </c>
      <c r="B9779" t="s">
        <v>901</v>
      </c>
    </row>
    <row r="9780" spans="1:2">
      <c r="A9780" s="1" t="s">
        <v>10025</v>
      </c>
      <c r="B9780" t="s">
        <v>901</v>
      </c>
    </row>
    <row r="9781" spans="1:2">
      <c r="A9781" s="1" t="s">
        <v>10026</v>
      </c>
      <c r="B9781" t="s">
        <v>901</v>
      </c>
    </row>
    <row r="9782" spans="1:2">
      <c r="A9782" s="1" t="s">
        <v>10027</v>
      </c>
      <c r="B9782" t="s">
        <v>901</v>
      </c>
    </row>
    <row r="9783" spans="1:2">
      <c r="A9783" s="1" t="s">
        <v>10028</v>
      </c>
      <c r="B9783" t="s">
        <v>901</v>
      </c>
    </row>
    <row r="9784" spans="1:2">
      <c r="A9784" s="1" t="s">
        <v>10029</v>
      </c>
      <c r="B9784" t="s">
        <v>901</v>
      </c>
    </row>
    <row r="9785" spans="1:2">
      <c r="A9785" s="1" t="s">
        <v>10030</v>
      </c>
      <c r="B9785" t="s">
        <v>901</v>
      </c>
    </row>
    <row r="9786" spans="1:2">
      <c r="A9786" s="1" t="s">
        <v>10031</v>
      </c>
      <c r="B9786" t="s">
        <v>901</v>
      </c>
    </row>
    <row r="9787" spans="1:2">
      <c r="A9787" s="1" t="s">
        <v>10032</v>
      </c>
      <c r="B9787" t="s">
        <v>901</v>
      </c>
    </row>
    <row r="9788" spans="1:2">
      <c r="A9788" s="1" t="s">
        <v>10033</v>
      </c>
      <c r="B9788" t="s">
        <v>901</v>
      </c>
    </row>
    <row r="9789" spans="1:2">
      <c r="A9789" s="1" t="s">
        <v>10034</v>
      </c>
      <c r="B9789" t="s">
        <v>901</v>
      </c>
    </row>
    <row r="9790" spans="1:2">
      <c r="A9790" s="1" t="s">
        <v>10035</v>
      </c>
      <c r="B9790" t="s">
        <v>901</v>
      </c>
    </row>
    <row r="9791" spans="1:2">
      <c r="A9791" s="1" t="s">
        <v>10036</v>
      </c>
      <c r="B9791" t="s">
        <v>901</v>
      </c>
    </row>
    <row r="9792" spans="1:2">
      <c r="A9792" s="1" t="s">
        <v>10037</v>
      </c>
      <c r="B9792" t="s">
        <v>901</v>
      </c>
    </row>
    <row r="9793" spans="1:2">
      <c r="A9793" s="1" t="s">
        <v>10038</v>
      </c>
      <c r="B9793" t="s">
        <v>901</v>
      </c>
    </row>
    <row r="9794" spans="1:2">
      <c r="A9794" s="1" t="s">
        <v>10039</v>
      </c>
      <c r="B9794" t="s">
        <v>901</v>
      </c>
    </row>
    <row r="9795" spans="1:2">
      <c r="A9795" s="1" t="s">
        <v>10040</v>
      </c>
      <c r="B9795" t="s">
        <v>901</v>
      </c>
    </row>
    <row r="9796" spans="1:2">
      <c r="A9796" s="1" t="s">
        <v>10041</v>
      </c>
      <c r="B9796" t="s">
        <v>901</v>
      </c>
    </row>
    <row r="9797" spans="1:2">
      <c r="A9797" s="1" t="s">
        <v>10042</v>
      </c>
      <c r="B9797" t="s">
        <v>901</v>
      </c>
    </row>
    <row r="9798" spans="1:2">
      <c r="A9798" s="1" t="s">
        <v>10043</v>
      </c>
      <c r="B9798" t="s">
        <v>901</v>
      </c>
    </row>
    <row r="9799" spans="1:2">
      <c r="A9799" s="1" t="s">
        <v>10044</v>
      </c>
      <c r="B9799" t="s">
        <v>901</v>
      </c>
    </row>
    <row r="9800" spans="1:2">
      <c r="A9800" s="1" t="s">
        <v>10045</v>
      </c>
      <c r="B9800" t="s">
        <v>901</v>
      </c>
    </row>
    <row r="9801" spans="1:2">
      <c r="A9801" s="1" t="s">
        <v>10046</v>
      </c>
      <c r="B9801" t="s">
        <v>901</v>
      </c>
    </row>
    <row r="9802" spans="1:2">
      <c r="A9802" s="1" t="s">
        <v>10047</v>
      </c>
      <c r="B9802" t="s">
        <v>901</v>
      </c>
    </row>
    <row r="9803" spans="1:2">
      <c r="A9803" s="1" t="s">
        <v>10048</v>
      </c>
      <c r="B9803" t="s">
        <v>901</v>
      </c>
    </row>
    <row r="9804" spans="1:2">
      <c r="A9804" s="1" t="s">
        <v>10049</v>
      </c>
      <c r="B9804" t="s">
        <v>901</v>
      </c>
    </row>
    <row r="9805" spans="1:2">
      <c r="A9805" s="1" t="s">
        <v>10050</v>
      </c>
      <c r="B9805" t="s">
        <v>901</v>
      </c>
    </row>
    <row r="9806" spans="1:2">
      <c r="A9806" s="1" t="s">
        <v>10051</v>
      </c>
      <c r="B9806" t="s">
        <v>901</v>
      </c>
    </row>
    <row r="9807" spans="1:2">
      <c r="A9807" s="1" t="s">
        <v>10052</v>
      </c>
      <c r="B9807" t="s">
        <v>901</v>
      </c>
    </row>
    <row r="9808" spans="1:2">
      <c r="A9808" s="1" t="s">
        <v>10053</v>
      </c>
      <c r="B9808" t="s">
        <v>901</v>
      </c>
    </row>
    <row r="9809" spans="1:2">
      <c r="A9809" s="1" t="s">
        <v>10054</v>
      </c>
      <c r="B9809" t="s">
        <v>901</v>
      </c>
    </row>
    <row r="9810" spans="1:2">
      <c r="A9810" s="1" t="s">
        <v>10055</v>
      </c>
      <c r="B9810" t="s">
        <v>901</v>
      </c>
    </row>
    <row r="9811" spans="1:2">
      <c r="A9811" s="1" t="s">
        <v>10056</v>
      </c>
      <c r="B9811" t="s">
        <v>901</v>
      </c>
    </row>
    <row r="9812" spans="1:2">
      <c r="A9812" s="1" t="s">
        <v>10057</v>
      </c>
      <c r="B9812" t="s">
        <v>901</v>
      </c>
    </row>
    <row r="9813" spans="1:2">
      <c r="A9813" s="1" t="s">
        <v>10058</v>
      </c>
      <c r="B9813" t="s">
        <v>901</v>
      </c>
    </row>
    <row r="9814" spans="1:2">
      <c r="A9814" s="1" t="s">
        <v>10059</v>
      </c>
      <c r="B9814" t="s">
        <v>901</v>
      </c>
    </row>
    <row r="9815" spans="1:2">
      <c r="A9815" s="1" t="s">
        <v>10060</v>
      </c>
      <c r="B9815" t="s">
        <v>901</v>
      </c>
    </row>
    <row r="9816" spans="1:2">
      <c r="A9816" s="1" t="s">
        <v>10061</v>
      </c>
      <c r="B9816" t="s">
        <v>901</v>
      </c>
    </row>
    <row r="9817" spans="1:2">
      <c r="A9817" s="1" t="s">
        <v>10062</v>
      </c>
      <c r="B9817" t="s">
        <v>901</v>
      </c>
    </row>
    <row r="9818" spans="1:2">
      <c r="A9818" s="1" t="s">
        <v>10063</v>
      </c>
      <c r="B9818" t="s">
        <v>901</v>
      </c>
    </row>
    <row r="9819" spans="1:2">
      <c r="A9819" s="1" t="s">
        <v>10064</v>
      </c>
      <c r="B9819" t="s">
        <v>901</v>
      </c>
    </row>
    <row r="9820" spans="1:2">
      <c r="A9820" s="1" t="s">
        <v>10065</v>
      </c>
      <c r="B9820" t="s">
        <v>901</v>
      </c>
    </row>
    <row r="9821" spans="1:2">
      <c r="A9821" s="1" t="s">
        <v>10066</v>
      </c>
      <c r="B9821" t="s">
        <v>901</v>
      </c>
    </row>
    <row r="9822" spans="1:2">
      <c r="A9822" s="1" t="s">
        <v>10067</v>
      </c>
      <c r="B9822" t="s">
        <v>901</v>
      </c>
    </row>
    <row r="9823" spans="1:2">
      <c r="A9823" s="1" t="s">
        <v>10068</v>
      </c>
      <c r="B9823" t="s">
        <v>901</v>
      </c>
    </row>
    <row r="9824" spans="1:2">
      <c r="A9824" s="1" t="s">
        <v>10069</v>
      </c>
      <c r="B9824" t="s">
        <v>901</v>
      </c>
    </row>
    <row r="9825" spans="1:2">
      <c r="A9825" s="1" t="s">
        <v>10070</v>
      </c>
      <c r="B9825" t="s">
        <v>901</v>
      </c>
    </row>
    <row r="9826" spans="1:2">
      <c r="A9826" s="1" t="s">
        <v>10071</v>
      </c>
      <c r="B9826" t="s">
        <v>901</v>
      </c>
    </row>
    <row r="9827" spans="1:2">
      <c r="A9827" s="1" t="s">
        <v>10072</v>
      </c>
      <c r="B9827" t="s">
        <v>901</v>
      </c>
    </row>
    <row r="9828" spans="1:2">
      <c r="A9828" s="1" t="s">
        <v>10073</v>
      </c>
      <c r="B9828" t="s">
        <v>901</v>
      </c>
    </row>
    <row r="9829" spans="1:2">
      <c r="A9829" s="1" t="s">
        <v>10074</v>
      </c>
      <c r="B9829" t="s">
        <v>901</v>
      </c>
    </row>
    <row r="9830" spans="1:2">
      <c r="A9830" s="1" t="s">
        <v>10075</v>
      </c>
      <c r="B9830" t="s">
        <v>901</v>
      </c>
    </row>
    <row r="9831" spans="1:2">
      <c r="A9831" s="1" t="s">
        <v>10076</v>
      </c>
      <c r="B9831" t="s">
        <v>901</v>
      </c>
    </row>
    <row r="9832" spans="1:2">
      <c r="A9832" s="1" t="s">
        <v>10077</v>
      </c>
      <c r="B9832" t="s">
        <v>901</v>
      </c>
    </row>
    <row r="9833" spans="1:2">
      <c r="A9833" s="1" t="s">
        <v>10078</v>
      </c>
      <c r="B9833" t="s">
        <v>901</v>
      </c>
    </row>
    <row r="9834" spans="1:2">
      <c r="A9834" s="1" t="s">
        <v>10079</v>
      </c>
      <c r="B9834" t="s">
        <v>901</v>
      </c>
    </row>
    <row r="9835" spans="1:2">
      <c r="A9835" s="1" t="s">
        <v>10080</v>
      </c>
      <c r="B9835" t="s">
        <v>901</v>
      </c>
    </row>
    <row r="9836" spans="1:2">
      <c r="A9836" s="1" t="s">
        <v>10081</v>
      </c>
      <c r="B9836" t="s">
        <v>901</v>
      </c>
    </row>
    <row r="9837" spans="1:2">
      <c r="A9837" s="1" t="s">
        <v>10082</v>
      </c>
      <c r="B9837" t="s">
        <v>901</v>
      </c>
    </row>
    <row r="9838" spans="1:2">
      <c r="A9838" s="1" t="s">
        <v>10083</v>
      </c>
      <c r="B9838" t="s">
        <v>901</v>
      </c>
    </row>
    <row r="9839" spans="1:2">
      <c r="A9839" s="1" t="s">
        <v>10084</v>
      </c>
      <c r="B9839" t="s">
        <v>901</v>
      </c>
    </row>
    <row r="9840" spans="1:2">
      <c r="A9840" s="1" t="s">
        <v>10085</v>
      </c>
      <c r="B9840" t="s">
        <v>901</v>
      </c>
    </row>
    <row r="9841" spans="1:2">
      <c r="A9841" s="1" t="s">
        <v>10086</v>
      </c>
      <c r="B9841" t="s">
        <v>901</v>
      </c>
    </row>
    <row r="9842" spans="1:2">
      <c r="A9842" s="1" t="s">
        <v>10087</v>
      </c>
      <c r="B9842" t="s">
        <v>901</v>
      </c>
    </row>
    <row r="9843" spans="1:2">
      <c r="A9843" s="1" t="s">
        <v>10088</v>
      </c>
      <c r="B9843" t="s">
        <v>901</v>
      </c>
    </row>
    <row r="9844" spans="1:2">
      <c r="A9844" s="1" t="s">
        <v>10089</v>
      </c>
      <c r="B9844" t="s">
        <v>901</v>
      </c>
    </row>
    <row r="9845" spans="1:2">
      <c r="A9845" s="1" t="s">
        <v>10090</v>
      </c>
      <c r="B9845" t="s">
        <v>901</v>
      </c>
    </row>
    <row r="9846" spans="1:2">
      <c r="A9846" s="1" t="s">
        <v>10091</v>
      </c>
      <c r="B9846" t="s">
        <v>901</v>
      </c>
    </row>
    <row r="9847" spans="1:2">
      <c r="A9847" s="1" t="s">
        <v>10092</v>
      </c>
      <c r="B9847" t="s">
        <v>901</v>
      </c>
    </row>
    <row r="9848" spans="1:2">
      <c r="A9848" s="1" t="s">
        <v>10093</v>
      </c>
      <c r="B9848" t="s">
        <v>901</v>
      </c>
    </row>
    <row r="9849" spans="1:2">
      <c r="A9849" s="1" t="s">
        <v>10094</v>
      </c>
      <c r="B9849" t="s">
        <v>901</v>
      </c>
    </row>
    <row r="9850" spans="1:2">
      <c r="A9850" s="1" t="s">
        <v>10095</v>
      </c>
      <c r="B9850" t="s">
        <v>901</v>
      </c>
    </row>
    <row r="9851" spans="1:2">
      <c r="A9851" s="1" t="s">
        <v>10096</v>
      </c>
      <c r="B9851" t="s">
        <v>901</v>
      </c>
    </row>
    <row r="9852" spans="1:2">
      <c r="A9852" s="1" t="s">
        <v>10097</v>
      </c>
      <c r="B9852" t="s">
        <v>901</v>
      </c>
    </row>
    <row r="9853" spans="1:2">
      <c r="A9853" s="1" t="s">
        <v>10098</v>
      </c>
      <c r="B9853" t="s">
        <v>901</v>
      </c>
    </row>
    <row r="9854" spans="1:2">
      <c r="A9854" s="1" t="s">
        <v>10099</v>
      </c>
      <c r="B9854" t="s">
        <v>901</v>
      </c>
    </row>
    <row r="9855" spans="1:2">
      <c r="A9855" s="1" t="s">
        <v>10100</v>
      </c>
      <c r="B9855" t="s">
        <v>901</v>
      </c>
    </row>
    <row r="9856" spans="1:2">
      <c r="A9856" s="1" t="s">
        <v>10101</v>
      </c>
      <c r="B9856" t="s">
        <v>901</v>
      </c>
    </row>
    <row r="9857" spans="1:2">
      <c r="A9857" s="1" t="s">
        <v>10102</v>
      </c>
      <c r="B9857" t="s">
        <v>901</v>
      </c>
    </row>
    <row r="9858" spans="1:2">
      <c r="A9858" s="1" t="s">
        <v>10103</v>
      </c>
      <c r="B9858" t="s">
        <v>901</v>
      </c>
    </row>
    <row r="9859" spans="1:2">
      <c r="A9859" s="1" t="s">
        <v>10104</v>
      </c>
      <c r="B9859" t="s">
        <v>901</v>
      </c>
    </row>
    <row r="9860" spans="1:2">
      <c r="A9860" s="1" t="s">
        <v>10105</v>
      </c>
      <c r="B9860" t="s">
        <v>901</v>
      </c>
    </row>
    <row r="9861" spans="1:2">
      <c r="A9861" s="1" t="s">
        <v>10106</v>
      </c>
      <c r="B9861" t="s">
        <v>901</v>
      </c>
    </row>
    <row r="9862" spans="1:2">
      <c r="A9862" s="1" t="s">
        <v>10107</v>
      </c>
      <c r="B9862" t="s">
        <v>901</v>
      </c>
    </row>
    <row r="9863" spans="1:2">
      <c r="A9863" s="1" t="s">
        <v>10108</v>
      </c>
      <c r="B9863" t="s">
        <v>901</v>
      </c>
    </row>
    <row r="9864" spans="1:2">
      <c r="A9864" s="1" t="s">
        <v>10109</v>
      </c>
      <c r="B9864" t="s">
        <v>901</v>
      </c>
    </row>
    <row r="9865" spans="1:2">
      <c r="A9865" s="1" t="s">
        <v>10110</v>
      </c>
      <c r="B9865" t="s">
        <v>901</v>
      </c>
    </row>
    <row r="9866" spans="1:2">
      <c r="A9866" s="1" t="s">
        <v>10111</v>
      </c>
      <c r="B9866" t="s">
        <v>901</v>
      </c>
    </row>
    <row r="9867" spans="1:2">
      <c r="A9867" s="1" t="s">
        <v>10112</v>
      </c>
      <c r="B9867" t="s">
        <v>901</v>
      </c>
    </row>
    <row r="9868" spans="1:2">
      <c r="A9868" s="1" t="s">
        <v>10113</v>
      </c>
      <c r="B9868" t="s">
        <v>901</v>
      </c>
    </row>
    <row r="9869" spans="1:2">
      <c r="A9869" s="1" t="s">
        <v>10114</v>
      </c>
      <c r="B9869" t="s">
        <v>901</v>
      </c>
    </row>
    <row r="9870" spans="1:2">
      <c r="A9870" s="1" t="s">
        <v>10115</v>
      </c>
      <c r="B9870" t="s">
        <v>901</v>
      </c>
    </row>
    <row r="9871" spans="1:2">
      <c r="A9871" s="1" t="s">
        <v>10116</v>
      </c>
      <c r="B9871" t="s">
        <v>901</v>
      </c>
    </row>
    <row r="9872" spans="1:2">
      <c r="A9872" s="1" t="s">
        <v>10117</v>
      </c>
      <c r="B9872" t="s">
        <v>901</v>
      </c>
    </row>
    <row r="9873" spans="1:2">
      <c r="A9873" s="1" t="s">
        <v>10118</v>
      </c>
      <c r="B9873" t="s">
        <v>901</v>
      </c>
    </row>
    <row r="9874" spans="1:2">
      <c r="A9874" s="1" t="s">
        <v>10119</v>
      </c>
      <c r="B9874" t="s">
        <v>901</v>
      </c>
    </row>
    <row r="9875" spans="1:2">
      <c r="A9875" s="1" t="s">
        <v>10120</v>
      </c>
      <c r="B9875" t="s">
        <v>901</v>
      </c>
    </row>
    <row r="9876" spans="1:2">
      <c r="A9876" s="1" t="s">
        <v>10121</v>
      </c>
      <c r="B9876" t="s">
        <v>901</v>
      </c>
    </row>
    <row r="9877" spans="1:2">
      <c r="A9877" s="1" t="s">
        <v>10122</v>
      </c>
      <c r="B9877" t="s">
        <v>901</v>
      </c>
    </row>
    <row r="9878" spans="1:2">
      <c r="A9878" s="1" t="s">
        <v>10123</v>
      </c>
      <c r="B9878" t="s">
        <v>901</v>
      </c>
    </row>
    <row r="9879" spans="1:2">
      <c r="A9879" s="1" t="s">
        <v>10124</v>
      </c>
      <c r="B9879" t="s">
        <v>901</v>
      </c>
    </row>
    <row r="9880" spans="1:2">
      <c r="A9880" s="1" t="s">
        <v>10125</v>
      </c>
      <c r="B9880" t="s">
        <v>901</v>
      </c>
    </row>
    <row r="9881" spans="1:2">
      <c r="A9881" s="1" t="s">
        <v>10126</v>
      </c>
      <c r="B9881" t="s">
        <v>901</v>
      </c>
    </row>
    <row r="9882" spans="1:2">
      <c r="A9882" s="1" t="s">
        <v>10127</v>
      </c>
      <c r="B9882" t="s">
        <v>901</v>
      </c>
    </row>
    <row r="9883" spans="1:2">
      <c r="A9883" s="1" t="s">
        <v>10128</v>
      </c>
      <c r="B9883" t="s">
        <v>901</v>
      </c>
    </row>
    <row r="9884" spans="1:2">
      <c r="A9884" s="1" t="s">
        <v>10129</v>
      </c>
      <c r="B9884" t="s">
        <v>901</v>
      </c>
    </row>
    <row r="9885" spans="1:2">
      <c r="A9885" s="1" t="s">
        <v>10130</v>
      </c>
      <c r="B9885" t="s">
        <v>901</v>
      </c>
    </row>
    <row r="9886" spans="1:2">
      <c r="A9886" s="1" t="s">
        <v>10131</v>
      </c>
      <c r="B9886" t="s">
        <v>901</v>
      </c>
    </row>
    <row r="9887" spans="1:2">
      <c r="A9887" s="1" t="s">
        <v>10132</v>
      </c>
      <c r="B9887" t="s">
        <v>901</v>
      </c>
    </row>
    <row r="9888" spans="1:2">
      <c r="A9888" s="1" t="s">
        <v>10133</v>
      </c>
      <c r="B9888" t="s">
        <v>901</v>
      </c>
    </row>
    <row r="9889" spans="1:2">
      <c r="A9889" s="1" t="s">
        <v>10134</v>
      </c>
      <c r="B9889" t="s">
        <v>901</v>
      </c>
    </row>
    <row r="9890" spans="1:2">
      <c r="A9890" s="1" t="s">
        <v>10135</v>
      </c>
      <c r="B9890" t="s">
        <v>901</v>
      </c>
    </row>
    <row r="9891" spans="1:2">
      <c r="A9891" s="1" t="s">
        <v>10136</v>
      </c>
      <c r="B9891" t="s">
        <v>901</v>
      </c>
    </row>
    <row r="9892" spans="1:2">
      <c r="A9892" s="1" t="s">
        <v>10137</v>
      </c>
      <c r="B9892" t="s">
        <v>901</v>
      </c>
    </row>
    <row r="9893" spans="1:2">
      <c r="A9893" s="1" t="s">
        <v>10138</v>
      </c>
      <c r="B9893" t="s">
        <v>901</v>
      </c>
    </row>
    <row r="9894" spans="1:2">
      <c r="A9894" s="1" t="s">
        <v>10139</v>
      </c>
      <c r="B9894" t="s">
        <v>901</v>
      </c>
    </row>
    <row r="9895" spans="1:2">
      <c r="A9895" s="1" t="s">
        <v>10140</v>
      </c>
      <c r="B9895" t="s">
        <v>901</v>
      </c>
    </row>
    <row r="9896" spans="1:2">
      <c r="A9896" s="1" t="s">
        <v>10141</v>
      </c>
      <c r="B9896" t="s">
        <v>901</v>
      </c>
    </row>
    <row r="9897" spans="1:2">
      <c r="A9897" s="1" t="s">
        <v>10142</v>
      </c>
      <c r="B9897" t="s">
        <v>901</v>
      </c>
    </row>
    <row r="9898" spans="1:2">
      <c r="A9898" s="1" t="s">
        <v>10143</v>
      </c>
      <c r="B9898" t="s">
        <v>901</v>
      </c>
    </row>
    <row r="9899" spans="1:2">
      <c r="A9899" s="1" t="s">
        <v>10144</v>
      </c>
      <c r="B9899" t="s">
        <v>901</v>
      </c>
    </row>
    <row r="9900" spans="1:2">
      <c r="A9900" s="1" t="s">
        <v>10145</v>
      </c>
      <c r="B9900" t="s">
        <v>901</v>
      </c>
    </row>
    <row r="9901" spans="1:2">
      <c r="A9901" s="1" t="s">
        <v>10146</v>
      </c>
      <c r="B9901" t="s">
        <v>901</v>
      </c>
    </row>
    <row r="9902" spans="1:2">
      <c r="A9902" s="1" t="s">
        <v>10147</v>
      </c>
      <c r="B9902" t="s">
        <v>901</v>
      </c>
    </row>
    <row r="9903" spans="1:2">
      <c r="A9903" s="1" t="s">
        <v>10148</v>
      </c>
      <c r="B9903" t="s">
        <v>901</v>
      </c>
    </row>
    <row r="9904" spans="1:2">
      <c r="A9904" s="1" t="s">
        <v>10149</v>
      </c>
      <c r="B9904" t="s">
        <v>901</v>
      </c>
    </row>
    <row r="9905" spans="1:2">
      <c r="A9905" s="1" t="s">
        <v>10150</v>
      </c>
      <c r="B9905" t="s">
        <v>901</v>
      </c>
    </row>
    <row r="9906" spans="1:2">
      <c r="A9906" s="1" t="s">
        <v>10151</v>
      </c>
      <c r="B9906" t="s">
        <v>901</v>
      </c>
    </row>
    <row r="9907" spans="1:2">
      <c r="A9907" s="1" t="s">
        <v>10152</v>
      </c>
      <c r="B9907" t="s">
        <v>901</v>
      </c>
    </row>
    <row r="9908" spans="1:2">
      <c r="A9908" s="1" t="s">
        <v>10153</v>
      </c>
      <c r="B9908" t="s">
        <v>901</v>
      </c>
    </row>
    <row r="9909" spans="1:2">
      <c r="A9909" s="1" t="s">
        <v>10154</v>
      </c>
      <c r="B9909" t="s">
        <v>901</v>
      </c>
    </row>
    <row r="9910" spans="1:2">
      <c r="A9910" s="1" t="s">
        <v>10155</v>
      </c>
      <c r="B9910" t="s">
        <v>901</v>
      </c>
    </row>
    <row r="9911" spans="1:2">
      <c r="A9911" s="1" t="s">
        <v>10156</v>
      </c>
      <c r="B9911" t="s">
        <v>901</v>
      </c>
    </row>
    <row r="9912" spans="1:2">
      <c r="A9912" s="1" t="s">
        <v>10157</v>
      </c>
      <c r="B9912" t="s">
        <v>901</v>
      </c>
    </row>
    <row r="9913" spans="1:2">
      <c r="A9913" s="1" t="s">
        <v>10158</v>
      </c>
      <c r="B9913" t="s">
        <v>901</v>
      </c>
    </row>
    <row r="9914" spans="1:2">
      <c r="A9914" s="1" t="s">
        <v>10159</v>
      </c>
      <c r="B9914" t="s">
        <v>901</v>
      </c>
    </row>
    <row r="9915" spans="1:2">
      <c r="A9915" s="1" t="s">
        <v>10160</v>
      </c>
      <c r="B9915" t="s">
        <v>901</v>
      </c>
    </row>
    <row r="9916" spans="1:2">
      <c r="A9916" s="1" t="s">
        <v>10161</v>
      </c>
      <c r="B9916" t="s">
        <v>901</v>
      </c>
    </row>
    <row r="9917" spans="1:2">
      <c r="A9917" s="1" t="s">
        <v>10162</v>
      </c>
      <c r="B9917" t="s">
        <v>901</v>
      </c>
    </row>
    <row r="9918" spans="1:2">
      <c r="A9918" s="1" t="s">
        <v>10163</v>
      </c>
      <c r="B9918" t="s">
        <v>10366</v>
      </c>
    </row>
    <row r="9919" spans="1:2">
      <c r="A9919" s="1" t="s">
        <v>10164</v>
      </c>
      <c r="B9919" t="s">
        <v>901</v>
      </c>
    </row>
    <row r="9920" spans="1:2">
      <c r="A9920" s="1" t="s">
        <v>10165</v>
      </c>
      <c r="B9920" t="s">
        <v>901</v>
      </c>
    </row>
    <row r="9921" spans="1:2">
      <c r="A9921" s="1" t="s">
        <v>10166</v>
      </c>
      <c r="B9921" t="s">
        <v>901</v>
      </c>
    </row>
    <row r="9922" spans="1:2">
      <c r="A9922" s="1" t="s">
        <v>10167</v>
      </c>
      <c r="B9922" t="s">
        <v>901</v>
      </c>
    </row>
    <row r="9923" spans="1:2">
      <c r="A9923" s="1" t="s">
        <v>10168</v>
      </c>
      <c r="B9923" t="s">
        <v>901</v>
      </c>
    </row>
    <row r="9924" spans="1:2">
      <c r="A9924" s="1" t="s">
        <v>10169</v>
      </c>
      <c r="B9924" t="s">
        <v>901</v>
      </c>
    </row>
    <row r="9925" spans="1:2">
      <c r="A9925" s="1" t="s">
        <v>10170</v>
      </c>
      <c r="B9925" t="s">
        <v>901</v>
      </c>
    </row>
    <row r="9926" spans="1:2">
      <c r="A9926" s="1" t="s">
        <v>10171</v>
      </c>
      <c r="B9926" t="s">
        <v>901</v>
      </c>
    </row>
    <row r="9927" spans="1:2">
      <c r="A9927" s="1" t="s">
        <v>10172</v>
      </c>
      <c r="B9927" t="s">
        <v>901</v>
      </c>
    </row>
    <row r="9928" spans="1:2">
      <c r="A9928" s="1" t="s">
        <v>10173</v>
      </c>
      <c r="B9928" t="s">
        <v>901</v>
      </c>
    </row>
    <row r="9929" spans="1:2">
      <c r="A9929" s="1" t="s">
        <v>10174</v>
      </c>
      <c r="B9929" t="s">
        <v>901</v>
      </c>
    </row>
    <row r="9930" spans="1:2">
      <c r="A9930" s="1" t="s">
        <v>10175</v>
      </c>
      <c r="B9930" t="s">
        <v>901</v>
      </c>
    </row>
    <row r="9931" spans="1:2">
      <c r="A9931" s="1" t="s">
        <v>10176</v>
      </c>
      <c r="B9931" t="s">
        <v>901</v>
      </c>
    </row>
    <row r="9932" spans="1:2">
      <c r="A9932" s="1" t="s">
        <v>10177</v>
      </c>
      <c r="B9932" t="s">
        <v>901</v>
      </c>
    </row>
    <row r="9933" spans="1:2">
      <c r="A9933" s="1" t="s">
        <v>10178</v>
      </c>
      <c r="B9933" t="s">
        <v>901</v>
      </c>
    </row>
    <row r="9934" spans="1:2">
      <c r="A9934" s="1" t="s">
        <v>10179</v>
      </c>
      <c r="B9934" t="s">
        <v>901</v>
      </c>
    </row>
    <row r="9935" spans="1:2">
      <c r="A9935" s="1" t="s">
        <v>10180</v>
      </c>
      <c r="B9935" t="s">
        <v>901</v>
      </c>
    </row>
    <row r="9936" spans="1:2">
      <c r="A9936" s="1" t="s">
        <v>10181</v>
      </c>
      <c r="B9936" t="s">
        <v>901</v>
      </c>
    </row>
    <row r="9937" spans="1:2">
      <c r="A9937" s="1" t="s">
        <v>10182</v>
      </c>
      <c r="B9937" t="s">
        <v>901</v>
      </c>
    </row>
    <row r="9938" spans="1:2">
      <c r="A9938" s="1" t="s">
        <v>10183</v>
      </c>
      <c r="B9938" t="s">
        <v>901</v>
      </c>
    </row>
    <row r="9939" spans="1:2">
      <c r="A9939" s="1" t="s">
        <v>10184</v>
      </c>
      <c r="B9939" t="s">
        <v>901</v>
      </c>
    </row>
    <row r="9940" spans="1:2">
      <c r="A9940" s="1" t="s">
        <v>10185</v>
      </c>
      <c r="B9940" t="s">
        <v>901</v>
      </c>
    </row>
    <row r="9941" spans="1:2">
      <c r="A9941" s="1" t="s">
        <v>10186</v>
      </c>
      <c r="B9941" t="s">
        <v>901</v>
      </c>
    </row>
    <row r="9942" spans="1:2">
      <c r="A9942" s="1" t="s">
        <v>10187</v>
      </c>
      <c r="B9942" t="s">
        <v>901</v>
      </c>
    </row>
    <row r="9943" spans="1:2">
      <c r="A9943" s="1" t="s">
        <v>10188</v>
      </c>
      <c r="B9943" t="s">
        <v>901</v>
      </c>
    </row>
    <row r="9944" spans="1:2">
      <c r="A9944" s="1" t="s">
        <v>10189</v>
      </c>
      <c r="B9944" t="s">
        <v>901</v>
      </c>
    </row>
    <row r="9945" spans="1:2">
      <c r="A9945" s="1" t="s">
        <v>10190</v>
      </c>
      <c r="B9945" t="s">
        <v>901</v>
      </c>
    </row>
    <row r="9946" spans="1:2">
      <c r="A9946" s="1" t="s">
        <v>10191</v>
      </c>
      <c r="B9946" t="s">
        <v>901</v>
      </c>
    </row>
    <row r="9947" spans="1:2">
      <c r="A9947" s="1" t="s">
        <v>10192</v>
      </c>
      <c r="B9947" t="s">
        <v>901</v>
      </c>
    </row>
    <row r="9948" spans="1:2">
      <c r="A9948" s="1" t="s">
        <v>10193</v>
      </c>
      <c r="B9948" t="s">
        <v>901</v>
      </c>
    </row>
    <row r="9949" spans="1:2">
      <c r="A9949" s="1" t="s">
        <v>10194</v>
      </c>
      <c r="B9949" t="s">
        <v>901</v>
      </c>
    </row>
    <row r="9950" spans="1:2">
      <c r="A9950" s="1" t="s">
        <v>10195</v>
      </c>
      <c r="B9950" t="s">
        <v>901</v>
      </c>
    </row>
    <row r="9951" spans="1:2">
      <c r="A9951" s="1" t="s">
        <v>10196</v>
      </c>
      <c r="B9951" t="s">
        <v>901</v>
      </c>
    </row>
    <row r="9952" spans="1:2">
      <c r="A9952" s="1" t="s">
        <v>10197</v>
      </c>
      <c r="B9952" t="s">
        <v>901</v>
      </c>
    </row>
    <row r="9953" spans="1:2">
      <c r="A9953" s="1" t="s">
        <v>10198</v>
      </c>
      <c r="B9953" t="s">
        <v>901</v>
      </c>
    </row>
    <row r="9954" spans="1:2">
      <c r="A9954" s="1" t="s">
        <v>10199</v>
      </c>
      <c r="B9954" t="s">
        <v>901</v>
      </c>
    </row>
    <row r="9955" spans="1:2">
      <c r="A9955" s="1" t="s">
        <v>10200</v>
      </c>
      <c r="B9955" t="s">
        <v>901</v>
      </c>
    </row>
    <row r="9956" spans="1:2">
      <c r="A9956" s="1" t="s">
        <v>10201</v>
      </c>
      <c r="B9956" t="s">
        <v>901</v>
      </c>
    </row>
    <row r="9957" spans="1:2">
      <c r="A9957" s="1" t="s">
        <v>10202</v>
      </c>
      <c r="B9957" t="s">
        <v>901</v>
      </c>
    </row>
    <row r="9958" spans="1:2">
      <c r="A9958" s="1" t="s">
        <v>10203</v>
      </c>
      <c r="B9958" t="s">
        <v>901</v>
      </c>
    </row>
    <row r="9959" spans="1:2">
      <c r="A9959" s="1" t="s">
        <v>10204</v>
      </c>
      <c r="B9959" t="s">
        <v>901</v>
      </c>
    </row>
    <row r="9960" spans="1:2">
      <c r="A9960" s="1" t="s">
        <v>10205</v>
      </c>
      <c r="B9960" t="s">
        <v>901</v>
      </c>
    </row>
    <row r="9961" spans="1:2">
      <c r="A9961" s="1" t="s">
        <v>10206</v>
      </c>
      <c r="B9961" t="s">
        <v>901</v>
      </c>
    </row>
    <row r="9962" spans="1:2">
      <c r="A9962" s="1" t="s">
        <v>10207</v>
      </c>
      <c r="B9962" t="s">
        <v>901</v>
      </c>
    </row>
    <row r="9963" spans="1:2">
      <c r="A9963" s="1" t="s">
        <v>10208</v>
      </c>
      <c r="B9963" t="s">
        <v>901</v>
      </c>
    </row>
    <row r="9964" spans="1:2">
      <c r="A9964" s="1" t="s">
        <v>10209</v>
      </c>
      <c r="B9964" t="s">
        <v>901</v>
      </c>
    </row>
    <row r="9965" spans="1:2">
      <c r="A9965" s="1" t="s">
        <v>10210</v>
      </c>
      <c r="B9965" t="s">
        <v>901</v>
      </c>
    </row>
    <row r="9966" spans="1:2">
      <c r="A9966" s="1" t="s">
        <v>10211</v>
      </c>
      <c r="B9966" t="s">
        <v>901</v>
      </c>
    </row>
    <row r="9967" spans="1:2">
      <c r="A9967" s="1" t="s">
        <v>10212</v>
      </c>
      <c r="B9967" t="s">
        <v>901</v>
      </c>
    </row>
    <row r="9968" spans="1:2">
      <c r="A9968" s="1" t="s">
        <v>210</v>
      </c>
      <c r="B9968" t="s">
        <v>10530</v>
      </c>
    </row>
    <row r="9969" spans="1:2">
      <c r="A9969" s="1" t="s">
        <v>10213</v>
      </c>
      <c r="B9969" t="s">
        <v>10531</v>
      </c>
    </row>
    <row r="9970" spans="1:2">
      <c r="A9970" s="1" t="s">
        <v>334</v>
      </c>
      <c r="B9970" t="s">
        <v>10530</v>
      </c>
    </row>
    <row r="9971" spans="1:2">
      <c r="A9971" s="1" t="s">
        <v>357</v>
      </c>
      <c r="B9971" t="s">
        <v>10532</v>
      </c>
    </row>
    <row r="9972" spans="1:2">
      <c r="A9972" s="1" t="s">
        <v>10214</v>
      </c>
      <c r="B9972" t="s">
        <v>10533</v>
      </c>
    </row>
    <row r="9973" spans="1:2">
      <c r="A9973" s="1" t="s">
        <v>187</v>
      </c>
      <c r="B9973" t="s">
        <v>10531</v>
      </c>
    </row>
    <row r="9974" spans="1:2">
      <c r="A9974" s="1" t="s">
        <v>414</v>
      </c>
      <c r="B9974" t="s">
        <v>10534</v>
      </c>
    </row>
    <row r="9975" spans="1:2">
      <c r="A9975" s="1" t="s">
        <v>245</v>
      </c>
      <c r="B9975" t="s">
        <v>10535</v>
      </c>
    </row>
    <row r="9976" spans="1:2">
      <c r="A9976" s="1" t="s">
        <v>343</v>
      </c>
      <c r="B9976" t="s">
        <v>10536</v>
      </c>
    </row>
    <row r="9977" spans="1:2">
      <c r="A9977" s="1" t="s">
        <v>362</v>
      </c>
      <c r="B9977" t="s">
        <v>10537</v>
      </c>
    </row>
    <row r="9978" spans="1:2">
      <c r="A9978" s="1" t="s">
        <v>312</v>
      </c>
      <c r="B9978" t="s">
        <v>10538</v>
      </c>
    </row>
    <row r="9979" spans="1:2">
      <c r="A9979" s="1" t="s">
        <v>608</v>
      </c>
      <c r="B9979" t="s">
        <v>10530</v>
      </c>
    </row>
    <row r="9980" spans="1:2">
      <c r="A9980" s="1" t="s">
        <v>556</v>
      </c>
      <c r="B9980" t="s">
        <v>10538</v>
      </c>
    </row>
    <row r="9981" spans="1:2">
      <c r="A9981" s="1" t="s">
        <v>405</v>
      </c>
      <c r="B9981" t="s">
        <v>10539</v>
      </c>
    </row>
    <row r="9982" spans="1:2">
      <c r="A9982" s="1" t="s">
        <v>10215</v>
      </c>
      <c r="B9982" t="s">
        <v>10540</v>
      </c>
    </row>
    <row r="9983" spans="1:2">
      <c r="A9983" s="1" t="s">
        <v>701</v>
      </c>
      <c r="B9983" t="s">
        <v>10541</v>
      </c>
    </row>
    <row r="9984" spans="1:2">
      <c r="A9984" s="1" t="s">
        <v>520</v>
      </c>
      <c r="B9984" t="s">
        <v>10536</v>
      </c>
    </row>
    <row r="9985" spans="1:2">
      <c r="A9985" s="1" t="s">
        <v>10216</v>
      </c>
      <c r="B9985" t="s">
        <v>10542</v>
      </c>
    </row>
    <row r="9986" spans="1:2">
      <c r="A9986" s="1" t="s">
        <v>531</v>
      </c>
      <c r="B9986" t="s">
        <v>10543</v>
      </c>
    </row>
    <row r="9987" spans="1:2">
      <c r="A9987" s="1" t="s">
        <v>10217</v>
      </c>
      <c r="B9987" t="s">
        <v>10544</v>
      </c>
    </row>
    <row r="9988" spans="1:2">
      <c r="A9988" s="1" t="s">
        <v>727</v>
      </c>
      <c r="B9988" t="s">
        <v>10545</v>
      </c>
    </row>
    <row r="9989" spans="1:2">
      <c r="A9989" s="1" t="s">
        <v>10218</v>
      </c>
      <c r="B9989" t="s">
        <v>10537</v>
      </c>
    </row>
    <row r="9990" spans="1:2">
      <c r="A9990" s="1" t="s">
        <v>686</v>
      </c>
      <c r="B9990" t="s">
        <v>10537</v>
      </c>
    </row>
    <row r="9991" spans="1:2">
      <c r="A9991" s="1" t="s">
        <v>587</v>
      </c>
      <c r="B9991" t="s">
        <v>10546</v>
      </c>
    </row>
    <row r="9992" spans="1:2">
      <c r="A9992" s="1" t="s">
        <v>560</v>
      </c>
      <c r="B9992" t="s">
        <v>10547</v>
      </c>
    </row>
    <row r="9993" spans="1:2">
      <c r="A9993" s="1" t="s">
        <v>810</v>
      </c>
      <c r="B9993" t="s">
        <v>10548</v>
      </c>
    </row>
    <row r="9994" spans="1:2">
      <c r="A9994" s="1" t="s">
        <v>651</v>
      </c>
      <c r="B9994" t="s">
        <v>10549</v>
      </c>
    </row>
    <row r="9995" spans="1:2">
      <c r="A9995" s="1" t="s">
        <v>680</v>
      </c>
      <c r="B9995" t="s">
        <v>10550</v>
      </c>
    </row>
    <row r="9996" spans="1:2">
      <c r="A9996" s="1" t="s">
        <v>482</v>
      </c>
      <c r="B9996" t="s">
        <v>10543</v>
      </c>
    </row>
    <row r="9997" spans="1:2">
      <c r="A9997" s="1" t="s">
        <v>10219</v>
      </c>
      <c r="B9997" t="s">
        <v>10551</v>
      </c>
    </row>
    <row r="9998" spans="1:2">
      <c r="A9998" s="1" t="s">
        <v>697</v>
      </c>
      <c r="B9998" t="s">
        <v>10552</v>
      </c>
    </row>
    <row r="9999" spans="1:2">
      <c r="A9999" s="1" t="s">
        <v>753</v>
      </c>
      <c r="B9999" t="s">
        <v>10547</v>
      </c>
    </row>
    <row r="10000" spans="1:2">
      <c r="A10000" s="1" t="s">
        <v>681</v>
      </c>
      <c r="B10000" t="s">
        <v>10553</v>
      </c>
    </row>
    <row r="10001" spans="1:2">
      <c r="A10001" s="1" t="s">
        <v>782</v>
      </c>
      <c r="B10001" t="s">
        <v>10554</v>
      </c>
    </row>
    <row r="10002" spans="1:2">
      <c r="A10002" s="1" t="s">
        <v>733</v>
      </c>
      <c r="B10002" t="s">
        <v>10555</v>
      </c>
    </row>
    <row r="10003" spans="1:2">
      <c r="A10003" s="1" t="s">
        <v>325</v>
      </c>
      <c r="B10003" t="s">
        <v>10556</v>
      </c>
    </row>
    <row r="10004" spans="1:2">
      <c r="A10004" s="1" t="s">
        <v>241</v>
      </c>
      <c r="B10004" t="s">
        <v>10557</v>
      </c>
    </row>
    <row r="10005" spans="1:2">
      <c r="A10005" s="1" t="s">
        <v>322</v>
      </c>
      <c r="B10005" t="s">
        <v>10553</v>
      </c>
    </row>
    <row r="10006" spans="1:2">
      <c r="A10006" s="1" t="s">
        <v>446</v>
      </c>
      <c r="B10006" t="s">
        <v>10532</v>
      </c>
    </row>
    <row r="10007" spans="1:2">
      <c r="A10007" s="1" t="s">
        <v>665</v>
      </c>
      <c r="B10007" t="s">
        <v>10554</v>
      </c>
    </row>
    <row r="10008" spans="1:2">
      <c r="A10008" s="1" t="s">
        <v>614</v>
      </c>
      <c r="B10008" t="s">
        <v>10535</v>
      </c>
    </row>
    <row r="10009" spans="1:2">
      <c r="A10009" s="1" t="s">
        <v>695</v>
      </c>
      <c r="B10009" t="s">
        <v>10558</v>
      </c>
    </row>
    <row r="10010" spans="1:2">
      <c r="A10010" s="1" t="s">
        <v>398</v>
      </c>
      <c r="B10010" t="s">
        <v>10532</v>
      </c>
    </row>
    <row r="10011" spans="1:2">
      <c r="A10011" s="1" t="s">
        <v>869</v>
      </c>
      <c r="B10011" t="s">
        <v>10554</v>
      </c>
    </row>
    <row r="10012" spans="1:2">
      <c r="A10012" s="1" t="s">
        <v>863</v>
      </c>
      <c r="B10012" t="s">
        <v>10554</v>
      </c>
    </row>
    <row r="10013" spans="1:2">
      <c r="A10013" s="1" t="s">
        <v>654</v>
      </c>
      <c r="B10013" t="s">
        <v>10559</v>
      </c>
    </row>
    <row r="10014" spans="1:2">
      <c r="A10014" s="1" t="s">
        <v>843</v>
      </c>
      <c r="B10014" t="s">
        <v>10554</v>
      </c>
    </row>
    <row r="10015" spans="1:2">
      <c r="A10015" s="1" t="s">
        <v>668</v>
      </c>
      <c r="B10015" t="s">
        <v>10542</v>
      </c>
    </row>
    <row r="10016" spans="1:2">
      <c r="A10016" s="1" t="s">
        <v>847</v>
      </c>
      <c r="B10016" t="s">
        <v>10554</v>
      </c>
    </row>
    <row r="10017" spans="1:2">
      <c r="A10017" s="1" t="s">
        <v>718</v>
      </c>
      <c r="B10017" t="s">
        <v>10540</v>
      </c>
    </row>
    <row r="10018" spans="1:2">
      <c r="A10018" s="1" t="s">
        <v>688</v>
      </c>
      <c r="B10018" t="s">
        <v>10531</v>
      </c>
    </row>
    <row r="10019" spans="1:2">
      <c r="A10019" s="1" t="s">
        <v>38</v>
      </c>
      <c r="B10019" t="s">
        <v>10560</v>
      </c>
    </row>
    <row r="10020" spans="1:2">
      <c r="A10020" s="1" t="s">
        <v>89</v>
      </c>
      <c r="B10020" t="s">
        <v>10561</v>
      </c>
    </row>
    <row r="10021" spans="1:2">
      <c r="A10021" s="1" t="s">
        <v>448</v>
      </c>
      <c r="B10021" t="s">
        <v>10562</v>
      </c>
    </row>
    <row r="10022" spans="1:2">
      <c r="A10022" s="1" t="s">
        <v>500</v>
      </c>
      <c r="B10022" t="s">
        <v>10563</v>
      </c>
    </row>
    <row r="10023" spans="1:2">
      <c r="A10023" s="1" t="s">
        <v>303</v>
      </c>
      <c r="B10023" t="s">
        <v>10564</v>
      </c>
    </row>
    <row r="10024" spans="1:2">
      <c r="A10024" s="1" t="s">
        <v>281</v>
      </c>
      <c r="B10024" t="s">
        <v>10565</v>
      </c>
    </row>
    <row r="10025" spans="1:2">
      <c r="A10025" s="1" t="s">
        <v>895</v>
      </c>
      <c r="B10025" t="s">
        <v>10566</v>
      </c>
    </row>
    <row r="10026" spans="1:2">
      <c r="A10026" s="1" t="s">
        <v>575</v>
      </c>
      <c r="B10026" t="s">
        <v>10567</v>
      </c>
    </row>
    <row r="10027" spans="1:2">
      <c r="A10027" s="1" t="s">
        <v>371</v>
      </c>
      <c r="B10027" t="s">
        <v>10568</v>
      </c>
    </row>
    <row r="10028" spans="1:2">
      <c r="A10028" s="1" t="s">
        <v>706</v>
      </c>
      <c r="B10028" t="s">
        <v>10569</v>
      </c>
    </row>
    <row r="10029" spans="1:2">
      <c r="A10029" s="1" t="s">
        <v>518</v>
      </c>
      <c r="B10029" t="s">
        <v>10567</v>
      </c>
    </row>
    <row r="10030" spans="1:2">
      <c r="A10030" s="1" t="s">
        <v>877</v>
      </c>
      <c r="B10030" t="s">
        <v>10570</v>
      </c>
    </row>
    <row r="10031" spans="1:2">
      <c r="A10031" s="1" t="s">
        <v>829</v>
      </c>
      <c r="B10031" t="s">
        <v>10570</v>
      </c>
    </row>
    <row r="10032" spans="1:2">
      <c r="A10032" s="1" t="s">
        <v>10220</v>
      </c>
      <c r="B10032" t="s">
        <v>10565</v>
      </c>
    </row>
    <row r="10033" spans="1:2">
      <c r="A10033" s="1" t="s">
        <v>567</v>
      </c>
      <c r="B10033" t="s">
        <v>10565</v>
      </c>
    </row>
    <row r="10034" spans="1:2">
      <c r="A10034" s="1" t="s">
        <v>884</v>
      </c>
      <c r="B10034" t="s">
        <v>10571</v>
      </c>
    </row>
    <row r="10035" spans="1:2">
      <c r="A10035" s="1" t="s">
        <v>59</v>
      </c>
      <c r="B10035" t="s">
        <v>10572</v>
      </c>
    </row>
    <row r="10036" spans="1:2">
      <c r="A10036" s="1" t="s">
        <v>366</v>
      </c>
      <c r="B10036" t="s">
        <v>10565</v>
      </c>
    </row>
    <row r="10037" spans="1:2">
      <c r="A10037" s="1" t="s">
        <v>642</v>
      </c>
      <c r="B10037" t="s">
        <v>10573</v>
      </c>
    </row>
    <row r="10038" spans="1:2">
      <c r="A10038" s="1" t="s">
        <v>759</v>
      </c>
      <c r="B10038" t="s">
        <v>10574</v>
      </c>
    </row>
    <row r="10039" spans="1:2">
      <c r="A10039" s="1" t="s">
        <v>796</v>
      </c>
      <c r="B10039" t="s">
        <v>10575</v>
      </c>
    </row>
    <row r="10040" spans="1:2">
      <c r="A10040" s="1" t="s">
        <v>534</v>
      </c>
      <c r="B10040" t="s">
        <v>10576</v>
      </c>
    </row>
    <row r="10041" spans="1:2">
      <c r="A10041" s="1" t="s">
        <v>10221</v>
      </c>
      <c r="B10041" t="s">
        <v>10577</v>
      </c>
    </row>
    <row r="10042" spans="1:2">
      <c r="A10042" s="1" t="s">
        <v>723</v>
      </c>
      <c r="B10042" t="s">
        <v>10577</v>
      </c>
    </row>
    <row r="10043" spans="1:2">
      <c r="A10043" s="1" t="s">
        <v>103</v>
      </c>
      <c r="B10043" t="s">
        <v>10578</v>
      </c>
    </row>
    <row r="10044" spans="1:2">
      <c r="A10044" s="1" t="s">
        <v>866</v>
      </c>
      <c r="B10044" t="s">
        <v>10579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10580</v>
      </c>
      <c r="B1" s="1"/>
    </row>
    <row r="2" spans="1:2">
      <c r="A2" s="1" t="s">
        <v>10581</v>
      </c>
    </row>
    <row r="3" spans="1:2">
      <c r="A3" s="1" t="s">
        <v>10582</v>
      </c>
    </row>
    <row r="4" spans="1:2">
      <c r="A4" s="1"/>
    </row>
    <row r="5" spans="1:2">
      <c r="A5" s="1"/>
    </row>
    <row r="6" spans="1:2">
      <c r="A6" s="1" t="s">
        <v>10583</v>
      </c>
      <c r="B6" t="s">
        <v>10584</v>
      </c>
    </row>
    <row r="7" spans="1:2">
      <c r="A7" s="1" t="s">
        <v>25</v>
      </c>
      <c r="B7" t="s">
        <v>10585</v>
      </c>
    </row>
    <row r="8" spans="1:2">
      <c r="A8" s="1" t="s">
        <v>0</v>
      </c>
      <c r="B8" t="s">
        <v>10586</v>
      </c>
    </row>
    <row r="9" spans="1:2">
      <c r="A9" s="1" t="s">
        <v>1</v>
      </c>
      <c r="B9" t="s">
        <v>10587</v>
      </c>
    </row>
    <row r="10" spans="1:2">
      <c r="A10" s="1" t="s">
        <v>2</v>
      </c>
      <c r="B10" t="s">
        <v>10588</v>
      </c>
    </row>
    <row r="11" spans="1:2">
      <c r="A11" s="1" t="s">
        <v>3</v>
      </c>
      <c r="B11" t="s">
        <v>10589</v>
      </c>
    </row>
    <row r="12" spans="1:2">
      <c r="A12" s="1" t="s">
        <v>4</v>
      </c>
      <c r="B12" t="s">
        <v>10590</v>
      </c>
    </row>
    <row r="13" spans="1:2">
      <c r="A13" s="1" t="s">
        <v>5</v>
      </c>
      <c r="B13" t="s">
        <v>10591</v>
      </c>
    </row>
    <row r="14" spans="1:2">
      <c r="A14" s="1" t="s">
        <v>6</v>
      </c>
      <c r="B14" t="s">
        <v>10592</v>
      </c>
    </row>
    <row r="15" spans="1:2">
      <c r="A15" s="1" t="s">
        <v>7</v>
      </c>
      <c r="B15" t="s">
        <v>10593</v>
      </c>
    </row>
    <row r="16" spans="1:2">
      <c r="A16" s="1" t="s">
        <v>8</v>
      </c>
      <c r="B16" t="s">
        <v>10594</v>
      </c>
    </row>
    <row r="17" spans="1:2">
      <c r="A17" s="1" t="s">
        <v>9</v>
      </c>
      <c r="B17" t="s">
        <v>10595</v>
      </c>
    </row>
    <row r="18" spans="1:2">
      <c r="A18" s="1" t="s">
        <v>10</v>
      </c>
      <c r="B18" t="s">
        <v>10596</v>
      </c>
    </row>
    <row r="19" spans="1:2">
      <c r="A19" s="1" t="s">
        <v>11</v>
      </c>
      <c r="B19" t="s">
        <v>10597</v>
      </c>
    </row>
    <row r="20" spans="1:2">
      <c r="A20" s="1" t="s">
        <v>12</v>
      </c>
      <c r="B20" t="s">
        <v>10598</v>
      </c>
    </row>
    <row r="21" spans="1:2">
      <c r="A21" s="1" t="s">
        <v>13</v>
      </c>
      <c r="B21" t="s">
        <v>10599</v>
      </c>
    </row>
    <row r="22" spans="1:2">
      <c r="A22" s="1" t="s">
        <v>14</v>
      </c>
      <c r="B22" t="s">
        <v>10600</v>
      </c>
    </row>
    <row r="23" spans="1:2">
      <c r="A23" s="1" t="s">
        <v>15</v>
      </c>
      <c r="B23" t="s">
        <v>10601</v>
      </c>
    </row>
    <row r="24" spans="1:2">
      <c r="A24" s="1" t="s">
        <v>16</v>
      </c>
      <c r="B24" t="s">
        <v>10602</v>
      </c>
    </row>
    <row r="25" spans="1:2">
      <c r="A25" s="1" t="s">
        <v>17</v>
      </c>
      <c r="B25" t="s">
        <v>10603</v>
      </c>
    </row>
    <row r="26" spans="1:2">
      <c r="A26" s="1" t="s">
        <v>18</v>
      </c>
      <c r="B26" t="s">
        <v>10604</v>
      </c>
    </row>
    <row r="27" spans="1:2">
      <c r="A27" s="1" t="s">
        <v>19</v>
      </c>
      <c r="B27" t="s">
        <v>10605</v>
      </c>
    </row>
    <row r="28" spans="1:2">
      <c r="A28" s="1" t="s">
        <v>20</v>
      </c>
      <c r="B28" t="s">
        <v>10606</v>
      </c>
    </row>
    <row r="29" spans="1:2">
      <c r="A29" s="1" t="s">
        <v>21</v>
      </c>
      <c r="B29" t="s">
        <v>10607</v>
      </c>
    </row>
    <row r="30" spans="1:2">
      <c r="A30" s="1" t="s">
        <v>22</v>
      </c>
      <c r="B30" t="s">
        <v>10608</v>
      </c>
    </row>
    <row r="31" spans="1:2">
      <c r="A31" s="1" t="s">
        <v>23</v>
      </c>
      <c r="B31" t="s">
        <v>10609</v>
      </c>
    </row>
    <row r="32" spans="1:2">
      <c r="A32" s="1" t="s">
        <v>24</v>
      </c>
      <c r="B32" t="s">
        <v>10610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2023-06-26T07:11:36Z</dcterms:created>
  <dcterms:modified xsi:type="dcterms:W3CDTF">2023-06-26T07:11:36Z</dcterms:modified>
</cp:coreProperties>
</file>