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<sst xmlns="http://schemas.openxmlformats.org/spreadsheetml/2006/main" count="29407" uniqueCount="10618">
  <si>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</si>
  <si>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</si>
  <si>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</si>
  <si>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</si>
  <si>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</si>
  <si>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</si>
  <si>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</si>
  <si>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</si>
  <si>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</si>
  <si>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</si>
  <si>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</si>
  <si>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</si>
  <si>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</si>
  <si>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</si>
  <si>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</si>
  <si>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</si>
  <si>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</si>
  <si>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</si>
  <si>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</si>
  <si>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</si>
  <si>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</si>
  <si>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</si>
  <si>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</si>
  <si>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</si>
  <si>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</si>
  <si>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</si>
  <si>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</si>
  <si>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</si>
  <si>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</si>
  <si>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</si>
  <si>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WSM</t>
  </si>
  <si>
    <t>CATC</t>
  </si>
  <si>
    <t>MMM</t>
  </si>
  <si>
    <t>LARK</t>
  </si>
  <si>
    <t>BAM</t>
  </si>
  <si>
    <t>FOXA</t>
  </si>
  <si>
    <t>PII</t>
  </si>
  <si>
    <t>CSL</t>
  </si>
  <si>
    <t>ANDE</t>
  </si>
  <si>
    <t>RHI</t>
  </si>
  <si>
    <t>LOW</t>
  </si>
  <si>
    <t>UGI</t>
  </si>
  <si>
    <t>DCI</t>
  </si>
  <si>
    <t>BRC</t>
  </si>
  <si>
    <t>WRB</t>
  </si>
  <si>
    <t>ADI</t>
  </si>
  <si>
    <t>PNR</t>
  </si>
  <si>
    <t>HUM</t>
  </si>
  <si>
    <t>FLIC</t>
  </si>
  <si>
    <t>BMY</t>
  </si>
  <si>
    <t>HI</t>
  </si>
  <si>
    <t>PRI</t>
  </si>
  <si>
    <t>CPKF</t>
  </si>
  <si>
    <t>WBA</t>
  </si>
  <si>
    <t>EXPD</t>
  </si>
  <si>
    <t>AIZ</t>
  </si>
  <si>
    <t>MDT</t>
  </si>
  <si>
    <t>ABM</t>
  </si>
  <si>
    <t>EFSI</t>
  </si>
  <si>
    <t>INTU</t>
  </si>
  <si>
    <t>NWFL</t>
  </si>
  <si>
    <t>CHRW</t>
  </si>
  <si>
    <t>WLY</t>
  </si>
  <si>
    <t>SYK</t>
  </si>
  <si>
    <t>RJF</t>
  </si>
  <si>
    <t>AJG</t>
  </si>
  <si>
    <t>PH</t>
  </si>
  <si>
    <t>MSFT</t>
  </si>
  <si>
    <t>SYY</t>
  </si>
  <si>
    <t>ODFL</t>
  </si>
  <si>
    <t>RBCAA</t>
  </si>
  <si>
    <t>RHHBY</t>
  </si>
  <si>
    <t>DOV</t>
  </si>
  <si>
    <t>AFG</t>
  </si>
  <si>
    <t>EBTC</t>
  </si>
  <si>
    <t>LANC</t>
  </si>
  <si>
    <t>OTTR</t>
  </si>
  <si>
    <t>TNC</t>
  </si>
  <si>
    <t>SLGN</t>
  </si>
  <si>
    <t>CP</t>
  </si>
  <si>
    <t>LHX</t>
  </si>
  <si>
    <t>FDS</t>
  </si>
  <si>
    <t>PSBQ</t>
  </si>
  <si>
    <t>AMAT</t>
  </si>
  <si>
    <t>TMO</t>
  </si>
  <si>
    <t>ADP</t>
  </si>
  <si>
    <t>UNM</t>
  </si>
  <si>
    <t>CSX</t>
  </si>
  <si>
    <t>LECO</t>
  </si>
  <si>
    <t>COST</t>
  </si>
  <si>
    <t>TTC</t>
  </si>
  <si>
    <t>BDX</t>
  </si>
  <si>
    <t>ADM</t>
  </si>
  <si>
    <t>ORCL</t>
  </si>
  <si>
    <t>ITT</t>
  </si>
  <si>
    <t>ATO</t>
  </si>
  <si>
    <t>SBSI</t>
  </si>
  <si>
    <t>SCL</t>
  </si>
  <si>
    <t>GGG</t>
  </si>
  <si>
    <t>V</t>
  </si>
  <si>
    <t>OZK</t>
  </si>
  <si>
    <t>KR</t>
  </si>
  <si>
    <t>SCI</t>
  </si>
  <si>
    <t>NWN</t>
  </si>
  <si>
    <t>AOS</t>
  </si>
  <si>
    <t>SEIC</t>
  </si>
  <si>
    <t>CTBI</t>
  </si>
  <si>
    <t>JBHT</t>
  </si>
  <si>
    <t>TTE</t>
  </si>
  <si>
    <t>FMCB</t>
  </si>
  <si>
    <t>FELE</t>
  </si>
  <si>
    <t>MATW</t>
  </si>
  <si>
    <t>BKH</t>
  </si>
  <si>
    <t>SPGI</t>
  </si>
  <si>
    <t>DHR</t>
  </si>
  <si>
    <t>JNJ</t>
  </si>
  <si>
    <t>PPG</t>
  </si>
  <si>
    <t>AXP</t>
  </si>
  <si>
    <t>CHD</t>
  </si>
  <si>
    <t>BANF</t>
  </si>
  <si>
    <t>WABC</t>
  </si>
  <si>
    <t>NIDB</t>
  </si>
  <si>
    <t>AROW</t>
  </si>
  <si>
    <t>WMT</t>
  </si>
  <si>
    <t>AMP</t>
  </si>
  <si>
    <t>AEL</t>
  </si>
  <si>
    <t>BRO</t>
  </si>
  <si>
    <t>KO</t>
  </si>
  <si>
    <t>CNI</t>
  </si>
  <si>
    <t>GWW</t>
  </si>
  <si>
    <t>HRL</t>
  </si>
  <si>
    <t>GPC</t>
  </si>
  <si>
    <t>ELV</t>
  </si>
  <si>
    <t>BEN</t>
  </si>
  <si>
    <t>FRT</t>
  </si>
  <si>
    <t>DG</t>
  </si>
  <si>
    <t>WST</t>
  </si>
  <si>
    <t>FUL</t>
  </si>
  <si>
    <t>ROP</t>
  </si>
  <si>
    <t>CL</t>
  </si>
  <si>
    <t>GL</t>
  </si>
  <si>
    <t>CFR</t>
  </si>
  <si>
    <t>DE</t>
  </si>
  <si>
    <t>AIT</t>
  </si>
  <si>
    <t>AXS</t>
  </si>
  <si>
    <t>LNN</t>
  </si>
  <si>
    <t>AAPL</t>
  </si>
  <si>
    <t>CASY</t>
  </si>
  <si>
    <t>SHW</t>
  </si>
  <si>
    <t>ITW</t>
  </si>
  <si>
    <t>EMR</t>
  </si>
  <si>
    <t>PSX</t>
  </si>
  <si>
    <t>TCEHY</t>
  </si>
  <si>
    <t>BOKF</t>
  </si>
  <si>
    <t>NFG</t>
  </si>
  <si>
    <t>CINF</t>
  </si>
  <si>
    <t>ABT</t>
  </si>
  <si>
    <t>MCK</t>
  </si>
  <si>
    <t>TRV</t>
  </si>
  <si>
    <t>CAT</t>
  </si>
  <si>
    <t>CBSH</t>
  </si>
  <si>
    <t>MSA</t>
  </si>
  <si>
    <t>RPM</t>
  </si>
  <si>
    <t>FFMR</t>
  </si>
  <si>
    <t>ABBV</t>
  </si>
  <si>
    <t>THFF</t>
  </si>
  <si>
    <t>NDSN</t>
  </si>
  <si>
    <t>JKHY</t>
  </si>
  <si>
    <t>ABC</t>
  </si>
  <si>
    <t>CTAS</t>
  </si>
  <si>
    <t>MCD</t>
  </si>
  <si>
    <t>SRCE</t>
  </si>
  <si>
    <t>LIN</t>
  </si>
  <si>
    <t>MSEX</t>
  </si>
  <si>
    <t>BF.B</t>
  </si>
  <si>
    <t>IMO</t>
  </si>
  <si>
    <t>UNF</t>
  </si>
  <si>
    <t>GD</t>
  </si>
  <si>
    <t>PG</t>
  </si>
  <si>
    <t>MGEE</t>
  </si>
  <si>
    <t>RNR</t>
  </si>
  <si>
    <t>NOC</t>
  </si>
  <si>
    <t>AWR</t>
  </si>
  <si>
    <t>SJW</t>
  </si>
  <si>
    <t>AFL</t>
  </si>
  <si>
    <t>ATR</t>
  </si>
  <si>
    <t>MGRC</t>
  </si>
  <si>
    <t>UBSI</t>
  </si>
  <si>
    <t>TMP</t>
  </si>
  <si>
    <t>XOM</t>
  </si>
  <si>
    <t>CAH</t>
  </si>
  <si>
    <t>CWT</t>
  </si>
  <si>
    <t>CVX</t>
  </si>
  <si>
    <t>TR</t>
  </si>
  <si>
    <t>CB</t>
  </si>
  <si>
    <t>RLI</t>
  </si>
  <si>
    <t>BMI</t>
  </si>
  <si>
    <t>NUE</t>
  </si>
  <si>
    <t>RPRX</t>
  </si>
  <si>
    <t>BAX</t>
  </si>
  <si>
    <t>BNS</t>
  </si>
  <si>
    <t>AAP</t>
  </si>
  <si>
    <t>VZ</t>
  </si>
  <si>
    <t>BIP</t>
  </si>
  <si>
    <t>NRG</t>
  </si>
  <si>
    <t>CMCSA</t>
  </si>
  <si>
    <t>CTSH</t>
  </si>
  <si>
    <t>BMO</t>
  </si>
  <si>
    <t>NTRS</t>
  </si>
  <si>
    <t>BMRC</t>
  </si>
  <si>
    <t>CM</t>
  </si>
  <si>
    <t>CBOE</t>
  </si>
  <si>
    <t>TD</t>
  </si>
  <si>
    <t>BR</t>
  </si>
  <si>
    <t>T</t>
  </si>
  <si>
    <t>SWKS</t>
  </si>
  <si>
    <t>WU</t>
  </si>
  <si>
    <t>ESS</t>
  </si>
  <si>
    <t>LAD</t>
  </si>
  <si>
    <t>NTIOF</t>
  </si>
  <si>
    <t>RY</t>
  </si>
  <si>
    <t>CASS</t>
  </si>
  <si>
    <t>SLF</t>
  </si>
  <si>
    <t>MMS</t>
  </si>
  <si>
    <t>DPZ</t>
  </si>
  <si>
    <t>ICE</t>
  </si>
  <si>
    <t>EMN</t>
  </si>
  <si>
    <t>NC</t>
  </si>
  <si>
    <t>ENB</t>
  </si>
  <si>
    <t>TGT</t>
  </si>
  <si>
    <t>HRB</t>
  </si>
  <si>
    <t>RBGLY</t>
  </si>
  <si>
    <t>FMS</t>
  </si>
  <si>
    <t>TXN</t>
  </si>
  <si>
    <t>BALL</t>
  </si>
  <si>
    <t>WFG</t>
  </si>
  <si>
    <t>SBAC</t>
  </si>
  <si>
    <t>PDCO</t>
  </si>
  <si>
    <t>PNGAY</t>
  </si>
  <si>
    <t>SWK</t>
  </si>
  <si>
    <t>EPD</t>
  </si>
  <si>
    <t>FTS</t>
  </si>
  <si>
    <t>OGN</t>
  </si>
  <si>
    <t>HD</t>
  </si>
  <si>
    <t>EQIX</t>
  </si>
  <si>
    <t>KDP</t>
  </si>
  <si>
    <t>EBAY</t>
  </si>
  <si>
    <t>LEG</t>
  </si>
  <si>
    <t>RDEIY</t>
  </si>
  <si>
    <t>RBA</t>
  </si>
  <si>
    <t>AMT</t>
  </si>
  <si>
    <t>FDX</t>
  </si>
  <si>
    <t>YUM</t>
  </si>
  <si>
    <t>RGCO</t>
  </si>
  <si>
    <t>FMC</t>
  </si>
  <si>
    <t>CSCO</t>
  </si>
  <si>
    <t>UPS</t>
  </si>
  <si>
    <t>ATRI</t>
  </si>
  <si>
    <t>R</t>
  </si>
  <si>
    <t>AMGN</t>
  </si>
  <si>
    <t>MO</t>
  </si>
  <si>
    <t>OMC</t>
  </si>
  <si>
    <t>AVNT</t>
  </si>
  <si>
    <t>IPG</t>
  </si>
  <si>
    <t>SUN</t>
  </si>
  <si>
    <t>MTB</t>
  </si>
  <si>
    <t>UNH</t>
  </si>
  <si>
    <t>PB</t>
  </si>
  <si>
    <t>SR</t>
  </si>
  <si>
    <t>ES</t>
  </si>
  <si>
    <t>WHR</t>
  </si>
  <si>
    <t>APH</t>
  </si>
  <si>
    <t>LNT</t>
  </si>
  <si>
    <t>DEO</t>
  </si>
  <si>
    <t>ALRS</t>
  </si>
  <si>
    <t>RELX</t>
  </si>
  <si>
    <t>TSN</t>
  </si>
  <si>
    <t>CI</t>
  </si>
  <si>
    <t>AMX</t>
  </si>
  <si>
    <t>SRE</t>
  </si>
  <si>
    <t>GEF</t>
  </si>
  <si>
    <t>NVS</t>
  </si>
  <si>
    <t>CDUAF</t>
  </si>
  <si>
    <t>CVS</t>
  </si>
  <si>
    <t>NSC</t>
  </si>
  <si>
    <t>UNP</t>
  </si>
  <si>
    <t>NKE</t>
  </si>
  <si>
    <t>CMI</t>
  </si>
  <si>
    <t>GRC</t>
  </si>
  <si>
    <t>IFF</t>
  </si>
  <si>
    <t>RSG</t>
  </si>
  <si>
    <t>MCO</t>
  </si>
  <si>
    <t>FAST</t>
  </si>
  <si>
    <t>MDLZ</t>
  </si>
  <si>
    <t>BLK</t>
  </si>
  <si>
    <t>TROW</t>
  </si>
  <si>
    <t>NJR</t>
  </si>
  <si>
    <t>SXT</t>
  </si>
  <si>
    <t>EIX</t>
  </si>
  <si>
    <t>MRK</t>
  </si>
  <si>
    <t>AUBN</t>
  </si>
  <si>
    <t>TSCO</t>
  </si>
  <si>
    <t>RMD</t>
  </si>
  <si>
    <t>INGR</t>
  </si>
  <si>
    <t>MWA</t>
  </si>
  <si>
    <t>BBY</t>
  </si>
  <si>
    <t>SAP</t>
  </si>
  <si>
    <t>MDU</t>
  </si>
  <si>
    <t>BHB</t>
  </si>
  <si>
    <t>SNA</t>
  </si>
  <si>
    <t>NUS</t>
  </si>
  <si>
    <t>PRGO</t>
  </si>
  <si>
    <t>ECL</t>
  </si>
  <si>
    <t>AEP</t>
  </si>
  <si>
    <t>FLO</t>
  </si>
  <si>
    <t>SCHW</t>
  </si>
  <si>
    <t>UMBF</t>
  </si>
  <si>
    <t>ORI</t>
  </si>
  <si>
    <t>DTE</t>
  </si>
  <si>
    <t>K</t>
  </si>
  <si>
    <t>NEE</t>
  </si>
  <si>
    <t>CARR</t>
  </si>
  <si>
    <t>ZTS</t>
  </si>
  <si>
    <t>ETR</t>
  </si>
  <si>
    <t>NDAQ</t>
  </si>
  <si>
    <t>MURGF</t>
  </si>
  <si>
    <t>AWK</t>
  </si>
  <si>
    <t>UVV</t>
  </si>
  <si>
    <t>IBM</t>
  </si>
  <si>
    <t>HII</t>
  </si>
  <si>
    <t>MKC</t>
  </si>
  <si>
    <t>ROK</t>
  </si>
  <si>
    <t>GATX</t>
  </si>
  <si>
    <t>MET</t>
  </si>
  <si>
    <t>SPTN</t>
  </si>
  <si>
    <t>BAH</t>
  </si>
  <si>
    <t>CBU</t>
  </si>
  <si>
    <t>GILD</t>
  </si>
  <si>
    <t>HON</t>
  </si>
  <si>
    <t>DDS</t>
  </si>
  <si>
    <t>RTX</t>
  </si>
  <si>
    <t>INFY</t>
  </si>
  <si>
    <t>GIS</t>
  </si>
  <si>
    <t>PEP</t>
  </si>
  <si>
    <t>YORW</t>
  </si>
  <si>
    <t>ARTNA</t>
  </si>
  <si>
    <t>PNM</t>
  </si>
  <si>
    <t>HUBB</t>
  </si>
  <si>
    <t>XEL</t>
  </si>
  <si>
    <t>KMB</t>
  </si>
  <si>
    <t>FNV</t>
  </si>
  <si>
    <t>WTRG</t>
  </si>
  <si>
    <t>RGLD</t>
  </si>
  <si>
    <t>LMT</t>
  </si>
  <si>
    <t>ED</t>
  </si>
  <si>
    <t>APD</t>
  </si>
  <si>
    <t>TT</t>
  </si>
  <si>
    <t>TRI</t>
  </si>
  <si>
    <t>SJM</t>
  </si>
  <si>
    <t>LRLCF</t>
  </si>
  <si>
    <t>OTIS</t>
  </si>
  <si>
    <t>HSY</t>
  </si>
  <si>
    <t>MORN</t>
  </si>
  <si>
    <t>WM</t>
  </si>
  <si>
    <t>CPK</t>
  </si>
  <si>
    <t>RE</t>
  </si>
  <si>
    <t>XYL</t>
  </si>
  <si>
    <t>ERIE</t>
  </si>
  <si>
    <t>CEG</t>
  </si>
  <si>
    <t>BIG</t>
  </si>
  <si>
    <t>ILPT</t>
  </si>
  <si>
    <t>HBI</t>
  </si>
  <si>
    <t>VFC</t>
  </si>
  <si>
    <t>CIO</t>
  </si>
  <si>
    <t>EQH</t>
  </si>
  <si>
    <t>KKR</t>
  </si>
  <si>
    <t>TSM</t>
  </si>
  <si>
    <t>BASFY</t>
  </si>
  <si>
    <t>LII</t>
  </si>
  <si>
    <t>ALLY</t>
  </si>
  <si>
    <t>CC</t>
  </si>
  <si>
    <t>NEP</t>
  </si>
  <si>
    <t>MPWR</t>
  </si>
  <si>
    <t>MCHP</t>
  </si>
  <si>
    <t>HASI</t>
  </si>
  <si>
    <t>NTR</t>
  </si>
  <si>
    <t>SNY</t>
  </si>
  <si>
    <t>POOL</t>
  </si>
  <si>
    <t>WAFD</t>
  </si>
  <si>
    <t>ODC</t>
  </si>
  <si>
    <t>TEL</t>
  </si>
  <si>
    <t>WOR</t>
  </si>
  <si>
    <t>ZION</t>
  </si>
  <si>
    <t>PFE</t>
  </si>
  <si>
    <t>OTEX</t>
  </si>
  <si>
    <t>ACI</t>
  </si>
  <si>
    <t>LAZ</t>
  </si>
  <si>
    <t>CTRA</t>
  </si>
  <si>
    <t>STT</t>
  </si>
  <si>
    <t>DFS</t>
  </si>
  <si>
    <t>MAN</t>
  </si>
  <si>
    <t>HOG</t>
  </si>
  <si>
    <t>GWLIF</t>
  </si>
  <si>
    <t>MMP</t>
  </si>
  <si>
    <t>CUBE</t>
  </si>
  <si>
    <t>THG</t>
  </si>
  <si>
    <t>TRTN</t>
  </si>
  <si>
    <t>NXST</t>
  </si>
  <si>
    <t>CMA</t>
  </si>
  <si>
    <t>HPQ</t>
  </si>
  <si>
    <t>EQNR</t>
  </si>
  <si>
    <t>UHT</t>
  </si>
  <si>
    <t>SYF</t>
  </si>
  <si>
    <t>DLR</t>
  </si>
  <si>
    <t>HCSG</t>
  </si>
  <si>
    <t>VTRS</t>
  </si>
  <si>
    <t>WGO</t>
  </si>
  <si>
    <t>FNF</t>
  </si>
  <si>
    <t>TX</t>
  </si>
  <si>
    <t>BAC</t>
  </si>
  <si>
    <t>STN</t>
  </si>
  <si>
    <t>KLAC</t>
  </si>
  <si>
    <t>MSM</t>
  </si>
  <si>
    <t>EVRG</t>
  </si>
  <si>
    <t>MA</t>
  </si>
  <si>
    <t>ESRT</t>
  </si>
  <si>
    <t>POR</t>
  </si>
  <si>
    <t>BC</t>
  </si>
  <si>
    <t>BK</t>
  </si>
  <si>
    <t>CE</t>
  </si>
  <si>
    <t>LRCX</t>
  </si>
  <si>
    <t>SWX</t>
  </si>
  <si>
    <t>SKM</t>
  </si>
  <si>
    <t>MPLX</t>
  </si>
  <si>
    <t>OGS</t>
  </si>
  <si>
    <t>BWA</t>
  </si>
  <si>
    <t>O</t>
  </si>
  <si>
    <t>TYCB</t>
  </si>
  <si>
    <t>ALE</t>
  </si>
  <si>
    <t>JBL</t>
  </si>
  <si>
    <t>CCI</t>
  </si>
  <si>
    <t>SBUX</t>
  </si>
  <si>
    <t>AVT</t>
  </si>
  <si>
    <t>BTI</t>
  </si>
  <si>
    <t>COF</t>
  </si>
  <si>
    <t>AVB</t>
  </si>
  <si>
    <t>JPM</t>
  </si>
  <si>
    <t>HNI</t>
  </si>
  <si>
    <t>APOG</t>
  </si>
  <si>
    <t>NAVI</t>
  </si>
  <si>
    <t>UL</t>
  </si>
  <si>
    <t>RCI</t>
  </si>
  <si>
    <t>AON</t>
  </si>
  <si>
    <t>PAYX</t>
  </si>
  <si>
    <t>PSA</t>
  </si>
  <si>
    <t>SAXPY</t>
  </si>
  <si>
    <t>HUN</t>
  </si>
  <si>
    <t>HIG</t>
  </si>
  <si>
    <t>SIEGY</t>
  </si>
  <si>
    <t>SHEL</t>
  </si>
  <si>
    <t>TS</t>
  </si>
  <si>
    <t>PCAR</t>
  </si>
  <si>
    <t>BP</t>
  </si>
  <si>
    <t>SU</t>
  </si>
  <si>
    <t>FAF</t>
  </si>
  <si>
    <t>LEN</t>
  </si>
  <si>
    <t>DOX</t>
  </si>
  <si>
    <t>LYB</t>
  </si>
  <si>
    <t>INTC</t>
  </si>
  <si>
    <t>SXI</t>
  </si>
  <si>
    <t>OGE</t>
  </si>
  <si>
    <t>SAN</t>
  </si>
  <si>
    <t>AGM</t>
  </si>
  <si>
    <t>MDC</t>
  </si>
  <si>
    <t>IEX</t>
  </si>
  <si>
    <t>OKE</t>
  </si>
  <si>
    <t>NWE</t>
  </si>
  <si>
    <t>IDA</t>
  </si>
  <si>
    <t>CLX</t>
  </si>
  <si>
    <t>GS</t>
  </si>
  <si>
    <t>FANG</t>
  </si>
  <si>
    <t>HE</t>
  </si>
  <si>
    <t>RGA</t>
  </si>
  <si>
    <t>BG</t>
  </si>
  <si>
    <t>MMC</t>
  </si>
  <si>
    <t>TKR</t>
  </si>
  <si>
    <t>AVY</t>
  </si>
  <si>
    <t>WPC</t>
  </si>
  <si>
    <t>WEC</t>
  </si>
  <si>
    <t>MU</t>
  </si>
  <si>
    <t>MAR</t>
  </si>
  <si>
    <t>STZ</t>
  </si>
  <si>
    <t>OLN</t>
  </si>
  <si>
    <t>BUD</t>
  </si>
  <si>
    <t>PNW</t>
  </si>
  <si>
    <t>NNN</t>
  </si>
  <si>
    <t>PHM</t>
  </si>
  <si>
    <t>SO</t>
  </si>
  <si>
    <t>GE</t>
  </si>
  <si>
    <t>DKS</t>
  </si>
  <si>
    <t>UBS</t>
  </si>
  <si>
    <t>HPE</t>
  </si>
  <si>
    <t>M</t>
  </si>
  <si>
    <t>ERF</t>
  </si>
  <si>
    <t>THO</t>
  </si>
  <si>
    <t>RS</t>
  </si>
  <si>
    <t>ABB</t>
  </si>
  <si>
    <t>MLM</t>
  </si>
  <si>
    <t>BBD</t>
  </si>
  <si>
    <t>DHI</t>
  </si>
  <si>
    <t>DUK</t>
  </si>
  <si>
    <t>PEG</t>
  </si>
  <si>
    <t>NSRGY</t>
  </si>
  <si>
    <t>SJI</t>
  </si>
  <si>
    <t>SONY</t>
  </si>
  <si>
    <t>HAL</t>
  </si>
  <si>
    <t>DGX</t>
  </si>
  <si>
    <t>CPB</t>
  </si>
  <si>
    <t>LOGI</t>
  </si>
  <si>
    <t>CMS</t>
  </si>
  <si>
    <t>DINO</t>
  </si>
  <si>
    <t>TRGP</t>
  </si>
  <si>
    <t>NEU</t>
  </si>
  <si>
    <t>WY</t>
  </si>
  <si>
    <t>AVA</t>
  </si>
  <si>
    <t>AUY</t>
  </si>
  <si>
    <t>FCX</t>
  </si>
  <si>
    <t>NVDA</t>
  </si>
  <si>
    <t>CF</t>
  </si>
  <si>
    <t>COP</t>
  </si>
  <si>
    <t>KLIC</t>
  </si>
  <si>
    <t>NVO</t>
  </si>
  <si>
    <t>VMC</t>
  </si>
  <si>
    <t>MFGP</t>
  </si>
  <si>
    <t>OXY</t>
  </si>
  <si>
    <t>MPC</t>
  </si>
  <si>
    <t>PPL</t>
  </si>
  <si>
    <t>AGO</t>
  </si>
  <si>
    <t>STLD</t>
  </si>
  <si>
    <t>LLY</t>
  </si>
  <si>
    <t>SLG</t>
  </si>
  <si>
    <t>ZIM</t>
  </si>
  <si>
    <t>OPI</t>
  </si>
  <si>
    <t>JHG</t>
  </si>
  <si>
    <t>UNIT</t>
  </si>
  <si>
    <t>PBR</t>
  </si>
  <si>
    <t>DEI</t>
  </si>
  <si>
    <t>WSO</t>
  </si>
  <si>
    <t>MED</t>
  </si>
  <si>
    <t>ERIC</t>
  </si>
  <si>
    <t>SNV</t>
  </si>
  <si>
    <t>PDM</t>
  </si>
  <si>
    <t>ARLP</t>
  </si>
  <si>
    <t>JWN</t>
  </si>
  <si>
    <t>NXRT</t>
  </si>
  <si>
    <t>BXP</t>
  </si>
  <si>
    <t>AAT</t>
  </si>
  <si>
    <t>SAFE</t>
  </si>
  <si>
    <t>AGNC</t>
  </si>
  <si>
    <t>JACK</t>
  </si>
  <si>
    <t>HIW</t>
  </si>
  <si>
    <t>PGRE</t>
  </si>
  <si>
    <t>PAA</t>
  </si>
  <si>
    <t>KRC</t>
  </si>
  <si>
    <t>NTAP</t>
  </si>
  <si>
    <t>DEA</t>
  </si>
  <si>
    <t>ETD</t>
  </si>
  <si>
    <t>TFC</t>
  </si>
  <si>
    <t>MAC</t>
  </si>
  <si>
    <t>IRT</t>
  </si>
  <si>
    <t>TRSWF</t>
  </si>
  <si>
    <t>CUZ</t>
  </si>
  <si>
    <t>D</t>
  </si>
  <si>
    <t>C</t>
  </si>
  <si>
    <t>MGA</t>
  </si>
  <si>
    <t>PKG</t>
  </si>
  <si>
    <t>HEP</t>
  </si>
  <si>
    <t>KEY</t>
  </si>
  <si>
    <t>ASB</t>
  </si>
  <si>
    <t>CWH</t>
  </si>
  <si>
    <t>WASH</t>
  </si>
  <si>
    <t>WEYS</t>
  </si>
  <si>
    <t>HSBC</t>
  </si>
  <si>
    <t>NYCB</t>
  </si>
  <si>
    <t>PLYM</t>
  </si>
  <si>
    <t>GRMN</t>
  </si>
  <si>
    <t>ITUB</t>
  </si>
  <si>
    <t>GROW</t>
  </si>
  <si>
    <t>PNC</t>
  </si>
  <si>
    <t>GEL</t>
  </si>
  <si>
    <t>PINC</t>
  </si>
  <si>
    <t>BMWYY</t>
  </si>
  <si>
    <t>BAYRY</t>
  </si>
  <si>
    <t>UE</t>
  </si>
  <si>
    <t>RF</t>
  </si>
  <si>
    <t>TPR</t>
  </si>
  <si>
    <t>LNC</t>
  </si>
  <si>
    <t>AKR</t>
  </si>
  <si>
    <t>CODI</t>
  </si>
  <si>
    <t>USB</t>
  </si>
  <si>
    <t>VST</t>
  </si>
  <si>
    <t>IP</t>
  </si>
  <si>
    <t>MBGAF</t>
  </si>
  <si>
    <t>ASML</t>
  </si>
  <si>
    <t>CFG</t>
  </si>
  <si>
    <t>MFC</t>
  </si>
  <si>
    <t>AY</t>
  </si>
  <si>
    <t>PACW</t>
  </si>
  <si>
    <t>WFC</t>
  </si>
  <si>
    <t>YUMC</t>
  </si>
  <si>
    <t>RPT</t>
  </si>
  <si>
    <t>NHI</t>
  </si>
  <si>
    <t>WSR</t>
  </si>
  <si>
    <t>EMRAF</t>
  </si>
  <si>
    <t>KTB</t>
  </si>
  <si>
    <t>TRST</t>
  </si>
  <si>
    <t>KRG</t>
  </si>
  <si>
    <t>WSBC</t>
  </si>
  <si>
    <t>PARA</t>
  </si>
  <si>
    <t>TU</t>
  </si>
  <si>
    <t>OFC</t>
  </si>
  <si>
    <t>EOG</t>
  </si>
  <si>
    <t>DTEGY</t>
  </si>
  <si>
    <t>MKTX</t>
  </si>
  <si>
    <t>SPH</t>
  </si>
  <si>
    <t>HMC</t>
  </si>
  <si>
    <t>KMI</t>
  </si>
  <si>
    <t>E</t>
  </si>
  <si>
    <t>HBAN</t>
  </si>
  <si>
    <t>GLW</t>
  </si>
  <si>
    <t>WRK</t>
  </si>
  <si>
    <t>F</t>
  </si>
  <si>
    <t>CRI</t>
  </si>
  <si>
    <t>MS</t>
  </si>
  <si>
    <t>WPP</t>
  </si>
  <si>
    <t>NSP</t>
  </si>
  <si>
    <t>DOC</t>
  </si>
  <si>
    <t>RL</t>
  </si>
  <si>
    <t>ARE</t>
  </si>
  <si>
    <t>MCY</t>
  </si>
  <si>
    <t>AVGO</t>
  </si>
  <si>
    <t>ET</t>
  </si>
  <si>
    <t>AEE</t>
  </si>
  <si>
    <t>DOW</t>
  </si>
  <si>
    <t>TAP</t>
  </si>
  <si>
    <t>MAA</t>
  </si>
  <si>
    <t>FITB</t>
  </si>
  <si>
    <t>CPT</t>
  </si>
  <si>
    <t>REG</t>
  </si>
  <si>
    <t>NGG</t>
  </si>
  <si>
    <t>BRX</t>
  </si>
  <si>
    <t>WMB</t>
  </si>
  <si>
    <t>SBS</t>
  </si>
  <si>
    <t>DD</t>
  </si>
  <si>
    <t>SKT</t>
  </si>
  <si>
    <t>HP</t>
  </si>
  <si>
    <t>JJSF</t>
  </si>
  <si>
    <t>PLD</t>
  </si>
  <si>
    <t>DLB</t>
  </si>
  <si>
    <t>JNPR</t>
  </si>
  <si>
    <t>ROST</t>
  </si>
  <si>
    <t>IMBBY</t>
  </si>
  <si>
    <t>AMH</t>
  </si>
  <si>
    <t>PKX</t>
  </si>
  <si>
    <t>SUUIF</t>
  </si>
  <si>
    <t>APO</t>
  </si>
  <si>
    <t>ELS</t>
  </si>
  <si>
    <t>ACN</t>
  </si>
  <si>
    <t>CME</t>
  </si>
  <si>
    <t>PM</t>
  </si>
  <si>
    <t>FL</t>
  </si>
  <si>
    <t>FR</t>
  </si>
  <si>
    <t>CAJ</t>
  </si>
  <si>
    <t>PFG</t>
  </si>
  <si>
    <t>CNA</t>
  </si>
  <si>
    <t>IVZ</t>
  </si>
  <si>
    <t>JCI</t>
  </si>
  <si>
    <t>VALE</t>
  </si>
  <si>
    <t>TJX</t>
  </si>
  <si>
    <t>PECO</t>
  </si>
  <si>
    <t>SMFG</t>
  </si>
  <si>
    <t>CAG</t>
  </si>
  <si>
    <t>FRFHF</t>
  </si>
  <si>
    <t>TM</t>
  </si>
  <si>
    <t>CWEN</t>
  </si>
  <si>
    <t>GNTX</t>
  </si>
  <si>
    <t>WDFC</t>
  </si>
  <si>
    <t>PRU</t>
  </si>
  <si>
    <t>CMP</t>
  </si>
  <si>
    <t>EXPO</t>
  </si>
  <si>
    <t>CNP</t>
  </si>
  <si>
    <t>GOLD</t>
  </si>
  <si>
    <t>CNQ</t>
  </si>
  <si>
    <t>ETN</t>
  </si>
  <si>
    <t>RACE</t>
  </si>
  <si>
    <t>AES</t>
  </si>
  <si>
    <t>SCHL</t>
  </si>
  <si>
    <t>WPM</t>
  </si>
  <si>
    <t>SLB</t>
  </si>
  <si>
    <t>COLD</t>
  </si>
  <si>
    <t>PSO</t>
  </si>
  <si>
    <t>MLR</t>
  </si>
  <si>
    <t>KALU</t>
  </si>
  <si>
    <t>TRN</t>
  </si>
  <si>
    <t>AZN</t>
  </si>
  <si>
    <t>OSK</t>
  </si>
  <si>
    <t>RYN</t>
  </si>
  <si>
    <t>HLI</t>
  </si>
  <si>
    <t>PGR</t>
  </si>
  <si>
    <t>VLO</t>
  </si>
  <si>
    <t>APA</t>
  </si>
  <si>
    <t>BRMK</t>
  </si>
  <si>
    <t>IIPR</t>
  </si>
  <si>
    <t>BDN</t>
  </si>
  <si>
    <t>AQN</t>
  </si>
  <si>
    <t>CIM</t>
  </si>
  <si>
    <t>VIA</t>
  </si>
  <si>
    <t>CLPR</t>
  </si>
  <si>
    <t>MPW</t>
  </si>
  <si>
    <t>ARR</t>
  </si>
  <si>
    <t>PHG</t>
  </si>
  <si>
    <t>KNOP</t>
  </si>
  <si>
    <t>GECC</t>
  </si>
  <si>
    <t>TPVG</t>
  </si>
  <si>
    <t>HAS</t>
  </si>
  <si>
    <t>ORAN</t>
  </si>
  <si>
    <t>NSA</t>
  </si>
  <si>
    <t>UMH</t>
  </si>
  <si>
    <t>HR</t>
  </si>
  <si>
    <t>TDS</t>
  </si>
  <si>
    <t>ALV</t>
  </si>
  <si>
    <t>NEWT</t>
  </si>
  <si>
    <t>VNO</t>
  </si>
  <si>
    <t>BX</t>
  </si>
  <si>
    <t>KSS</t>
  </si>
  <si>
    <t>OWL</t>
  </si>
  <si>
    <t>KREF</t>
  </si>
  <si>
    <t>SACH</t>
  </si>
  <si>
    <t>CSWC</t>
  </si>
  <si>
    <t>EFC</t>
  </si>
  <si>
    <t>ACRE</t>
  </si>
  <si>
    <t>LSI</t>
  </si>
  <si>
    <t>TRP</t>
  </si>
  <si>
    <t>GMRE</t>
  </si>
  <si>
    <t>EPR</t>
  </si>
  <si>
    <t>DGICA</t>
  </si>
  <si>
    <t>SFL</t>
  </si>
  <si>
    <t>EXR</t>
  </si>
  <si>
    <t>NTST</t>
  </si>
  <si>
    <t>EQR</t>
  </si>
  <si>
    <t>GSBD</t>
  </si>
  <si>
    <t>RTL</t>
  </si>
  <si>
    <t>RITM</t>
  </si>
  <si>
    <t>NLY</t>
  </si>
  <si>
    <t>CCOI</t>
  </si>
  <si>
    <t>IEP</t>
  </si>
  <si>
    <t>BEP</t>
  </si>
  <si>
    <t>SBLK</t>
  </si>
  <si>
    <t>EARN</t>
  </si>
  <si>
    <t>GSK</t>
  </si>
  <si>
    <t>CTO</t>
  </si>
  <si>
    <t>HRZN</t>
  </si>
  <si>
    <t>SMG</t>
  </si>
  <si>
    <t>ORCC</t>
  </si>
  <si>
    <t>TWO</t>
  </si>
  <si>
    <t>UDR</t>
  </si>
  <si>
    <t>BGS</t>
  </si>
  <si>
    <t>STWD</t>
  </si>
  <si>
    <t>ABEV</t>
  </si>
  <si>
    <t>KRO</t>
  </si>
  <si>
    <t>OHI</t>
  </si>
  <si>
    <t>BXMT</t>
  </si>
  <si>
    <t>SBRA</t>
  </si>
  <si>
    <t>CHCT</t>
  </si>
  <si>
    <t>SRC</t>
  </si>
  <si>
    <t>CORR</t>
  </si>
  <si>
    <t>OLP</t>
  </si>
  <si>
    <t>CTRE</t>
  </si>
  <si>
    <t>MAIN</t>
  </si>
  <si>
    <t>PEAK</t>
  </si>
  <si>
    <t>NWBI</t>
  </si>
  <si>
    <t>MRCC</t>
  </si>
  <si>
    <t>AM</t>
  </si>
  <si>
    <t>IPAR</t>
  </si>
  <si>
    <t>VTR</t>
  </si>
  <si>
    <t>FCPT</t>
  </si>
  <si>
    <t>ARI</t>
  </si>
  <si>
    <t>GNL</t>
  </si>
  <si>
    <t>LTC</t>
  </si>
  <si>
    <t>PSEC</t>
  </si>
  <si>
    <t>VOD</t>
  </si>
  <si>
    <t>ROL</t>
  </si>
  <si>
    <t>EPRT</t>
  </si>
  <si>
    <t>EGP</t>
  </si>
  <si>
    <t>DREUF</t>
  </si>
  <si>
    <t>SPG</t>
  </si>
  <si>
    <t>STAG</t>
  </si>
  <si>
    <t>AEG</t>
  </si>
  <si>
    <t>STOR</t>
  </si>
  <si>
    <t>LADR</t>
  </si>
  <si>
    <t>BCE</t>
  </si>
  <si>
    <t>ARCC</t>
  </si>
  <si>
    <t>HTGC</t>
  </si>
  <si>
    <t>DRETF</t>
  </si>
  <si>
    <t>NWL</t>
  </si>
  <si>
    <t>GBDC</t>
  </si>
  <si>
    <t>LWSCF</t>
  </si>
  <si>
    <t>GLAD</t>
  </si>
  <si>
    <t>QSR</t>
  </si>
  <si>
    <t>GAIN</t>
  </si>
  <si>
    <t>NMFC</t>
  </si>
  <si>
    <t>TSLX</t>
  </si>
  <si>
    <t>PFLT</t>
  </si>
  <si>
    <t>INVH</t>
  </si>
  <si>
    <t>DANOY</t>
  </si>
  <si>
    <t>BFS</t>
  </si>
  <si>
    <t>ABR</t>
  </si>
  <si>
    <t>CWCO</t>
  </si>
  <si>
    <t>SCM</t>
  </si>
  <si>
    <t>PXD</t>
  </si>
  <si>
    <t>NYMT</t>
  </si>
  <si>
    <t>SLRC</t>
  </si>
  <si>
    <t>VICI</t>
  </si>
  <si>
    <t>ADC</t>
  </si>
  <si>
    <t>LAND</t>
  </si>
  <si>
    <t>CBRL</t>
  </si>
  <si>
    <t>BKR</t>
  </si>
  <si>
    <t>FDUS</t>
  </si>
  <si>
    <t>AMCR</t>
  </si>
  <si>
    <t>PRT</t>
  </si>
  <si>
    <t>APAM</t>
  </si>
  <si>
    <t>FTCO</t>
  </si>
  <si>
    <t>WEN</t>
  </si>
  <si>
    <t>USAC</t>
  </si>
  <si>
    <t>GOOD</t>
  </si>
  <si>
    <t>LXP</t>
  </si>
  <si>
    <t>FE</t>
  </si>
  <si>
    <t>VGR</t>
  </si>
  <si>
    <t>PINE</t>
  </si>
  <si>
    <t>PVL</t>
  </si>
  <si>
    <t>GLPI</t>
  </si>
  <si>
    <t>OXSQ</t>
  </si>
  <si>
    <t>EIFZF</t>
  </si>
  <si>
    <t>WELL</t>
  </si>
  <si>
    <t>EVA</t>
  </si>
  <si>
    <t>DRI</t>
  </si>
  <si>
    <t>NHC</t>
  </si>
  <si>
    <t>HGTXU</t>
  </si>
  <si>
    <t>ORC</t>
  </si>
  <si>
    <t>TEF</t>
  </si>
  <si>
    <t>IDEXY</t>
  </si>
  <si>
    <t>RIO</t>
  </si>
  <si>
    <t>LAMR</t>
  </si>
  <si>
    <t>CQP</t>
  </si>
  <si>
    <t>ING</t>
  </si>
  <si>
    <t>GIPR</t>
  </si>
  <si>
    <t>PETS</t>
  </si>
  <si>
    <t>BHP</t>
  </si>
  <si>
    <t>SCCO</t>
  </si>
  <si>
    <t>PBA</t>
  </si>
  <si>
    <t>IRM</t>
  </si>
  <si>
    <t>XRX</t>
  </si>
  <si>
    <t>AB</t>
  </si>
  <si>
    <t>UBA</t>
  </si>
  <si>
    <t>NEM</t>
  </si>
  <si>
    <t>KIM</t>
  </si>
  <si>
    <t>SSREY</t>
  </si>
  <si>
    <t>KHC</t>
  </si>
  <si>
    <t>GWRS</t>
  </si>
  <si>
    <t>SJR</t>
  </si>
  <si>
    <t>DVN</t>
  </si>
  <si>
    <t>CAKE</t>
  </si>
  <si>
    <t>SJT</t>
  </si>
  <si>
    <t>PPRQF</t>
  </si>
  <si>
    <t>DX</t>
  </si>
  <si>
    <t>STX</t>
  </si>
  <si>
    <t>EXC</t>
  </si>
  <si>
    <t>PMT</t>
  </si>
  <si>
    <t>SBR</t>
  </si>
  <si>
    <t>GPS</t>
  </si>
  <si>
    <t>ALL</t>
  </si>
  <si>
    <t>CRT</t>
  </si>
  <si>
    <t>PBT</t>
  </si>
  <si>
    <t>Buy</t>
  </si>
  <si>
    <t>Hold</t>
  </si>
  <si>
    <t>Sell</t>
  </si>
  <si>
    <t>A</t>
  </si>
  <si>
    <t>B</t>
  </si>
  <si>
    <t>2022-12-15</t>
  </si>
  <si>
    <t>2022-12-01</t>
  </si>
  <si>
    <t>2022-11-09</t>
  </si>
  <si>
    <t>2022-11-30</t>
  </si>
  <si>
    <t>2022-10-20</t>
  </si>
  <si>
    <t>2022-11-02</t>
  </si>
  <si>
    <t>2022-11-17</t>
  </si>
  <si>
    <t>2022-11-15</t>
  </si>
  <si>
    <t>2022-08-30</t>
  </si>
  <si>
    <t>2022-11-16</t>
  </si>
  <si>
    <t>2022-12-30</t>
  </si>
  <si>
    <t>2022-11-23</t>
  </si>
  <si>
    <t>2022-10-18</t>
  </si>
  <si>
    <t>2022-12-14</t>
  </si>
  <si>
    <t>2022-12-02</t>
  </si>
  <si>
    <t>2022-10-06</t>
  </si>
  <si>
    <t>2022-12-16</t>
  </si>
  <si>
    <t>2022-12-29</t>
  </si>
  <si>
    <t>2022-11-21</t>
  </si>
  <si>
    <t>2022-11-14</t>
  </si>
  <si>
    <t>2022-11-25</t>
  </si>
  <si>
    <t>2022-12-20</t>
  </si>
  <si>
    <t>2022-10-05</t>
  </si>
  <si>
    <t>2022-11-04</t>
  </si>
  <si>
    <t>2022-10-13</t>
  </si>
  <si>
    <t>2022-12-23</t>
  </si>
  <si>
    <t>2022-11-10</t>
  </si>
  <si>
    <t>2022-12-06</t>
  </si>
  <si>
    <t>2022-03-17</t>
  </si>
  <si>
    <t>2022-11-29</t>
  </si>
  <si>
    <t>2022-08-31</t>
  </si>
  <si>
    <t>2022-07-14</t>
  </si>
  <si>
    <t>2022-12-08</t>
  </si>
  <si>
    <t>2022-10-27</t>
  </si>
  <si>
    <t>2022-12-27</t>
  </si>
  <si>
    <t>2022-10-11</t>
  </si>
  <si>
    <t>2022-11-22</t>
  </si>
  <si>
    <t>2022-10-14</t>
  </si>
  <si>
    <t>2022-10-28</t>
  </si>
  <si>
    <t>2022-11-03</t>
  </si>
  <si>
    <t>2022-11-01</t>
  </si>
  <si>
    <t>2022-12-07</t>
  </si>
  <si>
    <t>2022-11-08</t>
  </si>
  <si>
    <t>2022-10-19</t>
  </si>
  <si>
    <t>2022-10-31</t>
  </si>
  <si>
    <t>2022-05-19</t>
  </si>
  <si>
    <t>2022-10-21</t>
  </si>
  <si>
    <t>2022-06-16</t>
  </si>
  <si>
    <t>2022-12-19</t>
  </si>
  <si>
    <t>2022-10-25</t>
  </si>
  <si>
    <t>2022-11-07</t>
  </si>
  <si>
    <t>2022-10-03</t>
  </si>
  <si>
    <t>2022-10-04</t>
  </si>
  <si>
    <t>2022-12-22</t>
  </si>
  <si>
    <t>2022-12-05</t>
  </si>
  <si>
    <t>2022-08-05</t>
  </si>
  <si>
    <t>2022-05-13</t>
  </si>
  <si>
    <t>2022-09-19</t>
  </si>
  <si>
    <t>2022-09-29</t>
  </si>
  <si>
    <t>2022-06-29</t>
  </si>
  <si>
    <t>2022-12-09</t>
  </si>
  <si>
    <t>2022-11-18</t>
  </si>
  <si>
    <t>2022-12-21</t>
  </si>
  <si>
    <t>2022-08-25</t>
  </si>
  <si>
    <t>2022-08-04</t>
  </si>
  <si>
    <t>2022-03-08</t>
  </si>
  <si>
    <t>2022-10-26</t>
  </si>
  <si>
    <t>2022-12-13</t>
  </si>
  <si>
    <t>2022-12-12</t>
  </si>
  <si>
    <t>2022-04-29</t>
  </si>
  <si>
    <t>2022-12-28</t>
  </si>
  <si>
    <t>2022-04-27</t>
  </si>
  <si>
    <t>2022-10-17</t>
  </si>
  <si>
    <t>2022-05-02</t>
  </si>
  <si>
    <t>2022-05-04</t>
  </si>
  <si>
    <t>2022-09-13</t>
  </si>
  <si>
    <t>2022-10-24</t>
  </si>
  <si>
    <t>2022-02-11</t>
  </si>
  <si>
    <t>2022-10-12</t>
  </si>
  <si>
    <t>2022-10-07</t>
  </si>
  <si>
    <t>2022-05-03</t>
  </si>
  <si>
    <t>2022-04-12</t>
  </si>
  <si>
    <t>2022-03-28</t>
  </si>
  <si>
    <t>2022-04-11</t>
  </si>
  <si>
    <t>2022-09-26</t>
  </si>
  <si>
    <t>2022-08-12</t>
  </si>
  <si>
    <t>2022-07-21</t>
  </si>
  <si>
    <t>2022-11-28</t>
  </si>
  <si>
    <t>2022-05-12</t>
  </si>
  <si>
    <t>2022-04-08</t>
  </si>
  <si>
    <t>2022-09-28</t>
  </si>
  <si>
    <t>2022-01-19</t>
  </si>
  <si>
    <t>2022-04-19</t>
  </si>
  <si>
    <t>2022-08-11</t>
  </si>
  <si>
    <t>2022-09-30</t>
  </si>
  <si>
    <t>2022-08-23</t>
  </si>
  <si>
    <t>2022-05-06</t>
  </si>
  <si>
    <t>2022-09-01</t>
  </si>
  <si>
    <t>Stock</t>
  </si>
  <si>
    <t>REIT</t>
  </si>
  <si>
    <t>MLP</t>
  </si>
  <si>
    <t>BDC</t>
  </si>
  <si>
    <t>Materials</t>
  </si>
  <si>
    <t>Industrials</t>
  </si>
  <si>
    <t>Consumer Discretionary</t>
  </si>
  <si>
    <t>Information Technology</t>
  </si>
  <si>
    <t>Financials</t>
  </si>
  <si>
    <t>Communication Services</t>
  </si>
  <si>
    <t>Consumer Staples</t>
  </si>
  <si>
    <t>Utilities</t>
  </si>
  <si>
    <t>Health Care</t>
  </si>
  <si>
    <t>Energy</t>
  </si>
  <si>
    <t>Real Estate</t>
  </si>
  <si>
    <t>Nathan Parsh</t>
  </si>
  <si>
    <t>Thomas Richmond</t>
  </si>
  <si>
    <t>Aristofanis Papadatos</t>
  </si>
  <si>
    <t>Patrick Neuwirth</t>
  </si>
  <si>
    <t>Josh Arnold</t>
  </si>
  <si>
    <t>Felix Martinez</t>
  </si>
  <si>
    <t>Jonathan Weber</t>
  </si>
  <si>
    <t>Quinn Mohammed</t>
  </si>
  <si>
    <t>Samuel Smith</t>
  </si>
  <si>
    <t>Yiannis Zourmpanos</t>
  </si>
  <si>
    <t>Nikos Sismanis</t>
  </si>
  <si>
    <t>Derek English</t>
  </si>
  <si>
    <t>Tiago Dias</t>
  </si>
  <si>
    <t>Kay Ng</t>
  </si>
  <si>
    <t>Prakash Kolli</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</si>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</sst>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216.86</v>
      </c>
      <c r="F2">
        <v>374</v>
      </c>
      <c r="G2">
        <v>0.5798395721925134</v>
      </c>
      <c r="H2">
        <v>0.00728580651111316</v>
      </c>
      <c r="I2">
        <v>0.1151632008472132</v>
      </c>
      <c r="J2">
        <v>0.075</v>
      </c>
      <c r="K2">
        <v>0.2031758581058529</v>
      </c>
      <c r="L2" t="s">
        <v>886</v>
      </c>
      <c r="M2" t="s">
        <v>573</v>
      </c>
      <c r="N2">
        <v>10.4510843373494</v>
      </c>
      <c r="O2">
        <v>20.75</v>
      </c>
      <c r="P2">
        <v>1.58</v>
      </c>
      <c r="Q2">
        <v>0.07614457831325301</v>
      </c>
      <c r="R2">
        <v>27</v>
      </c>
      <c r="S2">
        <v>0.07516162260809378</v>
      </c>
      <c r="T2" t="s">
        <v>888</v>
      </c>
      <c r="U2">
        <v>-0.06858961721807801</v>
      </c>
      <c r="V2" t="s">
        <v>986</v>
      </c>
      <c r="W2" t="s">
        <v>990</v>
      </c>
      <c r="X2">
        <v>25405.754907</v>
      </c>
      <c r="Y2" s="2">
        <v>44873</v>
      </c>
      <c r="Z2" t="s">
        <v>1001</v>
      </c>
    </row>
    <row r="3" spans="1:26">
      <c r="A3" s="1" t="s">
        <v>27</v>
      </c>
      <c r="B3">
        <f>HYPERLINK("https://www.suredividend.com/sure-analysis-MLI/","Mueller Industries, Inc.")</f>
        <v>0</v>
      </c>
      <c r="C3" t="s">
        <v>883</v>
      </c>
      <c r="D3">
        <v>69</v>
      </c>
      <c r="E3">
        <v>59</v>
      </c>
      <c r="F3">
        <v>132</v>
      </c>
      <c r="G3">
        <v>0.446969696969697</v>
      </c>
      <c r="H3">
        <v>0.01694915254237288</v>
      </c>
      <c r="I3">
        <v>0.1747471062834072</v>
      </c>
      <c r="J3">
        <v>0.01</v>
      </c>
      <c r="K3">
        <v>0.195850563285018</v>
      </c>
      <c r="L3" t="s">
        <v>886</v>
      </c>
      <c r="M3" t="s">
        <v>573</v>
      </c>
      <c r="N3">
        <v>5.363636363636363</v>
      </c>
      <c r="O3">
        <v>11</v>
      </c>
      <c r="P3">
        <v>1</v>
      </c>
      <c r="Q3">
        <v>0.09090909090909091</v>
      </c>
      <c r="R3">
        <v>2</v>
      </c>
      <c r="S3">
        <v>0.03540293633542868</v>
      </c>
      <c r="T3" t="s">
        <v>889</v>
      </c>
      <c r="U3">
        <v>0.012529625072292</v>
      </c>
      <c r="V3" t="s">
        <v>986</v>
      </c>
      <c r="W3" t="s">
        <v>991</v>
      </c>
      <c r="X3">
        <v>3344.339362</v>
      </c>
      <c r="Y3" s="2">
        <v>44888</v>
      </c>
      <c r="Z3" t="s">
        <v>1002</v>
      </c>
    </row>
    <row r="4" spans="1:26">
      <c r="A4" s="1" t="s">
        <v>28</v>
      </c>
      <c r="B4">
        <f>HYPERLINK("https://www.suredividend.com/sure-analysis-SON/","Sonoco Products Co.")</f>
        <v>0</v>
      </c>
      <c r="C4" t="s">
        <v>883</v>
      </c>
      <c r="D4">
        <v>59</v>
      </c>
      <c r="E4">
        <v>60.71</v>
      </c>
      <c r="F4">
        <v>103</v>
      </c>
      <c r="G4">
        <v>0.5894174757281554</v>
      </c>
      <c r="H4">
        <v>0.03228463185636633</v>
      </c>
      <c r="I4">
        <v>0.1115151802985868</v>
      </c>
      <c r="J4">
        <v>0.05</v>
      </c>
      <c r="K4">
        <v>0.1866113308031701</v>
      </c>
      <c r="L4" t="s">
        <v>886</v>
      </c>
      <c r="M4" t="s">
        <v>886</v>
      </c>
      <c r="N4">
        <v>9.412403100775194</v>
      </c>
      <c r="O4">
        <v>6.45</v>
      </c>
      <c r="P4">
        <v>1.96</v>
      </c>
      <c r="Q4">
        <v>0.3038759689922481</v>
      </c>
      <c r="R4">
        <v>40</v>
      </c>
      <c r="S4">
        <v>0.04987304960985517</v>
      </c>
      <c r="T4" t="s">
        <v>890</v>
      </c>
      <c r="U4">
        <v>0.07806037919455301</v>
      </c>
      <c r="V4" t="s">
        <v>986</v>
      </c>
      <c r="W4" t="s">
        <v>992</v>
      </c>
      <c r="X4">
        <v>5919.96724</v>
      </c>
      <c r="Y4" s="2">
        <v>44867</v>
      </c>
      <c r="Z4" t="s">
        <v>1001</v>
      </c>
    </row>
    <row r="5" spans="1:26">
      <c r="A5" s="1" t="s">
        <v>29</v>
      </c>
      <c r="B5">
        <f>HYPERLINK("https://www.suredividend.com/sure-analysis-QCOM/","Qualcomm, Inc.")</f>
        <v>0</v>
      </c>
      <c r="C5" t="s">
        <v>883</v>
      </c>
      <c r="D5">
        <v>121</v>
      </c>
      <c r="E5">
        <v>109.94</v>
      </c>
      <c r="F5">
        <v>164</v>
      </c>
      <c r="G5">
        <v>0.6703658536585366</v>
      </c>
      <c r="H5">
        <v>0.02728761142441332</v>
      </c>
      <c r="I5">
        <v>0.08327226257663622</v>
      </c>
      <c r="J5">
        <v>0.07000000000000001</v>
      </c>
      <c r="K5">
        <v>0.1771419067474955</v>
      </c>
      <c r="L5" t="s">
        <v>886</v>
      </c>
      <c r="M5" t="s">
        <v>887</v>
      </c>
      <c r="N5">
        <v>10.74682306940371</v>
      </c>
      <c r="O5">
        <v>10.23</v>
      </c>
      <c r="P5">
        <v>3</v>
      </c>
      <c r="Q5">
        <v>0.2932551319648093</v>
      </c>
      <c r="R5">
        <v>20</v>
      </c>
      <c r="S5">
        <v>0.07011922960697747</v>
      </c>
      <c r="T5" t="s">
        <v>891</v>
      </c>
      <c r="U5">
        <v>-0.385355081275245</v>
      </c>
      <c r="V5" t="s">
        <v>986</v>
      </c>
      <c r="W5" t="s">
        <v>993</v>
      </c>
      <c r="X5">
        <v>123242.74</v>
      </c>
      <c r="Y5" s="2">
        <v>44880</v>
      </c>
      <c r="Z5" t="s">
        <v>1001</v>
      </c>
    </row>
    <row r="6" spans="1:26">
      <c r="A6" s="1" t="s">
        <v>30</v>
      </c>
      <c r="B6">
        <f>HYPERLINK("https://www.suredividend.com/sure-analysis-WSM/","Williams-Sonoma, Inc.")</f>
        <v>0</v>
      </c>
      <c r="C6" t="s">
        <v>883</v>
      </c>
      <c r="D6">
        <v>122</v>
      </c>
      <c r="E6">
        <v>114.92</v>
      </c>
      <c r="F6">
        <v>199</v>
      </c>
      <c r="G6">
        <v>0.5774874371859297</v>
      </c>
      <c r="H6">
        <v>0.02714932126696833</v>
      </c>
      <c r="I6">
        <v>0.1160701474510413</v>
      </c>
      <c r="J6">
        <v>0.03</v>
      </c>
      <c r="K6">
        <v>0.1675711302298168</v>
      </c>
      <c r="L6" t="s">
        <v>886</v>
      </c>
      <c r="M6" t="s">
        <v>887</v>
      </c>
      <c r="N6">
        <v>8.092957746478874</v>
      </c>
      <c r="O6">
        <v>14.2</v>
      </c>
      <c r="P6">
        <v>3.12</v>
      </c>
      <c r="Q6">
        <v>0.2197183098591549</v>
      </c>
      <c r="R6">
        <v>16</v>
      </c>
      <c r="S6">
        <v>0.0602403725183247</v>
      </c>
      <c r="T6" t="s">
        <v>892</v>
      </c>
      <c r="U6">
        <v>-0.305990871352255</v>
      </c>
      <c r="V6" t="s">
        <v>986</v>
      </c>
      <c r="W6" t="s">
        <v>992</v>
      </c>
      <c r="X6">
        <v>7649.929745</v>
      </c>
      <c r="Y6" s="2">
        <v>44886</v>
      </c>
      <c r="Z6" t="s">
        <v>1003</v>
      </c>
    </row>
    <row r="7" spans="1:26">
      <c r="A7" s="1" t="s">
        <v>31</v>
      </c>
      <c r="B7">
        <f>HYPERLINK("https://www.suredividend.com/sure-analysis-CATC/","Cambridge Bancorp")</f>
        <v>0</v>
      </c>
      <c r="C7" t="s">
        <v>883</v>
      </c>
      <c r="D7">
        <v>92</v>
      </c>
      <c r="E7">
        <v>83.06</v>
      </c>
      <c r="F7">
        <v>96</v>
      </c>
      <c r="G7">
        <v>0.8652083333333334</v>
      </c>
      <c r="H7">
        <v>0.03082109318564893</v>
      </c>
      <c r="I7">
        <v>0.02938032054768702</v>
      </c>
      <c r="J7">
        <v>0.11</v>
      </c>
      <c r="K7">
        <v>0.1628738610525922</v>
      </c>
      <c r="L7" t="s">
        <v>886</v>
      </c>
      <c r="M7" t="s">
        <v>886</v>
      </c>
      <c r="N7">
        <v>10.3825</v>
      </c>
      <c r="O7">
        <v>8</v>
      </c>
      <c r="P7">
        <v>2.56</v>
      </c>
      <c r="Q7">
        <v>0.32</v>
      </c>
      <c r="R7">
        <v>23</v>
      </c>
      <c r="S7">
        <v>0.05017471470402191</v>
      </c>
      <c r="T7" t="s">
        <v>893</v>
      </c>
      <c r="U7">
        <v>-0.063336960750593</v>
      </c>
      <c r="V7" t="s">
        <v>986</v>
      </c>
      <c r="W7" t="s">
        <v>994</v>
      </c>
      <c r="X7">
        <v>647.524132</v>
      </c>
      <c r="Y7" s="2">
        <v>44885</v>
      </c>
      <c r="Z7" t="s">
        <v>1004</v>
      </c>
    </row>
    <row r="8" spans="1:26">
      <c r="A8" s="1" t="s">
        <v>32</v>
      </c>
      <c r="B8">
        <f>HYPERLINK("https://www.suredividend.com/sure-analysis-MMM/","3M Co.")</f>
        <v>0</v>
      </c>
      <c r="C8" t="s">
        <v>883</v>
      </c>
      <c r="D8">
        <v>118</v>
      </c>
      <c r="E8">
        <v>119.92</v>
      </c>
      <c r="F8">
        <v>174</v>
      </c>
      <c r="G8">
        <v>0.6891954022988506</v>
      </c>
      <c r="H8">
        <v>0.04969979986657772</v>
      </c>
      <c r="I8">
        <v>0.07728726441354072</v>
      </c>
      <c r="J8">
        <v>0.05</v>
      </c>
      <c r="K8">
        <v>0.161685753711253</v>
      </c>
      <c r="L8" t="s">
        <v>886</v>
      </c>
      <c r="M8" t="s">
        <v>886</v>
      </c>
      <c r="N8">
        <v>11.72238514173998</v>
      </c>
      <c r="O8">
        <v>10.23</v>
      </c>
      <c r="P8">
        <v>5.96</v>
      </c>
      <c r="Q8">
        <v>0.5826001955034212</v>
      </c>
      <c r="R8">
        <v>64</v>
      </c>
      <c r="S8">
        <v>0.01999003011565526</v>
      </c>
      <c r="T8" t="s">
        <v>894</v>
      </c>
      <c r="U8">
        <v>-0.296303185824194</v>
      </c>
      <c r="V8" t="s">
        <v>986</v>
      </c>
      <c r="W8" t="s">
        <v>991</v>
      </c>
      <c r="X8">
        <v>66284.93036699999</v>
      </c>
      <c r="Y8" s="2">
        <v>44859</v>
      </c>
      <c r="Z8" t="s">
        <v>1001</v>
      </c>
    </row>
    <row r="9" spans="1:26">
      <c r="A9" s="1" t="s">
        <v>33</v>
      </c>
      <c r="B9">
        <f>HYPERLINK("https://www.suredividend.com/sure-analysis-LARK/","Landmark Bancorp Inc")</f>
        <v>0</v>
      </c>
      <c r="C9" t="s">
        <v>883</v>
      </c>
      <c r="D9">
        <v>22</v>
      </c>
      <c r="E9">
        <v>22.63</v>
      </c>
      <c r="F9">
        <v>26</v>
      </c>
      <c r="G9">
        <v>0.8703846153846153</v>
      </c>
      <c r="H9">
        <v>0.03711886875828546</v>
      </c>
      <c r="I9">
        <v>0.02815302779292339</v>
      </c>
      <c r="J9">
        <v>0.1</v>
      </c>
      <c r="K9">
        <v>0.157629850158812</v>
      </c>
      <c r="L9" t="s">
        <v>886</v>
      </c>
      <c r="M9" t="s">
        <v>886</v>
      </c>
      <c r="N9">
        <v>9.588983050847459</v>
      </c>
      <c r="O9">
        <v>2.36</v>
      </c>
      <c r="P9">
        <v>0.84</v>
      </c>
      <c r="Q9">
        <v>0.3559322033898305</v>
      </c>
      <c r="R9">
        <v>21</v>
      </c>
      <c r="S9">
        <v>0.07033701387905711</v>
      </c>
      <c r="T9" t="s">
        <v>895</v>
      </c>
      <c r="U9">
        <v>-0.139101820326022</v>
      </c>
      <c r="V9" t="s">
        <v>986</v>
      </c>
      <c r="W9" t="s">
        <v>994</v>
      </c>
      <c r="X9">
        <v>112.400585</v>
      </c>
      <c r="Y9" s="2">
        <v>44914</v>
      </c>
      <c r="Z9" t="s">
        <v>1004</v>
      </c>
    </row>
    <row r="10" spans="1:26">
      <c r="A10" s="1" t="s">
        <v>34</v>
      </c>
      <c r="B10">
        <f>HYPERLINK("https://www.suredividend.com/sure-analysis-BAM/","Brookfield Asset Management Ltd")</f>
        <v>0</v>
      </c>
      <c r="C10" t="s">
        <v>884</v>
      </c>
      <c r="D10">
        <v>45</v>
      </c>
      <c r="E10">
        <v>28.67</v>
      </c>
      <c r="F10">
        <v>38</v>
      </c>
      <c r="G10">
        <v>0.7544736842105264</v>
      </c>
      <c r="H10">
        <v>0.01953261248692013</v>
      </c>
      <c r="I10">
        <v>0.05796470838548329</v>
      </c>
      <c r="J10">
        <v>0.08</v>
      </c>
      <c r="K10">
        <v>0.1564183195854141</v>
      </c>
      <c r="L10" t="s">
        <v>886</v>
      </c>
      <c r="M10" t="s">
        <v>887</v>
      </c>
      <c r="N10">
        <v>9.886206896551725</v>
      </c>
      <c r="O10">
        <v>2.9</v>
      </c>
      <c r="P10">
        <v>0.5600000000000001</v>
      </c>
      <c r="Q10">
        <v>0.1931034482758621</v>
      </c>
      <c r="R10">
        <v>11</v>
      </c>
      <c r="S10">
        <v>0.07124254564338495</v>
      </c>
      <c r="U10">
        <v>-0.104062499999999</v>
      </c>
      <c r="V10" t="s">
        <v>986</v>
      </c>
      <c r="W10" t="s">
        <v>994</v>
      </c>
      <c r="X10">
        <v>11817.830767</v>
      </c>
      <c r="Y10" s="2">
        <v>44898</v>
      </c>
      <c r="Z10" t="s">
        <v>1005</v>
      </c>
    </row>
    <row r="11" spans="1:26">
      <c r="A11" s="1" t="s">
        <v>35</v>
      </c>
      <c r="B11">
        <f>HYPERLINK("https://www.suredividend.com/sure-analysis-FOXA/","Fox Corporation")</f>
        <v>0</v>
      </c>
      <c r="C11" t="s">
        <v>883</v>
      </c>
      <c r="D11">
        <v>31</v>
      </c>
      <c r="E11">
        <v>30.37</v>
      </c>
      <c r="F11">
        <v>46</v>
      </c>
      <c r="G11">
        <v>0.6602173913043479</v>
      </c>
      <c r="H11">
        <v>0.01646361540994402</v>
      </c>
      <c r="I11">
        <v>0.08658225417510823</v>
      </c>
      <c r="J11">
        <v>0.05</v>
      </c>
      <c r="K11">
        <v>0.1513496318762122</v>
      </c>
      <c r="L11" t="s">
        <v>886</v>
      </c>
      <c r="M11" t="s">
        <v>573</v>
      </c>
      <c r="N11">
        <v>8.62784090909091</v>
      </c>
      <c r="O11">
        <v>3.52</v>
      </c>
      <c r="P11">
        <v>0.5</v>
      </c>
      <c r="Q11">
        <v>0.1420454545454546</v>
      </c>
      <c r="R11">
        <v>1</v>
      </c>
      <c r="S11">
        <v>0.03012896281839894</v>
      </c>
      <c r="T11" t="s">
        <v>896</v>
      </c>
      <c r="U11">
        <v>-0.180139783872213</v>
      </c>
      <c r="V11" t="s">
        <v>986</v>
      </c>
      <c r="W11" t="s">
        <v>995</v>
      </c>
      <c r="X11">
        <v>16020.383676</v>
      </c>
      <c r="Y11" s="2">
        <v>44888</v>
      </c>
      <c r="Z11" t="s">
        <v>1006</v>
      </c>
    </row>
    <row r="12" spans="1:26">
      <c r="A12" s="1" t="s">
        <v>36</v>
      </c>
      <c r="B12">
        <f>HYPERLINK("https://www.suredividend.com/sure-analysis-PII/","Polaris Inc")</f>
        <v>0</v>
      </c>
      <c r="C12" t="s">
        <v>883</v>
      </c>
      <c r="D12">
        <v>94</v>
      </c>
      <c r="E12">
        <v>101</v>
      </c>
      <c r="F12">
        <v>153</v>
      </c>
      <c r="G12">
        <v>0.6601307189542484</v>
      </c>
      <c r="H12">
        <v>0.02534653465346535</v>
      </c>
      <c r="I12">
        <v>0.08661078540058686</v>
      </c>
      <c r="J12">
        <v>0.04</v>
      </c>
      <c r="K12">
        <v>0.1488639954556787</v>
      </c>
      <c r="L12" t="s">
        <v>886</v>
      </c>
      <c r="M12" t="s">
        <v>887</v>
      </c>
      <c r="N12">
        <v>9.901960784313726</v>
      </c>
      <c r="O12">
        <v>10.2</v>
      </c>
      <c r="P12">
        <v>2.56</v>
      </c>
      <c r="Q12">
        <v>0.2509803921568627</v>
      </c>
      <c r="R12">
        <v>26</v>
      </c>
      <c r="S12">
        <v>0.07528000640556964</v>
      </c>
      <c r="T12" t="s">
        <v>891</v>
      </c>
      <c r="U12">
        <v>-0.063978462237091</v>
      </c>
      <c r="V12" t="s">
        <v>986</v>
      </c>
      <c r="W12" t="s">
        <v>992</v>
      </c>
      <c r="X12">
        <v>5853.809914</v>
      </c>
      <c r="Y12" s="2">
        <v>44859</v>
      </c>
      <c r="Z12" t="s">
        <v>1001</v>
      </c>
    </row>
    <row r="13" spans="1:26">
      <c r="A13" s="1" t="s">
        <v>37</v>
      </c>
      <c r="B13">
        <f>HYPERLINK("https://www.suredividend.com/sure-analysis-CSL/","Carlisle Companies Inc.")</f>
        <v>0</v>
      </c>
      <c r="C13" t="s">
        <v>883</v>
      </c>
      <c r="D13">
        <v>242</v>
      </c>
      <c r="E13">
        <v>235.65</v>
      </c>
      <c r="F13">
        <v>338</v>
      </c>
      <c r="G13">
        <v>0.697189349112426</v>
      </c>
      <c r="H13">
        <v>0.01273074474856779</v>
      </c>
      <c r="I13">
        <v>0.07480542846679183</v>
      </c>
      <c r="J13">
        <v>0.06</v>
      </c>
      <c r="K13">
        <v>0.1481778537459615</v>
      </c>
      <c r="L13" t="s">
        <v>886</v>
      </c>
      <c r="M13" t="s">
        <v>887</v>
      </c>
      <c r="N13">
        <v>11.84170854271357</v>
      </c>
      <c r="O13">
        <v>19.9</v>
      </c>
      <c r="P13">
        <v>3</v>
      </c>
      <c r="Q13">
        <v>0.1507537688442211</v>
      </c>
      <c r="R13">
        <v>46</v>
      </c>
      <c r="S13">
        <v>0.05975292415044642</v>
      </c>
      <c r="T13" t="s">
        <v>897</v>
      </c>
      <c r="U13">
        <v>-0.031394093744117</v>
      </c>
      <c r="V13" t="s">
        <v>986</v>
      </c>
      <c r="W13" t="s">
        <v>991</v>
      </c>
      <c r="X13">
        <v>12186.867152</v>
      </c>
      <c r="Y13" s="2">
        <v>44881</v>
      </c>
      <c r="Z13" t="s">
        <v>1007</v>
      </c>
    </row>
    <row r="14" spans="1:26">
      <c r="A14" s="1" t="s">
        <v>38</v>
      </c>
      <c r="B14">
        <f>HYPERLINK("https://www.suredividend.com/sure-analysis-ANDE/","Andersons Inc.")</f>
        <v>0</v>
      </c>
      <c r="C14" t="s">
        <v>883</v>
      </c>
      <c r="D14">
        <v>35</v>
      </c>
      <c r="E14">
        <v>34.99</v>
      </c>
      <c r="F14">
        <v>54</v>
      </c>
      <c r="G14">
        <v>0.647962962962963</v>
      </c>
      <c r="H14">
        <v>0.02114889968562446</v>
      </c>
      <c r="I14">
        <v>0.09066145107246726</v>
      </c>
      <c r="J14">
        <v>0.04</v>
      </c>
      <c r="K14">
        <v>0.1481382611924282</v>
      </c>
      <c r="L14" t="s">
        <v>886</v>
      </c>
      <c r="M14" t="s">
        <v>887</v>
      </c>
      <c r="N14">
        <v>9.719444444444445</v>
      </c>
      <c r="O14">
        <v>3.6</v>
      </c>
      <c r="P14">
        <v>0.74</v>
      </c>
      <c r="Q14">
        <v>0.2055555555555555</v>
      </c>
      <c r="R14">
        <v>27</v>
      </c>
      <c r="S14">
        <v>0.03526180275714541</v>
      </c>
      <c r="T14" t="s">
        <v>898</v>
      </c>
      <c r="U14">
        <v>-0.07027291302973</v>
      </c>
      <c r="V14" t="s">
        <v>986</v>
      </c>
      <c r="W14" t="s">
        <v>996</v>
      </c>
      <c r="X14">
        <v>1172.266961</v>
      </c>
      <c r="Y14" s="2">
        <v>44867</v>
      </c>
      <c r="Z14" t="s">
        <v>1004</v>
      </c>
    </row>
    <row r="15" spans="1:26">
      <c r="A15" s="1" t="s">
        <v>39</v>
      </c>
      <c r="B15">
        <f>HYPERLINK("https://www.suredividend.com/sure-analysis-RHI/","Robert Half International Inc.")</f>
        <v>0</v>
      </c>
      <c r="C15" t="s">
        <v>883</v>
      </c>
      <c r="D15">
        <v>76</v>
      </c>
      <c r="E15">
        <v>73.83</v>
      </c>
      <c r="F15">
        <v>120</v>
      </c>
      <c r="G15">
        <v>0.61525</v>
      </c>
      <c r="H15">
        <v>0.0232967628335365</v>
      </c>
      <c r="I15">
        <v>0.1020205053378147</v>
      </c>
      <c r="J15">
        <v>0.02</v>
      </c>
      <c r="K15">
        <v>0.1409751393809657</v>
      </c>
      <c r="L15" t="s">
        <v>886</v>
      </c>
      <c r="M15" t="s">
        <v>887</v>
      </c>
      <c r="N15">
        <v>12.305</v>
      </c>
      <c r="O15">
        <v>6</v>
      </c>
      <c r="P15">
        <v>1.72</v>
      </c>
      <c r="Q15">
        <v>0.2866666666666667</v>
      </c>
      <c r="R15">
        <v>18</v>
      </c>
      <c r="S15">
        <v>0.05983895403096029</v>
      </c>
      <c r="T15" t="s">
        <v>899</v>
      </c>
      <c r="U15">
        <v>-0.323893050008837</v>
      </c>
      <c r="V15" t="s">
        <v>986</v>
      </c>
      <c r="W15" t="s">
        <v>991</v>
      </c>
      <c r="X15">
        <v>8010.446913</v>
      </c>
      <c r="Y15" s="2">
        <v>44868</v>
      </c>
      <c r="Z15" t="s">
        <v>1002</v>
      </c>
    </row>
    <row r="16" spans="1:26">
      <c r="A16" s="1" t="s">
        <v>40</v>
      </c>
      <c r="B16">
        <f>HYPERLINK("https://www.suredividend.com/sure-analysis-LOW/","Lowe`s Cos., Inc.")</f>
        <v>0</v>
      </c>
      <c r="C16" t="s">
        <v>883</v>
      </c>
      <c r="D16">
        <v>209</v>
      </c>
      <c r="E16">
        <v>199.24</v>
      </c>
      <c r="F16">
        <v>268</v>
      </c>
      <c r="G16">
        <v>0.7434328358208956</v>
      </c>
      <c r="H16">
        <v>0.02108010439670749</v>
      </c>
      <c r="I16">
        <v>0.06108860868973776</v>
      </c>
      <c r="J16">
        <v>0.06</v>
      </c>
      <c r="K16">
        <v>0.140514649355671</v>
      </c>
      <c r="L16" t="s">
        <v>886</v>
      </c>
      <c r="M16" t="s">
        <v>887</v>
      </c>
      <c r="N16">
        <v>14.51128914785142</v>
      </c>
      <c r="O16">
        <v>13.73</v>
      </c>
      <c r="P16">
        <v>4.2</v>
      </c>
      <c r="Q16">
        <v>0.3058994901675164</v>
      </c>
      <c r="R16">
        <v>60</v>
      </c>
      <c r="S16">
        <v>0.06997394153840619</v>
      </c>
      <c r="T16" t="s">
        <v>900</v>
      </c>
      <c r="U16">
        <v>-0.210939130551871</v>
      </c>
      <c r="V16" t="s">
        <v>986</v>
      </c>
      <c r="W16" t="s">
        <v>992</v>
      </c>
      <c r="X16">
        <v>123668.380969</v>
      </c>
      <c r="Y16" s="2">
        <v>44895</v>
      </c>
      <c r="Z16" t="s">
        <v>1008</v>
      </c>
    </row>
    <row r="17" spans="1:26">
      <c r="A17" s="1" t="s">
        <v>41</v>
      </c>
      <c r="B17">
        <f>HYPERLINK("https://www.suredividend.com/sure-analysis-UGI/","UGI Corp.")</f>
        <v>0</v>
      </c>
      <c r="C17" t="s">
        <v>883</v>
      </c>
      <c r="D17">
        <v>38</v>
      </c>
      <c r="E17">
        <v>37.07</v>
      </c>
      <c r="F17">
        <v>46.2</v>
      </c>
      <c r="G17">
        <v>0.8023809523809523</v>
      </c>
      <c r="H17">
        <v>0.03884542756946317</v>
      </c>
      <c r="I17">
        <v>0.04501825711228924</v>
      </c>
      <c r="J17">
        <v>0.065</v>
      </c>
      <c r="K17">
        <v>0.1396344265713656</v>
      </c>
      <c r="L17" t="s">
        <v>886</v>
      </c>
      <c r="M17" t="s">
        <v>886</v>
      </c>
      <c r="N17">
        <v>12.43959731543624</v>
      </c>
      <c r="O17">
        <v>2.98</v>
      </c>
      <c r="P17">
        <v>1.44</v>
      </c>
      <c r="Q17">
        <v>0.4832214765100671</v>
      </c>
      <c r="R17">
        <v>35</v>
      </c>
      <c r="S17">
        <v>0.03375419717730299</v>
      </c>
      <c r="T17" t="s">
        <v>901</v>
      </c>
      <c r="U17">
        <v>-0.161082558800033</v>
      </c>
      <c r="V17" t="s">
        <v>986</v>
      </c>
      <c r="W17" t="s">
        <v>997</v>
      </c>
      <c r="X17">
        <v>7773.905957</v>
      </c>
      <c r="Y17" s="2">
        <v>44898</v>
      </c>
      <c r="Z17" t="s">
        <v>1009</v>
      </c>
    </row>
    <row r="18" spans="1:26">
      <c r="A18" s="1" t="s">
        <v>42</v>
      </c>
      <c r="B18">
        <f>HYPERLINK("https://www.suredividend.com/sure-analysis-DCI/","Donaldson Co. Inc.")</f>
        <v>0</v>
      </c>
      <c r="C18" t="s">
        <v>883</v>
      </c>
      <c r="D18">
        <v>60</v>
      </c>
      <c r="E18">
        <v>58.87</v>
      </c>
      <c r="F18">
        <v>72</v>
      </c>
      <c r="G18">
        <v>0.8176388888888888</v>
      </c>
      <c r="H18">
        <v>0.01562765415321896</v>
      </c>
      <c r="I18">
        <v>0.04108860282482163</v>
      </c>
      <c r="J18">
        <v>0.08</v>
      </c>
      <c r="K18">
        <v>0.1364919163897753</v>
      </c>
      <c r="L18" t="s">
        <v>886</v>
      </c>
      <c r="M18" t="s">
        <v>573</v>
      </c>
      <c r="N18">
        <v>19.62333333333333</v>
      </c>
      <c r="O18">
        <v>3</v>
      </c>
      <c r="P18">
        <v>0.92</v>
      </c>
      <c r="Q18">
        <v>0.3066666666666667</v>
      </c>
      <c r="R18">
        <v>26</v>
      </c>
      <c r="S18">
        <v>0.07971513264886743</v>
      </c>
      <c r="T18" t="s">
        <v>902</v>
      </c>
      <c r="U18">
        <v>0.018695405401663</v>
      </c>
      <c r="V18" t="s">
        <v>986</v>
      </c>
      <c r="W18" t="s">
        <v>991</v>
      </c>
      <c r="X18">
        <v>7163.70898</v>
      </c>
      <c r="Y18" s="2">
        <v>44909</v>
      </c>
      <c r="Z18" t="s">
        <v>1005</v>
      </c>
    </row>
    <row r="19" spans="1:26">
      <c r="A19" s="1" t="s">
        <v>43</v>
      </c>
      <c r="B19">
        <f>HYPERLINK("https://www.suredividend.com/sure-analysis-BRC/","Brady Corp.")</f>
        <v>0</v>
      </c>
      <c r="C19" t="s">
        <v>883</v>
      </c>
      <c r="D19">
        <v>48</v>
      </c>
      <c r="E19">
        <v>47.1</v>
      </c>
      <c r="F19">
        <v>66</v>
      </c>
      <c r="G19">
        <v>0.7136363636363636</v>
      </c>
      <c r="H19">
        <v>0.01953290870488323</v>
      </c>
      <c r="I19">
        <v>0.06980495648666851</v>
      </c>
      <c r="J19">
        <v>0.05</v>
      </c>
      <c r="K19">
        <v>0.1360594137938171</v>
      </c>
      <c r="L19" t="s">
        <v>886</v>
      </c>
      <c r="M19" t="s">
        <v>887</v>
      </c>
      <c r="N19">
        <v>13.65217391304348</v>
      </c>
      <c r="O19">
        <v>3.45</v>
      </c>
      <c r="P19">
        <v>0.92</v>
      </c>
      <c r="Q19">
        <v>0.2666666666666667</v>
      </c>
      <c r="R19">
        <v>37</v>
      </c>
      <c r="S19">
        <v>0.02085125936929089</v>
      </c>
      <c r="T19" t="s">
        <v>903</v>
      </c>
      <c r="U19">
        <v>-0.11352189657379</v>
      </c>
      <c r="V19" t="s">
        <v>986</v>
      </c>
      <c r="W19" t="s">
        <v>991</v>
      </c>
      <c r="X19">
        <v>2184.512601</v>
      </c>
      <c r="Y19" s="2">
        <v>44885</v>
      </c>
      <c r="Z19" t="s">
        <v>1001</v>
      </c>
    </row>
    <row r="20" spans="1:26">
      <c r="A20" s="1" t="s">
        <v>44</v>
      </c>
      <c r="B20">
        <f>HYPERLINK("https://www.suredividend.com/sure-analysis-WRB/","W.R. Berkley Corp.")</f>
        <v>0</v>
      </c>
      <c r="C20" t="s">
        <v>883</v>
      </c>
      <c r="D20">
        <v>74</v>
      </c>
      <c r="E20">
        <v>72.56999999999999</v>
      </c>
      <c r="F20">
        <v>87</v>
      </c>
      <c r="G20">
        <v>0.8341379310344826</v>
      </c>
      <c r="H20">
        <v>0.0122640209452942</v>
      </c>
      <c r="I20">
        <v>0.03693713048891256</v>
      </c>
      <c r="J20">
        <v>0.08</v>
      </c>
      <c r="K20">
        <v>0.1316874201885982</v>
      </c>
      <c r="L20" t="s">
        <v>886</v>
      </c>
      <c r="M20" t="s">
        <v>573</v>
      </c>
      <c r="N20">
        <v>16.68275862068965</v>
      </c>
      <c r="O20">
        <v>4.35</v>
      </c>
      <c r="P20">
        <v>0.89</v>
      </c>
      <c r="Q20">
        <v>0.2045977011494253</v>
      </c>
      <c r="R20">
        <v>17</v>
      </c>
      <c r="S20">
        <v>0.1486983549970351</v>
      </c>
      <c r="T20" t="s">
        <v>904</v>
      </c>
      <c r="U20">
        <v>0.343083039065449</v>
      </c>
      <c r="V20" t="s">
        <v>986</v>
      </c>
      <c r="W20" t="s">
        <v>994</v>
      </c>
      <c r="X20">
        <v>19265.602101</v>
      </c>
      <c r="Y20" s="2">
        <v>44922</v>
      </c>
      <c r="Z20" t="s">
        <v>1010</v>
      </c>
    </row>
    <row r="21" spans="1:26">
      <c r="A21" s="1" t="s">
        <v>45</v>
      </c>
      <c r="B21">
        <f>HYPERLINK("https://www.suredividend.com/sure-analysis-ADI/","Analog Devices Inc.")</f>
        <v>0</v>
      </c>
      <c r="C21" t="s">
        <v>883</v>
      </c>
      <c r="D21">
        <v>164</v>
      </c>
      <c r="E21">
        <v>164.03</v>
      </c>
      <c r="F21">
        <v>176</v>
      </c>
      <c r="G21">
        <v>0.9319886363636364</v>
      </c>
      <c r="H21">
        <v>0.01853319514722917</v>
      </c>
      <c r="I21">
        <v>0.01418661979225666</v>
      </c>
      <c r="J21">
        <v>0.1</v>
      </c>
      <c r="K21">
        <v>0.1312396514864462</v>
      </c>
      <c r="L21" t="s">
        <v>886</v>
      </c>
      <c r="M21" t="s">
        <v>573</v>
      </c>
      <c r="N21">
        <v>16.7719836400818</v>
      </c>
      <c r="O21">
        <v>9.779999999999999</v>
      </c>
      <c r="P21">
        <v>3.04</v>
      </c>
      <c r="Q21">
        <v>0.310838445807771</v>
      </c>
      <c r="R21">
        <v>18</v>
      </c>
      <c r="S21">
        <v>0.1001819089885529</v>
      </c>
      <c r="T21" t="s">
        <v>902</v>
      </c>
      <c r="U21">
        <v>-0.04373695216586</v>
      </c>
      <c r="V21" t="s">
        <v>986</v>
      </c>
      <c r="W21" t="s">
        <v>993</v>
      </c>
      <c r="X21">
        <v>83539.813202</v>
      </c>
      <c r="Y21" s="2">
        <v>44917</v>
      </c>
      <c r="Z21" t="s">
        <v>1008</v>
      </c>
    </row>
    <row r="22" spans="1:26">
      <c r="A22" s="1" t="s">
        <v>46</v>
      </c>
      <c r="B22">
        <f>HYPERLINK("https://www.suredividend.com/sure-analysis-PNR/","Pentair plc")</f>
        <v>0</v>
      </c>
      <c r="C22" t="s">
        <v>883</v>
      </c>
      <c r="D22">
        <v>43</v>
      </c>
      <c r="E22">
        <v>44.98</v>
      </c>
      <c r="F22">
        <v>58</v>
      </c>
      <c r="G22">
        <v>0.7755172413793103</v>
      </c>
      <c r="H22">
        <v>0.01867496665184527</v>
      </c>
      <c r="I22">
        <v>0.05215980934597519</v>
      </c>
      <c r="J22">
        <v>0.06</v>
      </c>
      <c r="K22">
        <v>0.1289402003096085</v>
      </c>
      <c r="L22" t="s">
        <v>886</v>
      </c>
      <c r="M22" t="s">
        <v>887</v>
      </c>
      <c r="N22">
        <v>12.32328767123288</v>
      </c>
      <c r="O22">
        <v>3.65</v>
      </c>
      <c r="P22">
        <v>0.84</v>
      </c>
      <c r="Q22">
        <v>0.2301369863013699</v>
      </c>
      <c r="R22">
        <v>45</v>
      </c>
      <c r="S22">
        <v>0.04959293402845044</v>
      </c>
      <c r="T22" t="s">
        <v>892</v>
      </c>
      <c r="U22">
        <v>-0.367616273266252</v>
      </c>
      <c r="V22" t="s">
        <v>986</v>
      </c>
      <c r="W22" t="s">
        <v>991</v>
      </c>
      <c r="X22">
        <v>7399.135963</v>
      </c>
      <c r="Y22" s="2">
        <v>44864</v>
      </c>
      <c r="Z22" t="s">
        <v>1007</v>
      </c>
    </row>
    <row r="23" spans="1:26">
      <c r="A23" s="1" t="s">
        <v>47</v>
      </c>
      <c r="B23">
        <f>HYPERLINK("https://www.suredividend.com/sure-analysis-HUM/","Humana Inc.")</f>
        <v>0</v>
      </c>
      <c r="C23" t="s">
        <v>883</v>
      </c>
      <c r="D23">
        <v>557</v>
      </c>
      <c r="E23">
        <v>512.1900000000001</v>
      </c>
      <c r="F23">
        <v>475</v>
      </c>
      <c r="G23">
        <v>1.078294736842105</v>
      </c>
      <c r="H23">
        <v>0.006150061500615005</v>
      </c>
      <c r="I23">
        <v>-0.01496309271124652</v>
      </c>
      <c r="J23">
        <v>0.14</v>
      </c>
      <c r="K23">
        <v>0.1279455184726437</v>
      </c>
      <c r="L23" t="s">
        <v>886</v>
      </c>
      <c r="M23" t="s">
        <v>572</v>
      </c>
      <c r="N23">
        <v>20.4876</v>
      </c>
      <c r="O23">
        <v>25</v>
      </c>
      <c r="P23">
        <v>3.15</v>
      </c>
      <c r="Q23">
        <v>0.126</v>
      </c>
      <c r="R23">
        <v>11</v>
      </c>
      <c r="S23">
        <v>0.09014994437013746</v>
      </c>
      <c r="T23" t="s">
        <v>905</v>
      </c>
      <c r="U23">
        <v>0.105763055091693</v>
      </c>
      <c r="V23" t="s">
        <v>986</v>
      </c>
      <c r="W23" t="s">
        <v>998</v>
      </c>
      <c r="X23">
        <v>64843.416876</v>
      </c>
      <c r="Y23" s="2">
        <v>44868</v>
      </c>
      <c r="Z23" t="s">
        <v>1004</v>
      </c>
    </row>
    <row r="24" spans="1:26">
      <c r="A24" s="1" t="s">
        <v>48</v>
      </c>
      <c r="B24">
        <f>HYPERLINK("https://www.suredividend.com/sure-analysis-FLIC/","First Of Long Island Corp.")</f>
        <v>0</v>
      </c>
      <c r="C24" t="s">
        <v>883</v>
      </c>
      <c r="D24">
        <v>18</v>
      </c>
      <c r="E24">
        <v>18</v>
      </c>
      <c r="F24">
        <v>23</v>
      </c>
      <c r="G24">
        <v>0.7826086956521739</v>
      </c>
      <c r="H24">
        <v>0.04666666666666666</v>
      </c>
      <c r="I24">
        <v>0.05024607263868264</v>
      </c>
      <c r="J24">
        <v>0.04</v>
      </c>
      <c r="K24">
        <v>0.1274703832404105</v>
      </c>
      <c r="L24" t="s">
        <v>886</v>
      </c>
      <c r="M24" t="s">
        <v>886</v>
      </c>
      <c r="N24">
        <v>8.571428571428571</v>
      </c>
      <c r="O24">
        <v>2.1</v>
      </c>
      <c r="P24">
        <v>0.84</v>
      </c>
      <c r="Q24">
        <v>0.4</v>
      </c>
      <c r="R24">
        <v>45</v>
      </c>
      <c r="S24">
        <v>0.04563955259127317</v>
      </c>
      <c r="T24" t="s">
        <v>898</v>
      </c>
      <c r="U24">
        <v>-0.12450510218971</v>
      </c>
      <c r="V24" t="s">
        <v>986</v>
      </c>
      <c r="W24" t="s">
        <v>994</v>
      </c>
      <c r="X24">
        <v>407.854476</v>
      </c>
      <c r="Y24" s="2">
        <v>44866</v>
      </c>
      <c r="Z24" t="s">
        <v>1007</v>
      </c>
    </row>
    <row r="25" spans="1:26">
      <c r="A25" s="1" t="s">
        <v>49</v>
      </c>
      <c r="B25">
        <f>HYPERLINK("https://www.suredividend.com/sure-analysis-BMY/","Bristol-Myers Squibb Co.")</f>
        <v>0</v>
      </c>
      <c r="C25" t="s">
        <v>883</v>
      </c>
      <c r="D25">
        <v>77</v>
      </c>
      <c r="E25">
        <v>71.95</v>
      </c>
      <c r="F25">
        <v>102</v>
      </c>
      <c r="G25">
        <v>0.7053921568627451</v>
      </c>
      <c r="H25">
        <v>0.03168867268936761</v>
      </c>
      <c r="I25">
        <v>0.07229399700927042</v>
      </c>
      <c r="J25">
        <v>0.03</v>
      </c>
      <c r="K25">
        <v>0.1274071347366943</v>
      </c>
      <c r="L25" t="s">
        <v>886</v>
      </c>
      <c r="M25" t="s">
        <v>886</v>
      </c>
      <c r="N25">
        <v>9.479578392621871</v>
      </c>
      <c r="O25">
        <v>7.59</v>
      </c>
      <c r="P25">
        <v>2.28</v>
      </c>
      <c r="Q25">
        <v>0.300395256916996</v>
      </c>
      <c r="R25">
        <v>16</v>
      </c>
      <c r="S25">
        <v>0.03895047748988278</v>
      </c>
      <c r="T25" t="s">
        <v>903</v>
      </c>
      <c r="U25">
        <v>0.186575126944573</v>
      </c>
      <c r="V25" t="s">
        <v>986</v>
      </c>
      <c r="W25" t="s">
        <v>998</v>
      </c>
      <c r="X25">
        <v>152977.236967</v>
      </c>
      <c r="Y25" s="2">
        <v>44866</v>
      </c>
      <c r="Z25" t="s">
        <v>1001</v>
      </c>
    </row>
    <row r="26" spans="1:26">
      <c r="A26" s="1" t="s">
        <v>50</v>
      </c>
      <c r="B26">
        <f>HYPERLINK("https://www.suredividend.com/sure-analysis-HI/","Hillenbrand Inc")</f>
        <v>0</v>
      </c>
      <c r="C26" t="s">
        <v>883</v>
      </c>
      <c r="D26">
        <v>43</v>
      </c>
      <c r="E26">
        <v>42.67</v>
      </c>
      <c r="F26">
        <v>60</v>
      </c>
      <c r="G26">
        <v>0.7111666666666667</v>
      </c>
      <c r="H26">
        <v>0.02062338879775017</v>
      </c>
      <c r="I26">
        <v>0.07054695739565608</v>
      </c>
      <c r="J26">
        <v>0.04</v>
      </c>
      <c r="K26">
        <v>0.1269111319132243</v>
      </c>
      <c r="L26" t="s">
        <v>886</v>
      </c>
      <c r="M26" t="s">
        <v>887</v>
      </c>
      <c r="N26">
        <v>9.923255813953489</v>
      </c>
      <c r="O26">
        <v>4.3</v>
      </c>
      <c r="P26">
        <v>0.88</v>
      </c>
      <c r="Q26">
        <v>0.2046511627906977</v>
      </c>
      <c r="R26">
        <v>15</v>
      </c>
      <c r="S26">
        <v>0.01111384065820276</v>
      </c>
      <c r="T26" t="s">
        <v>888</v>
      </c>
      <c r="U26">
        <v>-0.159347652202008</v>
      </c>
      <c r="V26" t="s">
        <v>986</v>
      </c>
      <c r="W26" t="s">
        <v>991</v>
      </c>
      <c r="X26">
        <v>2939.110069</v>
      </c>
      <c r="Y26" s="2">
        <v>44917</v>
      </c>
      <c r="Z26" t="s">
        <v>1008</v>
      </c>
    </row>
    <row r="27" spans="1:26">
      <c r="A27" s="1" t="s">
        <v>51</v>
      </c>
      <c r="B27">
        <f>HYPERLINK("https://www.suredividend.com/sure-analysis-PRI/","Primerica Inc")</f>
        <v>0</v>
      </c>
      <c r="C27" t="s">
        <v>883</v>
      </c>
      <c r="D27">
        <v>143</v>
      </c>
      <c r="E27">
        <v>141.82</v>
      </c>
      <c r="F27">
        <v>144</v>
      </c>
      <c r="G27">
        <v>0.9848611111111111</v>
      </c>
      <c r="H27">
        <v>0.01551262163305599</v>
      </c>
      <c r="I27">
        <v>0.003055589164711492</v>
      </c>
      <c r="J27">
        <v>0.11</v>
      </c>
      <c r="K27">
        <v>0.125893347990399</v>
      </c>
      <c r="L27" t="s">
        <v>886</v>
      </c>
      <c r="M27" t="s">
        <v>573</v>
      </c>
      <c r="N27">
        <v>12.83438914027149</v>
      </c>
      <c r="O27">
        <v>11.05</v>
      </c>
      <c r="P27">
        <v>2.2</v>
      </c>
      <c r="Q27">
        <v>0.1990950226244344</v>
      </c>
      <c r="R27">
        <v>12</v>
      </c>
      <c r="S27">
        <v>0.07983144053217384</v>
      </c>
      <c r="T27" t="s">
        <v>906</v>
      </c>
      <c r="U27">
        <v>-0.06102664706003001</v>
      </c>
      <c r="V27" t="s">
        <v>986</v>
      </c>
      <c r="W27" t="s">
        <v>994</v>
      </c>
      <c r="X27">
        <v>5232.898469</v>
      </c>
      <c r="Y27" s="2">
        <v>44874</v>
      </c>
      <c r="Z27" t="s">
        <v>1004</v>
      </c>
    </row>
    <row r="28" spans="1:26">
      <c r="A28" s="1" t="s">
        <v>52</v>
      </c>
      <c r="B28">
        <f>HYPERLINK("https://www.suredividend.com/sure-analysis-CPKF/","Chesapeake Financial Shares Inc")</f>
        <v>0</v>
      </c>
      <c r="C28" t="s">
        <v>883</v>
      </c>
      <c r="D28">
        <v>21</v>
      </c>
      <c r="E28">
        <v>20.44</v>
      </c>
      <c r="F28">
        <v>26</v>
      </c>
      <c r="G28">
        <v>0.7861538461538462</v>
      </c>
      <c r="H28">
        <v>0.02935420743639922</v>
      </c>
      <c r="I28">
        <v>0.04929714523157536</v>
      </c>
      <c r="J28">
        <v>0.05</v>
      </c>
      <c r="K28">
        <v>0.1240382857341966</v>
      </c>
      <c r="L28" t="s">
        <v>886</v>
      </c>
      <c r="M28" t="s">
        <v>886</v>
      </c>
      <c r="N28">
        <v>7.048275862068966</v>
      </c>
      <c r="O28">
        <v>2.9</v>
      </c>
      <c r="P28">
        <v>0.6</v>
      </c>
      <c r="Q28">
        <v>0.2068965517241379</v>
      </c>
      <c r="R28">
        <v>29</v>
      </c>
      <c r="S28">
        <v>0.05115774595007161</v>
      </c>
      <c r="T28" t="s">
        <v>891</v>
      </c>
      <c r="U28">
        <v>-0.314512613102065</v>
      </c>
      <c r="V28" t="s">
        <v>986</v>
      </c>
      <c r="W28" t="s">
        <v>994</v>
      </c>
      <c r="X28">
        <v>96.20701200000001</v>
      </c>
      <c r="Y28" s="2">
        <v>44878</v>
      </c>
      <c r="Z28" t="s">
        <v>1005</v>
      </c>
    </row>
    <row r="29" spans="1:26">
      <c r="A29" s="1" t="s">
        <v>53</v>
      </c>
      <c r="B29">
        <f>HYPERLINK("https://www.suredividend.com/sure-analysis-WBA/","Walgreens Boots Alliance Inc")</f>
        <v>0</v>
      </c>
      <c r="C29" t="s">
        <v>883</v>
      </c>
      <c r="D29">
        <v>34</v>
      </c>
      <c r="E29">
        <v>37.36</v>
      </c>
      <c r="F29">
        <v>46</v>
      </c>
      <c r="G29">
        <v>0.8121739130434783</v>
      </c>
      <c r="H29">
        <v>0.05139186295503212</v>
      </c>
      <c r="I29">
        <v>0.04248590751235493</v>
      </c>
      <c r="J29">
        <v>0.04</v>
      </c>
      <c r="K29">
        <v>0.1232193696443884</v>
      </c>
      <c r="L29" t="s">
        <v>886</v>
      </c>
      <c r="M29" t="s">
        <v>886</v>
      </c>
      <c r="N29">
        <v>8.210989010989012</v>
      </c>
      <c r="O29">
        <v>4.55</v>
      </c>
      <c r="P29">
        <v>1.92</v>
      </c>
      <c r="Q29">
        <v>0.421978021978022</v>
      </c>
      <c r="R29">
        <v>47</v>
      </c>
      <c r="S29">
        <v>0.0403582746309219</v>
      </c>
      <c r="T29" t="s">
        <v>907</v>
      </c>
      <c r="U29">
        <v>-0.248170232290444</v>
      </c>
      <c r="V29" t="s">
        <v>986</v>
      </c>
      <c r="W29" t="s">
        <v>998</v>
      </c>
      <c r="X29">
        <v>32216.806833</v>
      </c>
      <c r="Y29" s="2">
        <v>44848</v>
      </c>
      <c r="Z29" t="s">
        <v>1003</v>
      </c>
    </row>
    <row r="30" spans="1:26">
      <c r="A30" s="1" t="s">
        <v>54</v>
      </c>
      <c r="B30">
        <f>HYPERLINK("https://www.suredividend.com/sure-analysis-EXPD/","Expeditors International Of Washington, Inc.")</f>
        <v>0</v>
      </c>
      <c r="C30" t="s">
        <v>883</v>
      </c>
      <c r="D30">
        <v>114.9999</v>
      </c>
      <c r="E30">
        <v>103.92</v>
      </c>
      <c r="F30">
        <v>161</v>
      </c>
      <c r="G30">
        <v>0.6454658385093168</v>
      </c>
      <c r="H30">
        <v>0.01289453425712086</v>
      </c>
      <c r="I30">
        <v>0.09150404021280512</v>
      </c>
      <c r="J30">
        <v>0.02</v>
      </c>
      <c r="K30">
        <v>0.1226316223449895</v>
      </c>
      <c r="L30" t="s">
        <v>886</v>
      </c>
      <c r="M30" t="s">
        <v>573</v>
      </c>
      <c r="N30">
        <v>11.59821428571428</v>
      </c>
      <c r="O30">
        <v>8.960000000000001</v>
      </c>
      <c r="P30">
        <v>1.34</v>
      </c>
      <c r="Q30">
        <v>0.1495535714285714</v>
      </c>
      <c r="R30">
        <v>27</v>
      </c>
      <c r="S30">
        <v>0.0399598224746982</v>
      </c>
      <c r="T30" t="s">
        <v>891</v>
      </c>
      <c r="U30">
        <v>-0.216365828663727</v>
      </c>
      <c r="V30" t="s">
        <v>986</v>
      </c>
      <c r="W30" t="s">
        <v>991</v>
      </c>
      <c r="X30">
        <v>16537.453025</v>
      </c>
      <c r="Y30" s="2">
        <v>44888</v>
      </c>
      <c r="Z30" t="s">
        <v>1006</v>
      </c>
    </row>
    <row r="31" spans="1:26">
      <c r="A31" s="1" t="s">
        <v>55</v>
      </c>
      <c r="B31">
        <f>HYPERLINK("https://www.suredividend.com/sure-analysis-AIZ/","Assurant Inc")</f>
        <v>0</v>
      </c>
      <c r="C31" t="s">
        <v>883</v>
      </c>
      <c r="D31">
        <v>121</v>
      </c>
      <c r="E31">
        <v>125.06</v>
      </c>
      <c r="F31">
        <v>146</v>
      </c>
      <c r="G31">
        <v>0.8565753424657534</v>
      </c>
      <c r="H31">
        <v>0.02238925315848393</v>
      </c>
      <c r="I31">
        <v>0.03144692696119611</v>
      </c>
      <c r="J31">
        <v>0.07000000000000001</v>
      </c>
      <c r="K31">
        <v>0.12129777344057</v>
      </c>
      <c r="L31" t="s">
        <v>886</v>
      </c>
      <c r="M31" t="s">
        <v>887</v>
      </c>
      <c r="N31">
        <v>11.79811320754717</v>
      </c>
      <c r="O31">
        <v>10.6</v>
      </c>
      <c r="P31">
        <v>2.8</v>
      </c>
      <c r="Q31">
        <v>0.2641509433962264</v>
      </c>
      <c r="R31">
        <v>18</v>
      </c>
      <c r="S31">
        <v>0.06353892346517265</v>
      </c>
      <c r="T31" t="s">
        <v>908</v>
      </c>
      <c r="U31">
        <v>-0.182262163899352</v>
      </c>
      <c r="V31" t="s">
        <v>986</v>
      </c>
      <c r="W31" t="s">
        <v>994</v>
      </c>
      <c r="X31">
        <v>6607.098511</v>
      </c>
      <c r="Y31" s="2">
        <v>44872</v>
      </c>
      <c r="Z31" t="s">
        <v>1003</v>
      </c>
    </row>
    <row r="32" spans="1:26">
      <c r="A32" s="1" t="s">
        <v>56</v>
      </c>
      <c r="B32">
        <f>HYPERLINK("https://www.suredividend.com/sure-analysis-MDT/","Medtronic Plc")</f>
        <v>0</v>
      </c>
      <c r="C32" t="s">
        <v>883</v>
      </c>
      <c r="D32">
        <v>79</v>
      </c>
      <c r="E32">
        <v>77.72</v>
      </c>
      <c r="F32">
        <v>90</v>
      </c>
      <c r="G32">
        <v>0.8635555555555555</v>
      </c>
      <c r="H32">
        <v>0.03499742665980443</v>
      </c>
      <c r="I32">
        <v>0.02977404991718879</v>
      </c>
      <c r="J32">
        <v>0.06</v>
      </c>
      <c r="K32">
        <v>0.1207209473462116</v>
      </c>
      <c r="L32" t="s">
        <v>886</v>
      </c>
      <c r="M32" t="s">
        <v>886</v>
      </c>
      <c r="N32">
        <v>14.71969696969697</v>
      </c>
      <c r="O32">
        <v>5.28</v>
      </c>
      <c r="P32">
        <v>2.72</v>
      </c>
      <c r="Q32">
        <v>0.5151515151515151</v>
      </c>
      <c r="R32">
        <v>45</v>
      </c>
      <c r="S32">
        <v>0.0747294275164867</v>
      </c>
      <c r="T32" t="s">
        <v>909</v>
      </c>
      <c r="U32">
        <v>-0.23307525769737</v>
      </c>
      <c r="V32" t="s">
        <v>986</v>
      </c>
      <c r="W32" t="s">
        <v>998</v>
      </c>
      <c r="X32">
        <v>103381.58789</v>
      </c>
      <c r="Y32" s="2">
        <v>44890</v>
      </c>
      <c r="Z32" t="s">
        <v>1003</v>
      </c>
    </row>
    <row r="33" spans="1:26">
      <c r="A33" s="1" t="s">
        <v>57</v>
      </c>
      <c r="B33">
        <f>HYPERLINK("https://www.suredividend.com/sure-analysis-ABM/","ABM Industries Inc.")</f>
        <v>0</v>
      </c>
      <c r="C33" t="s">
        <v>883</v>
      </c>
      <c r="D33">
        <v>42</v>
      </c>
      <c r="E33">
        <v>44.42</v>
      </c>
      <c r="F33">
        <v>58</v>
      </c>
      <c r="G33">
        <v>0.7658620689655172</v>
      </c>
      <c r="H33">
        <v>0.01981089599279604</v>
      </c>
      <c r="I33">
        <v>0.05479943348714822</v>
      </c>
      <c r="J33">
        <v>0.05</v>
      </c>
      <c r="K33">
        <v>0.1205743621110698</v>
      </c>
      <c r="L33" t="s">
        <v>886</v>
      </c>
      <c r="M33" t="s">
        <v>887</v>
      </c>
      <c r="N33">
        <v>12.16986301369863</v>
      </c>
      <c r="O33">
        <v>3.65</v>
      </c>
      <c r="P33">
        <v>0.88</v>
      </c>
      <c r="Q33">
        <v>0.2410958904109589</v>
      </c>
      <c r="R33">
        <v>55</v>
      </c>
      <c r="S33">
        <v>0.004504686905032917</v>
      </c>
      <c r="T33" t="s">
        <v>910</v>
      </c>
      <c r="U33">
        <v>0.115780430889183</v>
      </c>
      <c r="V33" t="s">
        <v>986</v>
      </c>
      <c r="W33" t="s">
        <v>991</v>
      </c>
      <c r="X33">
        <v>2913.982383</v>
      </c>
      <c r="Y33" s="2">
        <v>44858</v>
      </c>
      <c r="Z33" t="s">
        <v>1007</v>
      </c>
    </row>
    <row r="34" spans="1:26">
      <c r="A34" s="1" t="s">
        <v>58</v>
      </c>
      <c r="B34">
        <f>HYPERLINK("https://www.suredividend.com/sure-analysis-EFSI/","Eagle Financial Services, Inc.")</f>
        <v>0</v>
      </c>
      <c r="C34" t="s">
        <v>883</v>
      </c>
      <c r="D34">
        <v>38</v>
      </c>
      <c r="E34">
        <v>35.95</v>
      </c>
      <c r="F34">
        <v>43</v>
      </c>
      <c r="G34">
        <v>0.836046511627907</v>
      </c>
      <c r="H34">
        <v>0.03337969401947148</v>
      </c>
      <c r="I34">
        <v>0.03646326026228075</v>
      </c>
      <c r="J34">
        <v>0.055</v>
      </c>
      <c r="K34">
        <v>0.1189953095875229</v>
      </c>
      <c r="L34" t="s">
        <v>886</v>
      </c>
      <c r="M34" t="s">
        <v>886</v>
      </c>
      <c r="N34">
        <v>9.217948717948719</v>
      </c>
      <c r="O34">
        <v>3.9</v>
      </c>
      <c r="P34">
        <v>1.2</v>
      </c>
      <c r="Q34">
        <v>0.3076923076923077</v>
      </c>
      <c r="R34">
        <v>35</v>
      </c>
      <c r="S34">
        <v>0.04563955259127317</v>
      </c>
      <c r="T34" t="s">
        <v>911</v>
      </c>
      <c r="U34">
        <v>0.07032592094176701</v>
      </c>
      <c r="V34" t="s">
        <v>986</v>
      </c>
      <c r="W34" t="s">
        <v>994</v>
      </c>
      <c r="X34">
        <v>125.445871</v>
      </c>
      <c r="Y34" s="2">
        <v>44886</v>
      </c>
      <c r="Z34" t="s">
        <v>1007</v>
      </c>
    </row>
    <row r="35" spans="1:26">
      <c r="A35" s="1" t="s">
        <v>59</v>
      </c>
      <c r="B35">
        <f>HYPERLINK("https://www.suredividend.com/sure-analysis-INTU/","Intuit Inc")</f>
        <v>0</v>
      </c>
      <c r="C35" t="s">
        <v>883</v>
      </c>
      <c r="D35">
        <v>397</v>
      </c>
      <c r="E35">
        <v>389.22</v>
      </c>
      <c r="F35">
        <v>357</v>
      </c>
      <c r="G35">
        <v>1.090252100840336</v>
      </c>
      <c r="H35">
        <v>0.008016032064128256</v>
      </c>
      <c r="I35">
        <v>-0.01713331731275258</v>
      </c>
      <c r="J35">
        <v>0.13</v>
      </c>
      <c r="K35">
        <v>0.1182512737843768</v>
      </c>
      <c r="L35" t="s">
        <v>886</v>
      </c>
      <c r="M35" t="s">
        <v>572</v>
      </c>
      <c r="N35">
        <v>28.32751091703057</v>
      </c>
      <c r="O35">
        <v>13.74</v>
      </c>
      <c r="P35">
        <v>3.12</v>
      </c>
      <c r="Q35">
        <v>0.2270742358078603</v>
      </c>
      <c r="R35">
        <v>11</v>
      </c>
      <c r="S35">
        <v>0.1300629855521807</v>
      </c>
      <c r="T35" t="s">
        <v>903</v>
      </c>
      <c r="U35">
        <v>-0.391330851137528</v>
      </c>
      <c r="V35" t="s">
        <v>986</v>
      </c>
      <c r="W35" t="s">
        <v>993</v>
      </c>
      <c r="X35">
        <v>109341.764727</v>
      </c>
      <c r="Y35" s="2">
        <v>44901</v>
      </c>
      <c r="Z35" t="s">
        <v>1011</v>
      </c>
    </row>
    <row r="36" spans="1:26">
      <c r="A36" s="1" t="s">
        <v>60</v>
      </c>
      <c r="B36">
        <f>HYPERLINK("https://www.suredividend.com/sure-analysis-NWFL/","Norwood Financial Corp.")</f>
        <v>0</v>
      </c>
      <c r="C36" t="s">
        <v>883</v>
      </c>
      <c r="D36">
        <v>31</v>
      </c>
      <c r="E36">
        <v>33.44</v>
      </c>
      <c r="F36">
        <v>35</v>
      </c>
      <c r="G36">
        <v>0.9554285714285714</v>
      </c>
      <c r="H36">
        <v>0.03468899521531101</v>
      </c>
      <c r="I36">
        <v>0.009160759907913096</v>
      </c>
      <c r="J36">
        <v>0.08</v>
      </c>
      <c r="K36">
        <v>0.1164856850469929</v>
      </c>
      <c r="L36" t="s">
        <v>886</v>
      </c>
      <c r="M36" t="s">
        <v>886</v>
      </c>
      <c r="N36">
        <v>9.5</v>
      </c>
      <c r="O36">
        <v>3.52</v>
      </c>
      <c r="P36">
        <v>1.16</v>
      </c>
      <c r="Q36">
        <v>0.3295454545454545</v>
      </c>
      <c r="R36">
        <v>31</v>
      </c>
      <c r="S36">
        <v>0.04273898208620519</v>
      </c>
      <c r="T36" t="s">
        <v>912</v>
      </c>
      <c r="U36">
        <v>0.347262567131466</v>
      </c>
      <c r="V36" t="s">
        <v>986</v>
      </c>
      <c r="W36" t="s">
        <v>994</v>
      </c>
      <c r="X36">
        <v>272.090813</v>
      </c>
      <c r="Y36" s="2">
        <v>44892</v>
      </c>
      <c r="Z36" t="s">
        <v>1004</v>
      </c>
    </row>
    <row r="37" spans="1:26">
      <c r="A37" s="1" t="s">
        <v>61</v>
      </c>
      <c r="B37">
        <f>HYPERLINK("https://www.suredividend.com/sure-analysis-CHRW/","C.H. Robinson Worldwide, Inc.")</f>
        <v>0</v>
      </c>
      <c r="C37" t="s">
        <v>883</v>
      </c>
      <c r="D37">
        <v>98</v>
      </c>
      <c r="E37">
        <v>91.56</v>
      </c>
      <c r="F37">
        <v>119</v>
      </c>
      <c r="G37">
        <v>0.7694117647058824</v>
      </c>
      <c r="H37">
        <v>0.02468326780253385</v>
      </c>
      <c r="I37">
        <v>0.05382436499375887</v>
      </c>
      <c r="J37">
        <v>0.04</v>
      </c>
      <c r="K37">
        <v>0.1146082840662739</v>
      </c>
      <c r="L37" t="s">
        <v>886</v>
      </c>
      <c r="M37" t="s">
        <v>887</v>
      </c>
      <c r="N37">
        <v>11.51698113207547</v>
      </c>
      <c r="O37">
        <v>7.95</v>
      </c>
      <c r="P37">
        <v>2.26</v>
      </c>
      <c r="Q37">
        <v>0.2842767295597484</v>
      </c>
      <c r="R37">
        <v>25</v>
      </c>
      <c r="S37">
        <v>0.04002756715195188</v>
      </c>
      <c r="T37" t="s">
        <v>889</v>
      </c>
      <c r="U37">
        <v>-0.12656507118838</v>
      </c>
      <c r="V37" t="s">
        <v>986</v>
      </c>
      <c r="W37" t="s">
        <v>991</v>
      </c>
      <c r="X37">
        <v>10777.47889</v>
      </c>
      <c r="Y37" s="2">
        <v>44888</v>
      </c>
      <c r="Z37" t="s">
        <v>1006</v>
      </c>
    </row>
    <row r="38" spans="1:26">
      <c r="A38" s="1" t="s">
        <v>62</v>
      </c>
      <c r="B38">
        <f>HYPERLINK("https://www.suredividend.com/sure-analysis-WLY/","John Wiley &amp; Sons Inc.")</f>
        <v>0</v>
      </c>
      <c r="C38" t="s">
        <v>883</v>
      </c>
      <c r="D38">
        <v>37</v>
      </c>
      <c r="E38">
        <v>40.06</v>
      </c>
      <c r="F38">
        <v>50</v>
      </c>
      <c r="G38">
        <v>0.8012</v>
      </c>
      <c r="H38">
        <v>0.0346979530703944</v>
      </c>
      <c r="I38">
        <v>0.04532614273799229</v>
      </c>
      <c r="J38">
        <v>0.04</v>
      </c>
      <c r="K38">
        <v>0.1130297269835083</v>
      </c>
      <c r="L38" t="s">
        <v>886</v>
      </c>
      <c r="M38" t="s">
        <v>886</v>
      </c>
      <c r="N38">
        <v>10.35142118863049</v>
      </c>
      <c r="O38">
        <v>3.87</v>
      </c>
      <c r="P38">
        <v>1.39</v>
      </c>
      <c r="Q38">
        <v>0.3591731266149871</v>
      </c>
      <c r="R38">
        <v>29</v>
      </c>
      <c r="S38">
        <v>0.0298221180150493</v>
      </c>
      <c r="T38" t="s">
        <v>913</v>
      </c>
      <c r="U38">
        <v>-0.295214637579169</v>
      </c>
      <c r="V38" t="s">
        <v>986</v>
      </c>
      <c r="W38" t="s">
        <v>995</v>
      </c>
      <c r="X38">
        <v>2218.214243</v>
      </c>
      <c r="Y38" s="2">
        <v>44847</v>
      </c>
      <c r="Z38" t="s">
        <v>1007</v>
      </c>
    </row>
    <row r="39" spans="1:26">
      <c r="A39" s="1" t="s">
        <v>63</v>
      </c>
      <c r="B39">
        <f>HYPERLINK("https://www.suredividend.com/sure-analysis-SYK/","Stryker Corp.")</f>
        <v>0</v>
      </c>
      <c r="C39" t="s">
        <v>883</v>
      </c>
      <c r="D39">
        <v>217</v>
      </c>
      <c r="E39">
        <v>244.49</v>
      </c>
      <c r="F39">
        <v>225</v>
      </c>
      <c r="G39">
        <v>1.086622222222222</v>
      </c>
      <c r="H39">
        <v>0.01137060820483455</v>
      </c>
      <c r="I39">
        <v>-0.01647753666512985</v>
      </c>
      <c r="J39">
        <v>0.12</v>
      </c>
      <c r="K39">
        <v>0.1123230048822301</v>
      </c>
      <c r="L39" t="s">
        <v>886</v>
      </c>
      <c r="M39" t="s">
        <v>573</v>
      </c>
      <c r="N39">
        <v>26.575</v>
      </c>
      <c r="O39">
        <v>9.199999999999999</v>
      </c>
      <c r="P39">
        <v>2.78</v>
      </c>
      <c r="Q39">
        <v>0.3021739130434782</v>
      </c>
      <c r="R39">
        <v>28</v>
      </c>
      <c r="S39">
        <v>0.1200315510412975</v>
      </c>
      <c r="T39" t="s">
        <v>905</v>
      </c>
      <c r="U39">
        <v>-0.085373837404614</v>
      </c>
      <c r="V39" t="s">
        <v>986</v>
      </c>
      <c r="W39" t="s">
        <v>998</v>
      </c>
      <c r="X39">
        <v>92522.33334100001</v>
      </c>
      <c r="Y39" s="2">
        <v>44867</v>
      </c>
      <c r="Z39" t="s">
        <v>1001</v>
      </c>
    </row>
    <row r="40" spans="1:26">
      <c r="A40" s="1" t="s">
        <v>64</v>
      </c>
      <c r="B40">
        <f>HYPERLINK("https://www.suredividend.com/sure-analysis-RJF/","Raymond James Financial, Inc.")</f>
        <v>0</v>
      </c>
      <c r="C40" t="s">
        <v>884</v>
      </c>
      <c r="D40">
        <v>119</v>
      </c>
      <c r="E40">
        <v>106.85</v>
      </c>
      <c r="F40">
        <v>116</v>
      </c>
      <c r="G40">
        <v>0.9211206896551724</v>
      </c>
      <c r="H40">
        <v>0.01572297613476837</v>
      </c>
      <c r="I40">
        <v>0.01656860364530788</v>
      </c>
      <c r="J40">
        <v>0.08</v>
      </c>
      <c r="K40">
        <v>0.1114151642495922</v>
      </c>
      <c r="L40" t="s">
        <v>886</v>
      </c>
      <c r="M40" t="s">
        <v>573</v>
      </c>
      <c r="N40">
        <v>11.55135135135135</v>
      </c>
      <c r="O40">
        <v>9.25</v>
      </c>
      <c r="P40">
        <v>1.68</v>
      </c>
      <c r="Q40">
        <v>0.1816216216216216</v>
      </c>
      <c r="R40">
        <v>11</v>
      </c>
      <c r="S40">
        <v>0.08360970987633864</v>
      </c>
      <c r="T40" t="s">
        <v>898</v>
      </c>
      <c r="U40">
        <v>0.07652224376050301</v>
      </c>
      <c r="V40" t="s">
        <v>986</v>
      </c>
      <c r="W40" t="s">
        <v>994</v>
      </c>
      <c r="X40">
        <v>22979.544592</v>
      </c>
      <c r="Y40" s="2">
        <v>44870</v>
      </c>
      <c r="Z40" t="s">
        <v>1004</v>
      </c>
    </row>
    <row r="41" spans="1:26">
      <c r="A41" s="1" t="s">
        <v>65</v>
      </c>
      <c r="B41">
        <f>HYPERLINK("https://www.suredividend.com/sure-analysis-AJG/","Arthur J. Gallagher &amp; Co.")</f>
        <v>0</v>
      </c>
      <c r="C41" t="s">
        <v>883</v>
      </c>
      <c r="D41">
        <v>196</v>
      </c>
      <c r="E41">
        <v>188.54</v>
      </c>
      <c r="F41">
        <v>191</v>
      </c>
      <c r="G41">
        <v>0.9871204188481675</v>
      </c>
      <c r="H41">
        <v>0.01081998514903999</v>
      </c>
      <c r="I41">
        <v>0.002596012235067668</v>
      </c>
      <c r="J41">
        <v>0.1</v>
      </c>
      <c r="K41">
        <v>0.1112078256888822</v>
      </c>
      <c r="L41" t="s">
        <v>886</v>
      </c>
      <c r="M41" t="s">
        <v>572</v>
      </c>
      <c r="N41">
        <v>24.64575163398693</v>
      </c>
      <c r="O41">
        <v>7.65</v>
      </c>
      <c r="P41">
        <v>2.04</v>
      </c>
      <c r="Q41">
        <v>0.2666666666666667</v>
      </c>
      <c r="R41">
        <v>12</v>
      </c>
      <c r="S41">
        <v>0.04970831195077574</v>
      </c>
      <c r="T41" t="s">
        <v>889</v>
      </c>
      <c r="U41">
        <v>0.130442811729168</v>
      </c>
      <c r="V41" t="s">
        <v>986</v>
      </c>
      <c r="W41" t="s">
        <v>994</v>
      </c>
      <c r="X41">
        <v>39751.7736</v>
      </c>
      <c r="Y41" s="2">
        <v>44899</v>
      </c>
      <c r="Z41" t="s">
        <v>1005</v>
      </c>
    </row>
    <row r="42" spans="1:26">
      <c r="A42" s="1" t="s">
        <v>66</v>
      </c>
      <c r="B42">
        <f>HYPERLINK("https://www.suredividend.com/sure-analysis-PH/","Parker-Hannifin Corp.")</f>
        <v>0</v>
      </c>
      <c r="C42" t="s">
        <v>883</v>
      </c>
      <c r="D42">
        <v>301</v>
      </c>
      <c r="E42">
        <v>291</v>
      </c>
      <c r="F42">
        <v>297</v>
      </c>
      <c r="G42">
        <v>0.9797979797979798</v>
      </c>
      <c r="H42">
        <v>0.01828178694158076</v>
      </c>
      <c r="I42">
        <v>0.0040901161129685</v>
      </c>
      <c r="J42">
        <v>0.09</v>
      </c>
      <c r="K42">
        <v>0.1110627926376708</v>
      </c>
      <c r="L42" t="s">
        <v>886</v>
      </c>
      <c r="M42" t="s">
        <v>887</v>
      </c>
      <c r="N42">
        <v>15.3968253968254</v>
      </c>
      <c r="O42">
        <v>18.9</v>
      </c>
      <c r="P42">
        <v>5.32</v>
      </c>
      <c r="Q42">
        <v>0.2814814814814815</v>
      </c>
      <c r="R42">
        <v>66</v>
      </c>
      <c r="S42">
        <v>0.1000535779563672</v>
      </c>
      <c r="T42" t="s">
        <v>914</v>
      </c>
      <c r="U42">
        <v>-0.05575552699387201</v>
      </c>
      <c r="V42" t="s">
        <v>986</v>
      </c>
      <c r="W42" t="s">
        <v>991</v>
      </c>
      <c r="X42">
        <v>37366.067721</v>
      </c>
      <c r="Y42" s="2">
        <v>44873</v>
      </c>
      <c r="Z42" t="s">
        <v>1003</v>
      </c>
    </row>
    <row r="43" spans="1:26">
      <c r="A43" s="1" t="s">
        <v>67</v>
      </c>
      <c r="B43">
        <f>HYPERLINK("https://www.suredividend.com/sure-analysis-MSFT/","Microsoft Corporation")</f>
        <v>0</v>
      </c>
      <c r="C43" t="s">
        <v>883</v>
      </c>
      <c r="D43">
        <v>231</v>
      </c>
      <c r="E43">
        <v>239.82</v>
      </c>
      <c r="F43">
        <v>240</v>
      </c>
      <c r="G43">
        <v>0.99925</v>
      </c>
      <c r="H43">
        <v>0.01134183971311817</v>
      </c>
      <c r="I43">
        <v>0.0001500675371473026</v>
      </c>
      <c r="J43">
        <v>0.1</v>
      </c>
      <c r="K43">
        <v>0.1100482198171462</v>
      </c>
      <c r="L43" t="s">
        <v>886</v>
      </c>
      <c r="M43" t="s">
        <v>573</v>
      </c>
      <c r="N43">
        <v>23.982</v>
      </c>
      <c r="O43">
        <v>10</v>
      </c>
      <c r="P43">
        <v>2.72</v>
      </c>
      <c r="Q43">
        <v>0.272</v>
      </c>
      <c r="R43">
        <v>21</v>
      </c>
      <c r="S43">
        <v>0.08869163325077611</v>
      </c>
      <c r="T43" t="s">
        <v>897</v>
      </c>
      <c r="U43">
        <v>-0.286610940893</v>
      </c>
      <c r="V43" t="s">
        <v>986</v>
      </c>
      <c r="W43" t="s">
        <v>993</v>
      </c>
      <c r="X43">
        <v>1788218.425713</v>
      </c>
      <c r="Y43" s="2">
        <v>44861</v>
      </c>
      <c r="Z43" t="s">
        <v>1003</v>
      </c>
    </row>
    <row r="44" spans="1:26">
      <c r="A44" s="1" t="s">
        <v>68</v>
      </c>
      <c r="B44">
        <f>HYPERLINK("https://www.suredividend.com/sure-analysis-SYY/","Sysco Corp.")</f>
        <v>0</v>
      </c>
      <c r="C44" t="s">
        <v>884</v>
      </c>
      <c r="D44">
        <v>86</v>
      </c>
      <c r="E44">
        <v>76.45</v>
      </c>
      <c r="F44">
        <v>83</v>
      </c>
      <c r="G44">
        <v>0.9210843373493977</v>
      </c>
      <c r="H44">
        <v>0.02563767168083715</v>
      </c>
      <c r="I44">
        <v>0.01657662767260759</v>
      </c>
      <c r="J44">
        <v>0.07000000000000001</v>
      </c>
      <c r="K44">
        <v>0.1087782322468356</v>
      </c>
      <c r="L44" t="s">
        <v>886</v>
      </c>
      <c r="M44" t="s">
        <v>886</v>
      </c>
      <c r="N44">
        <v>18.42168674698795</v>
      </c>
      <c r="O44">
        <v>4.15</v>
      </c>
      <c r="P44">
        <v>1.96</v>
      </c>
      <c r="Q44">
        <v>0.472289156626506</v>
      </c>
      <c r="R44">
        <v>52</v>
      </c>
      <c r="S44">
        <v>0.05976371076911535</v>
      </c>
      <c r="T44" t="s">
        <v>903</v>
      </c>
      <c r="U44">
        <v>0.003764280171683</v>
      </c>
      <c r="V44" t="s">
        <v>986</v>
      </c>
      <c r="W44" t="s">
        <v>996</v>
      </c>
      <c r="X44">
        <v>38742.377363</v>
      </c>
      <c r="Y44" s="2">
        <v>44895</v>
      </c>
      <c r="Z44" t="s">
        <v>1006</v>
      </c>
    </row>
    <row r="45" spans="1:26">
      <c r="A45" s="1" t="s">
        <v>69</v>
      </c>
      <c r="B45">
        <f>HYPERLINK("https://www.suredividend.com/sure-analysis-ODFL/","Old Dominion Freight Line, Inc.")</f>
        <v>0</v>
      </c>
      <c r="C45" t="s">
        <v>884</v>
      </c>
      <c r="D45">
        <v>274</v>
      </c>
      <c r="E45">
        <v>283.78</v>
      </c>
      <c r="F45">
        <v>262</v>
      </c>
      <c r="G45">
        <v>1.083129770992366</v>
      </c>
      <c r="H45">
        <v>0.004228627810275566</v>
      </c>
      <c r="I45">
        <v>-0.01584409777933815</v>
      </c>
      <c r="J45">
        <v>0.12</v>
      </c>
      <c r="K45">
        <v>0.1080682046174219</v>
      </c>
      <c r="L45" t="s">
        <v>886</v>
      </c>
      <c r="M45" t="s">
        <v>572</v>
      </c>
      <c r="N45">
        <v>23.84705882352941</v>
      </c>
      <c r="O45">
        <v>11.9</v>
      </c>
      <c r="P45">
        <v>1.2</v>
      </c>
      <c r="Q45">
        <v>0.1008403361344538</v>
      </c>
      <c r="R45">
        <v>5</v>
      </c>
      <c r="S45">
        <v>0.2498559668109293</v>
      </c>
      <c r="T45" t="s">
        <v>915</v>
      </c>
      <c r="U45">
        <v>-0.201881195665105</v>
      </c>
      <c r="V45" t="s">
        <v>986</v>
      </c>
      <c r="W45" t="s">
        <v>991</v>
      </c>
      <c r="X45">
        <v>31352.474691</v>
      </c>
      <c r="Y45" s="2">
        <v>44860</v>
      </c>
      <c r="Z45" t="s">
        <v>1011</v>
      </c>
    </row>
    <row r="46" spans="1:26">
      <c r="A46" s="1" t="s">
        <v>70</v>
      </c>
      <c r="B46">
        <f>HYPERLINK("https://www.suredividend.com/sure-analysis-RBCAA/","Republic Bancorp, Inc. (KY)")</f>
        <v>0</v>
      </c>
      <c r="C46" t="s">
        <v>884</v>
      </c>
      <c r="D46">
        <v>43</v>
      </c>
      <c r="E46">
        <v>40.92</v>
      </c>
      <c r="F46">
        <v>52</v>
      </c>
      <c r="G46">
        <v>0.7869230769230769</v>
      </c>
      <c r="H46">
        <v>0.0332355816226784</v>
      </c>
      <c r="I46">
        <v>0.049091923791029</v>
      </c>
      <c r="J46">
        <v>0.03</v>
      </c>
      <c r="K46">
        <v>0.106594452851535</v>
      </c>
      <c r="L46" t="s">
        <v>886</v>
      </c>
      <c r="M46" t="s">
        <v>886</v>
      </c>
      <c r="N46">
        <v>9.093333333333334</v>
      </c>
      <c r="O46">
        <v>4.5</v>
      </c>
      <c r="P46">
        <v>1.36</v>
      </c>
      <c r="Q46">
        <v>0.3022222222222222</v>
      </c>
      <c r="R46">
        <v>21</v>
      </c>
      <c r="S46">
        <v>0.03815210271659408</v>
      </c>
      <c r="T46" t="s">
        <v>888</v>
      </c>
      <c r="U46">
        <v>-0.168377197439284</v>
      </c>
      <c r="V46" t="s">
        <v>986</v>
      </c>
      <c r="W46" t="s">
        <v>994</v>
      </c>
      <c r="X46">
        <v>719.673953</v>
      </c>
      <c r="Y46" s="2">
        <v>44892</v>
      </c>
      <c r="Z46" t="s">
        <v>1003</v>
      </c>
    </row>
    <row r="47" spans="1:26">
      <c r="A47" s="1" t="s">
        <v>71</v>
      </c>
      <c r="B47">
        <f>HYPERLINK("https://www.suredividend.com/sure-analysis-RHHBY/","Roche Holding AG")</f>
        <v>0</v>
      </c>
      <c r="C47" t="s">
        <v>884</v>
      </c>
      <c r="D47">
        <v>41</v>
      </c>
      <c r="E47">
        <v>39.15</v>
      </c>
      <c r="F47">
        <v>50</v>
      </c>
      <c r="G47">
        <v>0.7829999999999999</v>
      </c>
      <c r="H47">
        <v>0.03167305236270754</v>
      </c>
      <c r="I47">
        <v>0.050141079527253</v>
      </c>
      <c r="J47">
        <v>0.03</v>
      </c>
      <c r="K47">
        <v>0.105672166660558</v>
      </c>
      <c r="L47" t="s">
        <v>886</v>
      </c>
      <c r="M47" t="s">
        <v>886</v>
      </c>
      <c r="N47">
        <v>14.18478260869565</v>
      </c>
      <c r="O47">
        <v>2.76</v>
      </c>
      <c r="P47">
        <v>1.24</v>
      </c>
      <c r="Q47">
        <v>0.4492753623188406</v>
      </c>
      <c r="R47">
        <v>36</v>
      </c>
      <c r="S47">
        <v>0.02747989306053134</v>
      </c>
      <c r="T47" t="s">
        <v>916</v>
      </c>
      <c r="U47">
        <v>-0.221674622218952</v>
      </c>
      <c r="V47" t="s">
        <v>986</v>
      </c>
      <c r="W47" t="s">
        <v>998</v>
      </c>
      <c r="X47">
        <v>220042.63764</v>
      </c>
      <c r="Y47" s="2">
        <v>44852</v>
      </c>
      <c r="Z47" t="s">
        <v>1012</v>
      </c>
    </row>
    <row r="48" spans="1:26">
      <c r="A48" s="1" t="s">
        <v>72</v>
      </c>
      <c r="B48">
        <f>HYPERLINK("https://www.suredividend.com/sure-analysis-DOV/","Dover Corp.")</f>
        <v>0</v>
      </c>
      <c r="C48" t="s">
        <v>883</v>
      </c>
      <c r="D48">
        <v>122</v>
      </c>
      <c r="E48">
        <v>135.41</v>
      </c>
      <c r="F48">
        <v>144</v>
      </c>
      <c r="G48">
        <v>0.9403472222222222</v>
      </c>
      <c r="H48">
        <v>0.01491765748467617</v>
      </c>
      <c r="I48">
        <v>0.01237718848300151</v>
      </c>
      <c r="J48">
        <v>0.08</v>
      </c>
      <c r="K48">
        <v>0.1052255061825178</v>
      </c>
      <c r="L48" t="s">
        <v>886</v>
      </c>
      <c r="M48" t="s">
        <v>887</v>
      </c>
      <c r="N48">
        <v>16.02485207100592</v>
      </c>
      <c r="O48">
        <v>8.449999999999999</v>
      </c>
      <c r="P48">
        <v>2.02</v>
      </c>
      <c r="Q48">
        <v>0.2390532544378698</v>
      </c>
      <c r="R48">
        <v>67</v>
      </c>
      <c r="S48">
        <v>0.05015563553472902</v>
      </c>
      <c r="T48" t="s">
        <v>917</v>
      </c>
      <c r="U48">
        <v>-0.239496532214266</v>
      </c>
      <c r="V48" t="s">
        <v>986</v>
      </c>
      <c r="W48" t="s">
        <v>991</v>
      </c>
      <c r="X48">
        <v>19005.32837</v>
      </c>
      <c r="Y48" s="2">
        <v>44854</v>
      </c>
      <c r="Z48" t="s">
        <v>1001</v>
      </c>
    </row>
    <row r="49" spans="1:26">
      <c r="A49" s="1" t="s">
        <v>73</v>
      </c>
      <c r="B49">
        <f>HYPERLINK("https://www.suredividend.com/sure-analysis-AFG/","American Financial Group Inc")</f>
        <v>0</v>
      </c>
      <c r="C49" t="s">
        <v>884</v>
      </c>
      <c r="D49">
        <v>142</v>
      </c>
      <c r="E49">
        <v>137.28</v>
      </c>
      <c r="F49">
        <v>143</v>
      </c>
      <c r="G49">
        <v>0.96</v>
      </c>
      <c r="H49">
        <v>0.01835664335664336</v>
      </c>
      <c r="I49">
        <v>0.008197818497166498</v>
      </c>
      <c r="J49">
        <v>0.08</v>
      </c>
      <c r="K49">
        <v>0.1049136058854709</v>
      </c>
      <c r="L49" t="s">
        <v>886</v>
      </c>
      <c r="M49" t="s">
        <v>887</v>
      </c>
      <c r="N49">
        <v>12.48</v>
      </c>
      <c r="O49">
        <v>11</v>
      </c>
      <c r="P49">
        <v>2.52</v>
      </c>
      <c r="Q49">
        <v>0.2290909090909091</v>
      </c>
      <c r="R49">
        <v>17</v>
      </c>
      <c r="S49">
        <v>0.07984205343909734</v>
      </c>
      <c r="T49" t="s">
        <v>912</v>
      </c>
      <c r="U49">
        <v>0.113094919558459</v>
      </c>
      <c r="V49" t="s">
        <v>986</v>
      </c>
      <c r="W49" t="s">
        <v>994</v>
      </c>
      <c r="X49">
        <v>11688.500092</v>
      </c>
      <c r="Y49" s="2">
        <v>44885</v>
      </c>
      <c r="Z49" t="s">
        <v>1013</v>
      </c>
    </row>
    <row r="50" spans="1:26">
      <c r="A50" s="1" t="s">
        <v>74</v>
      </c>
      <c r="B50">
        <f>HYPERLINK("https://www.suredividend.com/sure-analysis-EBTC/","Enterprise Bancorp, Inc.")</f>
        <v>0</v>
      </c>
      <c r="C50" t="s">
        <v>883</v>
      </c>
      <c r="D50">
        <v>30</v>
      </c>
      <c r="E50">
        <v>35.3</v>
      </c>
      <c r="F50">
        <v>41</v>
      </c>
      <c r="G50">
        <v>0.8609756097560974</v>
      </c>
      <c r="H50">
        <v>0.02322946175637394</v>
      </c>
      <c r="I50">
        <v>0.03039046285242208</v>
      </c>
      <c r="J50">
        <v>0.05</v>
      </c>
      <c r="K50">
        <v>0.1016943358379894</v>
      </c>
      <c r="L50" t="s">
        <v>886</v>
      </c>
      <c r="M50" t="s">
        <v>887</v>
      </c>
      <c r="N50">
        <v>10.38235294117647</v>
      </c>
      <c r="O50">
        <v>3.4</v>
      </c>
      <c r="P50">
        <v>0.82</v>
      </c>
      <c r="Q50">
        <v>0.2411764705882353</v>
      </c>
      <c r="R50">
        <v>28</v>
      </c>
      <c r="S50">
        <v>0.06434110272003535</v>
      </c>
      <c r="T50" t="s">
        <v>890</v>
      </c>
      <c r="U50">
        <v>-0.200003626045887</v>
      </c>
      <c r="V50" t="s">
        <v>986</v>
      </c>
      <c r="W50" t="s">
        <v>994</v>
      </c>
      <c r="X50">
        <v>427.980236</v>
      </c>
      <c r="Y50" s="2">
        <v>44858</v>
      </c>
      <c r="Z50" t="s">
        <v>1003</v>
      </c>
    </row>
    <row r="51" spans="1:26">
      <c r="A51" s="1" t="s">
        <v>75</v>
      </c>
      <c r="B51">
        <f>HYPERLINK("https://www.suredividend.com/sure-analysis-LANC/","Lancaster Colony Corp.")</f>
        <v>0</v>
      </c>
      <c r="C51" t="s">
        <v>884</v>
      </c>
      <c r="D51">
        <v>204</v>
      </c>
      <c r="E51">
        <v>197.3</v>
      </c>
      <c r="F51">
        <v>204</v>
      </c>
      <c r="G51">
        <v>0.967156862745098</v>
      </c>
      <c r="H51">
        <v>0.01723264064875824</v>
      </c>
      <c r="I51">
        <v>0.006701269862136039</v>
      </c>
      <c r="J51">
        <v>0.08</v>
      </c>
      <c r="K51">
        <v>0.1015916100878664</v>
      </c>
      <c r="L51" t="s">
        <v>886</v>
      </c>
      <c r="M51" t="s">
        <v>887</v>
      </c>
      <c r="N51">
        <v>32.08130081300813</v>
      </c>
      <c r="O51">
        <v>6.15</v>
      </c>
      <c r="P51">
        <v>3.4</v>
      </c>
      <c r="Q51">
        <v>0.5528455284552845</v>
      </c>
      <c r="R51">
        <v>60</v>
      </c>
      <c r="S51">
        <v>0.06000153927394081</v>
      </c>
      <c r="T51" t="s">
        <v>902</v>
      </c>
      <c r="U51">
        <v>0.221977510163533</v>
      </c>
      <c r="V51" t="s">
        <v>986</v>
      </c>
      <c r="W51" t="s">
        <v>996</v>
      </c>
      <c r="X51">
        <v>5436.2069</v>
      </c>
      <c r="Y51" s="2">
        <v>44901</v>
      </c>
      <c r="Z51" t="s">
        <v>1005</v>
      </c>
    </row>
    <row r="52" spans="1:26">
      <c r="A52" s="1" t="s">
        <v>76</v>
      </c>
      <c r="B52">
        <f>HYPERLINK("https://www.suredividend.com/sure-analysis-OTTR/","Otter Tail Corporation")</f>
        <v>0</v>
      </c>
      <c r="C52" t="s">
        <v>883</v>
      </c>
      <c r="D52">
        <v>54.8</v>
      </c>
      <c r="E52">
        <v>58.71</v>
      </c>
      <c r="F52">
        <v>134</v>
      </c>
      <c r="G52">
        <v>0.438134328358209</v>
      </c>
      <c r="H52">
        <v>0.02810424118548799</v>
      </c>
      <c r="I52">
        <v>0.1794473083229826</v>
      </c>
      <c r="J52">
        <v>-0.08599999999999999</v>
      </c>
      <c r="K52">
        <v>0.1009134429194145</v>
      </c>
      <c r="L52" t="s">
        <v>886</v>
      </c>
      <c r="M52" t="s">
        <v>887</v>
      </c>
      <c r="N52">
        <v>8.723625557206537</v>
      </c>
      <c r="O52">
        <v>6.73</v>
      </c>
      <c r="P52">
        <v>1.65</v>
      </c>
      <c r="Q52">
        <v>0.2451708766716196</v>
      </c>
      <c r="R52">
        <v>9</v>
      </c>
      <c r="S52">
        <v>0.04639891399658436</v>
      </c>
      <c r="T52" t="s">
        <v>907</v>
      </c>
      <c r="U52">
        <v>-0.147303935095755</v>
      </c>
      <c r="V52" t="s">
        <v>986</v>
      </c>
      <c r="W52" t="s">
        <v>997</v>
      </c>
      <c r="X52">
        <v>2444.153192</v>
      </c>
      <c r="Y52" s="2">
        <v>44882</v>
      </c>
      <c r="Z52" t="s">
        <v>1009</v>
      </c>
    </row>
    <row r="53" spans="1:26">
      <c r="A53" s="1" t="s">
        <v>77</v>
      </c>
      <c r="B53">
        <f>HYPERLINK("https://www.suredividend.com/sure-analysis-TNC/","Tennant Co.")</f>
        <v>0</v>
      </c>
      <c r="C53" t="s">
        <v>884</v>
      </c>
      <c r="D53">
        <v>63</v>
      </c>
      <c r="E53">
        <v>61.57</v>
      </c>
      <c r="F53">
        <v>70</v>
      </c>
      <c r="G53">
        <v>0.8795714285714286</v>
      </c>
      <c r="H53">
        <v>0.01624167614097775</v>
      </c>
      <c r="I53">
        <v>0.02599625908428371</v>
      </c>
      <c r="J53">
        <v>0.06</v>
      </c>
      <c r="K53">
        <v>0.1007291273697737</v>
      </c>
      <c r="L53" t="s">
        <v>886</v>
      </c>
      <c r="M53" t="s">
        <v>887</v>
      </c>
      <c r="N53">
        <v>15.78717948717949</v>
      </c>
      <c r="O53">
        <v>3.9</v>
      </c>
      <c r="P53">
        <v>1</v>
      </c>
      <c r="Q53">
        <v>0.2564102564102564</v>
      </c>
      <c r="R53">
        <v>51</v>
      </c>
      <c r="S53">
        <v>0.05061112176150684</v>
      </c>
      <c r="T53" t="s">
        <v>917</v>
      </c>
      <c r="U53">
        <v>-0.226919329402428</v>
      </c>
      <c r="V53" t="s">
        <v>986</v>
      </c>
      <c r="W53" t="s">
        <v>991</v>
      </c>
      <c r="X53">
        <v>1144.982134</v>
      </c>
      <c r="Y53" s="2">
        <v>44889</v>
      </c>
      <c r="Z53" t="s">
        <v>1007</v>
      </c>
    </row>
    <row r="54" spans="1:26">
      <c r="A54" s="1" t="s">
        <v>78</v>
      </c>
      <c r="B54">
        <f>HYPERLINK("https://www.suredividend.com/sure-analysis-SLGN/","Silgan Holdings Inc.")</f>
        <v>0</v>
      </c>
      <c r="C54" t="s">
        <v>883</v>
      </c>
      <c r="D54">
        <v>47</v>
      </c>
      <c r="E54">
        <v>51.84</v>
      </c>
      <c r="F54">
        <v>51</v>
      </c>
      <c r="G54">
        <v>1.016470588235294</v>
      </c>
      <c r="H54">
        <v>0.01234567901234568</v>
      </c>
      <c r="I54">
        <v>-0.003261952100390597</v>
      </c>
      <c r="J54">
        <v>0.09</v>
      </c>
      <c r="K54">
        <v>0.09808831039171939</v>
      </c>
      <c r="L54" t="s">
        <v>886</v>
      </c>
      <c r="M54" t="s">
        <v>573</v>
      </c>
      <c r="N54">
        <v>13.12405063291139</v>
      </c>
      <c r="O54">
        <v>3.95</v>
      </c>
      <c r="P54">
        <v>0.64</v>
      </c>
      <c r="Q54">
        <v>0.1620253164556962</v>
      </c>
      <c r="R54">
        <v>18</v>
      </c>
      <c r="S54">
        <v>0.09984491222048941</v>
      </c>
      <c r="T54" t="s">
        <v>918</v>
      </c>
      <c r="U54">
        <v>0.22614063719577</v>
      </c>
      <c r="V54" t="s">
        <v>986</v>
      </c>
      <c r="W54" t="s">
        <v>990</v>
      </c>
      <c r="X54">
        <v>5706.495723</v>
      </c>
      <c r="Y54" s="2">
        <v>44860</v>
      </c>
      <c r="Z54" t="s">
        <v>1011</v>
      </c>
    </row>
    <row r="55" spans="1:26">
      <c r="A55" s="1" t="s">
        <v>79</v>
      </c>
      <c r="B55">
        <f>HYPERLINK("https://www.suredividend.com/sure-analysis-CP/","Canadian Pacific Railway Ltd")</f>
        <v>0</v>
      </c>
      <c r="C55" t="s">
        <v>884</v>
      </c>
      <c r="D55">
        <v>74</v>
      </c>
      <c r="E55">
        <v>74.59</v>
      </c>
      <c r="F55">
        <v>65</v>
      </c>
      <c r="G55">
        <v>1.147538461538462</v>
      </c>
      <c r="H55">
        <v>0.007507708808151227</v>
      </c>
      <c r="I55">
        <v>-0.02714850662500889</v>
      </c>
      <c r="J55">
        <v>0.12</v>
      </c>
      <c r="K55">
        <v>0.09774837746161391</v>
      </c>
      <c r="L55" t="s">
        <v>886</v>
      </c>
      <c r="M55" t="s">
        <v>572</v>
      </c>
      <c r="N55">
        <v>26.45035460992908</v>
      </c>
      <c r="O55">
        <v>2.82</v>
      </c>
      <c r="P55">
        <v>0.5600000000000001</v>
      </c>
      <c r="Q55">
        <v>0.198581560283688</v>
      </c>
      <c r="R55">
        <v>6</v>
      </c>
      <c r="S55">
        <v>0.1507423151793283</v>
      </c>
      <c r="T55" t="s">
        <v>905</v>
      </c>
      <c r="U55">
        <v>0.050101927040511</v>
      </c>
      <c r="V55" t="s">
        <v>986</v>
      </c>
      <c r="W55" t="s">
        <v>991</v>
      </c>
      <c r="X55">
        <v>69378.32718199999</v>
      </c>
      <c r="Y55" s="2">
        <v>44867</v>
      </c>
      <c r="Z55" t="s">
        <v>1014</v>
      </c>
    </row>
    <row r="56" spans="1:26">
      <c r="A56" s="1" t="s">
        <v>80</v>
      </c>
      <c r="B56">
        <f>HYPERLINK("https://www.suredividend.com/sure-analysis-LHX/","L3Harris Technologies Inc")</f>
        <v>0</v>
      </c>
      <c r="C56" t="s">
        <v>884</v>
      </c>
      <c r="D56">
        <v>230</v>
      </c>
      <c r="E56">
        <v>208.21</v>
      </c>
      <c r="F56">
        <v>206</v>
      </c>
      <c r="G56">
        <v>1.010728155339806</v>
      </c>
      <c r="H56">
        <v>0.02151673790884204</v>
      </c>
      <c r="I56">
        <v>-0.002131927602727068</v>
      </c>
      <c r="J56">
        <v>0.08</v>
      </c>
      <c r="K56">
        <v>0.09718761003386578</v>
      </c>
      <c r="L56" t="s">
        <v>886</v>
      </c>
      <c r="M56" t="s">
        <v>887</v>
      </c>
      <c r="N56">
        <v>16.16537267080745</v>
      </c>
      <c r="O56">
        <v>12.88</v>
      </c>
      <c r="P56">
        <v>4.48</v>
      </c>
      <c r="Q56">
        <v>0.3478260869565217</v>
      </c>
      <c r="R56">
        <v>21</v>
      </c>
      <c r="S56">
        <v>0.0799150058822331</v>
      </c>
      <c r="T56" t="s">
        <v>894</v>
      </c>
      <c r="U56">
        <v>-0.003426573727814</v>
      </c>
      <c r="V56" t="s">
        <v>986</v>
      </c>
      <c r="W56" t="s">
        <v>991</v>
      </c>
      <c r="X56">
        <v>39643.765947</v>
      </c>
      <c r="Y56" s="2">
        <v>44870</v>
      </c>
      <c r="Z56" t="s">
        <v>1015</v>
      </c>
    </row>
    <row r="57" spans="1:26">
      <c r="A57" s="1" t="s">
        <v>81</v>
      </c>
      <c r="B57">
        <f>HYPERLINK("https://www.suredividend.com/sure-analysis-FDS/","Factset Research Systems Inc.")</f>
        <v>0</v>
      </c>
      <c r="C57" t="s">
        <v>884</v>
      </c>
      <c r="D57">
        <v>397</v>
      </c>
      <c r="E57">
        <v>401.21</v>
      </c>
      <c r="F57">
        <v>406</v>
      </c>
      <c r="G57">
        <v>0.9882019704433497</v>
      </c>
      <c r="H57">
        <v>0.008873158694947784</v>
      </c>
      <c r="I57">
        <v>0.002376455023541668</v>
      </c>
      <c r="J57">
        <v>0.08500000000000001</v>
      </c>
      <c r="K57">
        <v>0.09608236372561407</v>
      </c>
      <c r="L57" t="s">
        <v>886</v>
      </c>
      <c r="M57" t="s">
        <v>573</v>
      </c>
      <c r="N57">
        <v>27.66965517241379</v>
      </c>
      <c r="O57">
        <v>14.5</v>
      </c>
      <c r="P57">
        <v>3.56</v>
      </c>
      <c r="Q57">
        <v>0.2455172413793104</v>
      </c>
      <c r="R57">
        <v>24</v>
      </c>
      <c r="S57">
        <v>0.1048149023411959</v>
      </c>
      <c r="T57" t="s">
        <v>917</v>
      </c>
      <c r="U57">
        <v>-0.165312656682013</v>
      </c>
      <c r="V57" t="s">
        <v>986</v>
      </c>
      <c r="W57" t="s">
        <v>994</v>
      </c>
      <c r="X57">
        <v>15285.386044</v>
      </c>
      <c r="Y57" s="2">
        <v>44918</v>
      </c>
      <c r="Z57" t="s">
        <v>1010</v>
      </c>
    </row>
    <row r="58" spans="1:26">
      <c r="A58" s="1" t="s">
        <v>82</v>
      </c>
      <c r="B58">
        <f>HYPERLINK("https://www.suredividend.com/sure-analysis-PSBQ/","PSB Holdings Inc (WI)")</f>
        <v>0</v>
      </c>
      <c r="C58" t="s">
        <v>884</v>
      </c>
      <c r="D58">
        <v>22</v>
      </c>
      <c r="E58">
        <v>21.9</v>
      </c>
      <c r="F58">
        <v>30</v>
      </c>
      <c r="G58">
        <v>0.73</v>
      </c>
      <c r="H58">
        <v>0.0228310502283105</v>
      </c>
      <c r="I58">
        <v>0.06496522811163508</v>
      </c>
      <c r="J58">
        <v>0.01</v>
      </c>
      <c r="K58">
        <v>0.09475000950658741</v>
      </c>
      <c r="L58" t="s">
        <v>886</v>
      </c>
      <c r="M58" t="s">
        <v>887</v>
      </c>
      <c r="N58">
        <v>7.3</v>
      </c>
      <c r="O58">
        <v>3</v>
      </c>
      <c r="P58">
        <v>0.5</v>
      </c>
      <c r="Q58">
        <v>0.1666666666666667</v>
      </c>
      <c r="R58">
        <v>29</v>
      </c>
      <c r="S58">
        <v>0.05061112176150684</v>
      </c>
      <c r="T58" t="s">
        <v>919</v>
      </c>
      <c r="U58">
        <v>-0.14265245322758</v>
      </c>
      <c r="V58" t="s">
        <v>986</v>
      </c>
      <c r="W58" t="s">
        <v>994</v>
      </c>
      <c r="X58">
        <v>96.631823</v>
      </c>
      <c r="Y58" s="2">
        <v>44866</v>
      </c>
      <c r="Z58" t="s">
        <v>1005</v>
      </c>
    </row>
    <row r="59" spans="1:26">
      <c r="A59" s="1" t="s">
        <v>83</v>
      </c>
      <c r="B59">
        <f>HYPERLINK("https://www.suredividend.com/sure-analysis-AMAT/","Applied Materials Inc.")</f>
        <v>0</v>
      </c>
      <c r="C59" t="s">
        <v>884</v>
      </c>
      <c r="D59">
        <v>105</v>
      </c>
      <c r="E59">
        <v>97.38</v>
      </c>
      <c r="F59">
        <v>109</v>
      </c>
      <c r="G59">
        <v>0.893394495412844</v>
      </c>
      <c r="H59">
        <v>0.01067981104949682</v>
      </c>
      <c r="I59">
        <v>0.02280147473549499</v>
      </c>
      <c r="J59">
        <v>0.06</v>
      </c>
      <c r="K59">
        <v>0.09433967704318102</v>
      </c>
      <c r="L59" t="s">
        <v>886</v>
      </c>
      <c r="M59" t="s">
        <v>572</v>
      </c>
      <c r="N59">
        <v>14.32058823529412</v>
      </c>
      <c r="O59">
        <v>6.8</v>
      </c>
      <c r="P59">
        <v>1.04</v>
      </c>
      <c r="Q59">
        <v>0.1529411764705882</v>
      </c>
      <c r="R59">
        <v>5</v>
      </c>
      <c r="S59">
        <v>0.09935163429189564</v>
      </c>
      <c r="T59" t="s">
        <v>899</v>
      </c>
      <c r="U59">
        <v>-0.378996854808469</v>
      </c>
      <c r="V59" t="s">
        <v>986</v>
      </c>
      <c r="W59" t="s">
        <v>993</v>
      </c>
      <c r="X59">
        <v>82202.326128</v>
      </c>
      <c r="Y59" s="2">
        <v>44902</v>
      </c>
      <c r="Z59" t="s">
        <v>1005</v>
      </c>
    </row>
    <row r="60" spans="1:26">
      <c r="A60" s="1" t="s">
        <v>84</v>
      </c>
      <c r="B60">
        <f>HYPERLINK("https://www.suredividend.com/sure-analysis-TMO/","Thermo Fisher Scientific Inc.")</f>
        <v>0</v>
      </c>
      <c r="C60" t="s">
        <v>883</v>
      </c>
      <c r="D60">
        <v>498</v>
      </c>
      <c r="E60">
        <v>550.6900000000001</v>
      </c>
      <c r="F60">
        <v>529</v>
      </c>
      <c r="G60">
        <v>1.041001890359168</v>
      </c>
      <c r="H60">
        <v>0.002179084421362291</v>
      </c>
      <c r="I60">
        <v>-0.00800451300482008</v>
      </c>
      <c r="J60">
        <v>0.1</v>
      </c>
      <c r="K60">
        <v>0.0935658105585242</v>
      </c>
      <c r="L60" t="s">
        <v>886</v>
      </c>
      <c r="M60" t="s">
        <v>572</v>
      </c>
      <c r="N60">
        <v>23.93263798348544</v>
      </c>
      <c r="O60">
        <v>23.01</v>
      </c>
      <c r="P60">
        <v>1.2</v>
      </c>
      <c r="Q60">
        <v>0.05215123859191655</v>
      </c>
      <c r="R60">
        <v>5</v>
      </c>
      <c r="S60">
        <v>0.1496540121887568</v>
      </c>
      <c r="T60" t="s">
        <v>901</v>
      </c>
      <c r="U60">
        <v>-0.170625981670907</v>
      </c>
      <c r="V60" t="s">
        <v>986</v>
      </c>
      <c r="W60" t="s">
        <v>998</v>
      </c>
      <c r="X60">
        <v>215978.171284</v>
      </c>
      <c r="Y60" s="2">
        <v>44862</v>
      </c>
      <c r="Z60" t="s">
        <v>1011</v>
      </c>
    </row>
    <row r="61" spans="1:26">
      <c r="A61" s="1" t="s">
        <v>85</v>
      </c>
      <c r="B61">
        <f>HYPERLINK("https://www.suredividend.com/sure-analysis-ADP/","Automatic Data Processing Inc.")</f>
        <v>0</v>
      </c>
      <c r="C61" t="s">
        <v>884</v>
      </c>
      <c r="D61">
        <v>240</v>
      </c>
      <c r="E61">
        <v>238.86</v>
      </c>
      <c r="F61">
        <v>235</v>
      </c>
      <c r="G61">
        <v>1.016425531914894</v>
      </c>
      <c r="H61">
        <v>0.02093276396215356</v>
      </c>
      <c r="I61">
        <v>-0.003253115535162276</v>
      </c>
      <c r="J61">
        <v>0.08</v>
      </c>
      <c r="K61">
        <v>0.09354621772802196</v>
      </c>
      <c r="L61" t="s">
        <v>886</v>
      </c>
      <c r="M61" t="s">
        <v>887</v>
      </c>
      <c r="N61">
        <v>29.48888888888889</v>
      </c>
      <c r="O61">
        <v>8.1</v>
      </c>
      <c r="P61">
        <v>5</v>
      </c>
      <c r="Q61">
        <v>0.617283950617284</v>
      </c>
      <c r="R61">
        <v>48</v>
      </c>
      <c r="S61">
        <v>0.04091254147432188</v>
      </c>
      <c r="T61" t="s">
        <v>920</v>
      </c>
      <c r="U61">
        <v>-0.008769028576218</v>
      </c>
      <c r="V61" t="s">
        <v>986</v>
      </c>
      <c r="W61" t="s">
        <v>991</v>
      </c>
      <c r="X61">
        <v>99085.760903</v>
      </c>
      <c r="Y61" s="2">
        <v>44873</v>
      </c>
      <c r="Z61" t="s">
        <v>1005</v>
      </c>
    </row>
    <row r="62" spans="1:26">
      <c r="A62" s="1" t="s">
        <v>86</v>
      </c>
      <c r="B62">
        <f>HYPERLINK("https://www.suredividend.com/sure-analysis-UNM/","Unum Group")</f>
        <v>0</v>
      </c>
      <c r="C62" t="s">
        <v>884</v>
      </c>
      <c r="D62">
        <v>45</v>
      </c>
      <c r="E62">
        <v>41.03</v>
      </c>
      <c r="F62">
        <v>49</v>
      </c>
      <c r="G62">
        <v>0.8373469387755103</v>
      </c>
      <c r="H62">
        <v>0.032171581769437</v>
      </c>
      <c r="I62">
        <v>0.03614112782740908</v>
      </c>
      <c r="J62">
        <v>0.03</v>
      </c>
      <c r="K62">
        <v>0.093063993907325</v>
      </c>
      <c r="L62" t="s">
        <v>886</v>
      </c>
      <c r="M62" t="s">
        <v>886</v>
      </c>
      <c r="N62">
        <v>6.671544715447154</v>
      </c>
      <c r="O62">
        <v>6.15</v>
      </c>
      <c r="P62">
        <v>1.32</v>
      </c>
      <c r="Q62">
        <v>0.2146341463414634</v>
      </c>
      <c r="R62">
        <v>14</v>
      </c>
      <c r="S62">
        <v>0.02996744995959233</v>
      </c>
      <c r="T62" t="s">
        <v>921</v>
      </c>
      <c r="U62">
        <v>0.729253592953175</v>
      </c>
      <c r="V62" t="s">
        <v>986</v>
      </c>
      <c r="W62" t="s">
        <v>994</v>
      </c>
      <c r="X62">
        <v>8162.544471</v>
      </c>
      <c r="Y62" s="2">
        <v>44872</v>
      </c>
      <c r="Z62" t="s">
        <v>1003</v>
      </c>
    </row>
    <row r="63" spans="1:26">
      <c r="A63" s="1" t="s">
        <v>87</v>
      </c>
      <c r="B63">
        <f>HYPERLINK("https://www.suredividend.com/sure-analysis-CSX/","CSX Corp.")</f>
        <v>0</v>
      </c>
      <c r="C63" t="s">
        <v>883</v>
      </c>
      <c r="D63">
        <v>28</v>
      </c>
      <c r="E63">
        <v>30.98</v>
      </c>
      <c r="F63">
        <v>34</v>
      </c>
      <c r="G63">
        <v>0.9111764705882353</v>
      </c>
      <c r="H63">
        <v>0.01291155584247902</v>
      </c>
      <c r="I63">
        <v>0.01877786559025574</v>
      </c>
      <c r="J63">
        <v>0.06</v>
      </c>
      <c r="K63">
        <v>0.0926744097503942</v>
      </c>
      <c r="L63" t="s">
        <v>886</v>
      </c>
      <c r="M63" t="s">
        <v>573</v>
      </c>
      <c r="N63">
        <v>16.30526315789474</v>
      </c>
      <c r="O63">
        <v>1.9</v>
      </c>
      <c r="P63">
        <v>0.4</v>
      </c>
      <c r="Q63">
        <v>0.2105263157894737</v>
      </c>
      <c r="R63">
        <v>17</v>
      </c>
      <c r="S63">
        <v>0.1086717010810789</v>
      </c>
      <c r="T63" t="s">
        <v>917</v>
      </c>
      <c r="U63">
        <v>-0.159547598959336</v>
      </c>
      <c r="V63" t="s">
        <v>986</v>
      </c>
      <c r="W63" t="s">
        <v>991</v>
      </c>
      <c r="X63">
        <v>65132.622424</v>
      </c>
      <c r="Y63" s="2">
        <v>44860</v>
      </c>
      <c r="Z63" t="s">
        <v>1005</v>
      </c>
    </row>
    <row r="64" spans="1:26">
      <c r="A64" s="1" t="s">
        <v>88</v>
      </c>
      <c r="B64">
        <f>HYPERLINK("https://www.suredividend.com/sure-analysis-LECO/","Lincoln Electric Holdings, Inc.")</f>
        <v>0</v>
      </c>
      <c r="C64" t="s">
        <v>884</v>
      </c>
      <c r="D64">
        <v>142</v>
      </c>
      <c r="E64">
        <v>144.49</v>
      </c>
      <c r="F64">
        <v>148</v>
      </c>
      <c r="G64">
        <v>0.9762837837837839</v>
      </c>
      <c r="H64">
        <v>0.01771748909959167</v>
      </c>
      <c r="I64">
        <v>0.004811934904337622</v>
      </c>
      <c r="J64">
        <v>0.07000000000000001</v>
      </c>
      <c r="K64">
        <v>0.09144530736786094</v>
      </c>
      <c r="L64" t="s">
        <v>886</v>
      </c>
      <c r="M64" t="s">
        <v>887</v>
      </c>
      <c r="N64">
        <v>17.62073170731708</v>
      </c>
      <c r="O64">
        <v>8.199999999999999</v>
      </c>
      <c r="P64">
        <v>2.56</v>
      </c>
      <c r="Q64">
        <v>0.3121951219512196</v>
      </c>
      <c r="R64">
        <v>27</v>
      </c>
      <c r="S64">
        <v>0.0799150058822331</v>
      </c>
      <c r="T64" t="s">
        <v>905</v>
      </c>
      <c r="U64">
        <v>0.056372523932697</v>
      </c>
      <c r="V64" t="s">
        <v>986</v>
      </c>
      <c r="W64" t="s">
        <v>991</v>
      </c>
      <c r="X64">
        <v>8342.621416</v>
      </c>
      <c r="Y64" s="2">
        <v>44866</v>
      </c>
      <c r="Z64" t="s">
        <v>1007</v>
      </c>
    </row>
    <row r="65" spans="1:26">
      <c r="A65" s="1" t="s">
        <v>89</v>
      </c>
      <c r="B65">
        <f>HYPERLINK("https://www.suredividend.com/sure-analysis-COST/","Costco Wholesale Corp")</f>
        <v>0</v>
      </c>
      <c r="C65" t="s">
        <v>884</v>
      </c>
      <c r="D65">
        <v>461</v>
      </c>
      <c r="E65">
        <v>456.5</v>
      </c>
      <c r="F65">
        <v>443</v>
      </c>
      <c r="G65">
        <v>1.030474040632054</v>
      </c>
      <c r="H65">
        <v>0.007886089813800658</v>
      </c>
      <c r="I65">
        <v>-0.005985799288942273</v>
      </c>
      <c r="J65">
        <v>0.09</v>
      </c>
      <c r="K65">
        <v>0.09105648445146564</v>
      </c>
      <c r="L65" t="s">
        <v>886</v>
      </c>
      <c r="M65" t="s">
        <v>572</v>
      </c>
      <c r="N65">
        <v>31.92307692307692</v>
      </c>
      <c r="O65">
        <v>14.3</v>
      </c>
      <c r="P65">
        <v>3.6</v>
      </c>
      <c r="Q65">
        <v>0.2517482517482517</v>
      </c>
      <c r="R65">
        <v>19</v>
      </c>
      <c r="S65">
        <v>0.100082101138866</v>
      </c>
      <c r="T65" t="s">
        <v>921</v>
      </c>
      <c r="U65">
        <v>-0.185057470853977</v>
      </c>
      <c r="V65" t="s">
        <v>986</v>
      </c>
      <c r="W65" t="s">
        <v>996</v>
      </c>
      <c r="X65">
        <v>202624.072123</v>
      </c>
      <c r="Y65" s="2">
        <v>44914</v>
      </c>
      <c r="Z65" t="s">
        <v>1005</v>
      </c>
    </row>
    <row r="66" spans="1:26">
      <c r="A66" s="1" t="s">
        <v>90</v>
      </c>
      <c r="B66">
        <f>HYPERLINK("https://www.suredividend.com/sure-analysis-TTC/","Toro Co.")</f>
        <v>0</v>
      </c>
      <c r="C66" t="s">
        <v>884</v>
      </c>
      <c r="D66">
        <v>113</v>
      </c>
      <c r="E66">
        <v>113.2</v>
      </c>
      <c r="F66">
        <v>103</v>
      </c>
      <c r="G66">
        <v>1.099029126213592</v>
      </c>
      <c r="H66">
        <v>0.01201413427561837</v>
      </c>
      <c r="I66">
        <v>-0.01870822300264252</v>
      </c>
      <c r="J66">
        <v>0.1</v>
      </c>
      <c r="K66">
        <v>0.09105277553241264</v>
      </c>
      <c r="L66" t="s">
        <v>886</v>
      </c>
      <c r="M66" t="s">
        <v>572</v>
      </c>
      <c r="N66">
        <v>23.58333333333334</v>
      </c>
      <c r="O66">
        <v>4.8</v>
      </c>
      <c r="P66">
        <v>1.36</v>
      </c>
      <c r="Q66">
        <v>0.2833333333333334</v>
      </c>
      <c r="R66">
        <v>14</v>
      </c>
      <c r="S66">
        <v>0.09997050830829379</v>
      </c>
      <c r="T66" t="s">
        <v>922</v>
      </c>
      <c r="U66">
        <v>0.149503489636698</v>
      </c>
      <c r="V66" t="s">
        <v>986</v>
      </c>
      <c r="W66" t="s">
        <v>991</v>
      </c>
      <c r="X66">
        <v>11773.759936</v>
      </c>
      <c r="Y66" s="2">
        <v>44917</v>
      </c>
      <c r="Z66" t="s">
        <v>1008</v>
      </c>
    </row>
    <row r="67" spans="1:26">
      <c r="A67" s="1" t="s">
        <v>91</v>
      </c>
      <c r="B67">
        <f>HYPERLINK("https://www.suredividend.com/sure-analysis-BDX/","Becton, Dickinson And Co.")</f>
        <v>0</v>
      </c>
      <c r="C67" t="s">
        <v>883</v>
      </c>
      <c r="D67">
        <v>228</v>
      </c>
      <c r="E67">
        <v>254.3</v>
      </c>
      <c r="F67">
        <v>228</v>
      </c>
      <c r="G67">
        <v>1.115350877192983</v>
      </c>
      <c r="H67">
        <v>0.01431380259535981</v>
      </c>
      <c r="I67">
        <v>-0.02159717641722991</v>
      </c>
      <c r="J67">
        <v>0.1</v>
      </c>
      <c r="K67">
        <v>0.09020218734666807</v>
      </c>
      <c r="L67" t="s">
        <v>886</v>
      </c>
      <c r="M67" t="s">
        <v>887</v>
      </c>
      <c r="N67">
        <v>21.22704507512521</v>
      </c>
      <c r="O67">
        <v>11.98</v>
      </c>
      <c r="P67">
        <v>3.64</v>
      </c>
      <c r="Q67">
        <v>0.3038397328881469</v>
      </c>
      <c r="R67">
        <v>51</v>
      </c>
      <c r="S67">
        <v>0.09991530830258055</v>
      </c>
      <c r="T67" t="s">
        <v>920</v>
      </c>
      <c r="U67">
        <v>0.043084346679726</v>
      </c>
      <c r="V67" t="s">
        <v>986</v>
      </c>
      <c r="W67" t="s">
        <v>998</v>
      </c>
      <c r="X67">
        <v>72289.34578800001</v>
      </c>
      <c r="Y67" s="2">
        <v>44880</v>
      </c>
      <c r="Z67" t="s">
        <v>1001</v>
      </c>
    </row>
    <row r="68" spans="1:26">
      <c r="A68" s="1" t="s">
        <v>92</v>
      </c>
      <c r="B68">
        <f>HYPERLINK("https://www.suredividend.com/sure-analysis-ADM/","Archer Daniels Midland Co.")</f>
        <v>0</v>
      </c>
      <c r="C68" t="s">
        <v>884</v>
      </c>
      <c r="D68">
        <v>98</v>
      </c>
      <c r="E68">
        <v>92.84999999999999</v>
      </c>
      <c r="F68">
        <v>105</v>
      </c>
      <c r="G68">
        <v>0.8842857142857142</v>
      </c>
      <c r="H68">
        <v>0.01723209477652127</v>
      </c>
      <c r="I68">
        <v>0.02489996476022993</v>
      </c>
      <c r="J68">
        <v>0.05</v>
      </c>
      <c r="K68">
        <v>0.08982265204285822</v>
      </c>
      <c r="L68" t="s">
        <v>886</v>
      </c>
      <c r="M68" t="s">
        <v>887</v>
      </c>
      <c r="N68">
        <v>12.39652870493992</v>
      </c>
      <c r="O68">
        <v>7.49</v>
      </c>
      <c r="P68">
        <v>1.6</v>
      </c>
      <c r="Q68">
        <v>0.2136181575433912</v>
      </c>
      <c r="R68">
        <v>47</v>
      </c>
      <c r="S68">
        <v>0.02946206823925857</v>
      </c>
      <c r="T68" t="s">
        <v>895</v>
      </c>
      <c r="U68">
        <v>0.415081399566559</v>
      </c>
      <c r="V68" t="s">
        <v>986</v>
      </c>
      <c r="W68" t="s">
        <v>996</v>
      </c>
      <c r="X68">
        <v>51005.682977</v>
      </c>
      <c r="Y68" s="2">
        <v>44867</v>
      </c>
      <c r="Z68" t="s">
        <v>1006</v>
      </c>
    </row>
    <row r="69" spans="1:26">
      <c r="A69" s="1" t="s">
        <v>93</v>
      </c>
      <c r="B69">
        <f>HYPERLINK("https://www.suredividend.com/sure-analysis-ORCL/","Oracle Corp.")</f>
        <v>0</v>
      </c>
      <c r="C69" t="s">
        <v>883</v>
      </c>
      <c r="D69">
        <v>64</v>
      </c>
      <c r="E69">
        <v>81.73999999999999</v>
      </c>
      <c r="F69">
        <v>80</v>
      </c>
      <c r="G69">
        <v>1.02175</v>
      </c>
      <c r="H69">
        <v>0.01565940787863959</v>
      </c>
      <c r="I69">
        <v>-0.004294122469455597</v>
      </c>
      <c r="J69">
        <v>0.08</v>
      </c>
      <c r="K69">
        <v>0.0894245296442846</v>
      </c>
      <c r="L69" t="s">
        <v>886</v>
      </c>
      <c r="M69" t="s">
        <v>573</v>
      </c>
      <c r="N69">
        <v>16.348</v>
      </c>
      <c r="O69">
        <v>5</v>
      </c>
      <c r="P69">
        <v>1.28</v>
      </c>
      <c r="Q69">
        <v>0.256</v>
      </c>
      <c r="R69">
        <v>12</v>
      </c>
      <c r="S69">
        <v>0.07056368416916192</v>
      </c>
      <c r="T69" t="s">
        <v>923</v>
      </c>
      <c r="U69">
        <v>-0.05512721219757401</v>
      </c>
      <c r="V69" t="s">
        <v>986</v>
      </c>
      <c r="W69" t="s">
        <v>993</v>
      </c>
      <c r="X69">
        <v>220391.72022</v>
      </c>
      <c r="Y69" s="2">
        <v>44847</v>
      </c>
      <c r="Z69" t="s">
        <v>1007</v>
      </c>
    </row>
    <row r="70" spans="1:26">
      <c r="A70" s="1" t="s">
        <v>94</v>
      </c>
      <c r="B70">
        <f>HYPERLINK("https://www.suredividend.com/sure-analysis-ITT/","ITT Inc")</f>
        <v>0</v>
      </c>
      <c r="C70" t="s">
        <v>884</v>
      </c>
      <c r="D70">
        <v>84</v>
      </c>
      <c r="E70">
        <v>81.09999999999999</v>
      </c>
      <c r="F70">
        <v>73</v>
      </c>
      <c r="G70">
        <v>1.110958904109589</v>
      </c>
      <c r="H70">
        <v>0.01307028360049322</v>
      </c>
      <c r="I70">
        <v>-0.02082480945139598</v>
      </c>
      <c r="J70">
        <v>0.1</v>
      </c>
      <c r="K70">
        <v>0.08913864680131067</v>
      </c>
      <c r="L70" t="s">
        <v>886</v>
      </c>
      <c r="M70" t="s">
        <v>573</v>
      </c>
      <c r="N70">
        <v>18.43181818181818</v>
      </c>
      <c r="O70">
        <v>4.4</v>
      </c>
      <c r="P70">
        <v>1.06</v>
      </c>
      <c r="Q70">
        <v>0.2409090909090909</v>
      </c>
      <c r="R70">
        <v>26</v>
      </c>
      <c r="S70">
        <v>0.08034818492488416</v>
      </c>
      <c r="T70" t="s">
        <v>891</v>
      </c>
      <c r="U70">
        <v>-0.193290885778543</v>
      </c>
      <c r="V70" t="s">
        <v>986</v>
      </c>
      <c r="W70" t="s">
        <v>991</v>
      </c>
      <c r="X70">
        <v>6706.97</v>
      </c>
      <c r="Y70" s="2">
        <v>44889</v>
      </c>
      <c r="Z70" t="s">
        <v>1002</v>
      </c>
    </row>
    <row r="71" spans="1:26">
      <c r="A71" s="1" t="s">
        <v>95</v>
      </c>
      <c r="B71">
        <f>HYPERLINK("https://www.suredividend.com/sure-analysis-ATO/","Atmos Energy Corp.")</f>
        <v>0</v>
      </c>
      <c r="C71" t="s">
        <v>884</v>
      </c>
      <c r="D71">
        <v>116</v>
      </c>
      <c r="E71">
        <v>112.07</v>
      </c>
      <c r="F71">
        <v>114</v>
      </c>
      <c r="G71">
        <v>0.9830701754385964</v>
      </c>
      <c r="H71">
        <v>0.02641206388864103</v>
      </c>
      <c r="I71">
        <v>0.00342079206626944</v>
      </c>
      <c r="J71">
        <v>0.06</v>
      </c>
      <c r="K71">
        <v>0.08858113518786825</v>
      </c>
      <c r="L71" t="s">
        <v>886</v>
      </c>
      <c r="M71" t="s">
        <v>887</v>
      </c>
      <c r="N71">
        <v>18.67833333333333</v>
      </c>
      <c r="O71">
        <v>6</v>
      </c>
      <c r="P71">
        <v>2.96</v>
      </c>
      <c r="Q71">
        <v>0.4933333333333333</v>
      </c>
      <c r="R71">
        <v>39</v>
      </c>
      <c r="S71">
        <v>0.08003917686469086</v>
      </c>
      <c r="T71" t="s">
        <v>908</v>
      </c>
      <c r="U71">
        <v>0.092384306393962</v>
      </c>
      <c r="V71" t="s">
        <v>986</v>
      </c>
      <c r="W71" t="s">
        <v>997</v>
      </c>
      <c r="X71">
        <v>15803.660206</v>
      </c>
      <c r="Y71" s="2">
        <v>44898</v>
      </c>
      <c r="Z71" t="s">
        <v>1005</v>
      </c>
    </row>
    <row r="72" spans="1:26">
      <c r="A72" s="1" t="s">
        <v>96</v>
      </c>
      <c r="B72">
        <f>HYPERLINK("https://www.suredividend.com/sure-analysis-SBSI/","Southside Bancshares Inc")</f>
        <v>0</v>
      </c>
      <c r="C72" t="s">
        <v>884</v>
      </c>
      <c r="D72">
        <v>33</v>
      </c>
      <c r="E72">
        <v>35.99</v>
      </c>
      <c r="F72">
        <v>41</v>
      </c>
      <c r="G72">
        <v>0.8778048780487805</v>
      </c>
      <c r="H72">
        <v>0.03778827452070019</v>
      </c>
      <c r="I72">
        <v>0.02640888312335332</v>
      </c>
      <c r="J72">
        <v>0.03</v>
      </c>
      <c r="K72">
        <v>0.08842852023217107</v>
      </c>
      <c r="L72" t="s">
        <v>886</v>
      </c>
      <c r="M72" t="s">
        <v>886</v>
      </c>
      <c r="N72">
        <v>10.55425219941349</v>
      </c>
      <c r="O72">
        <v>3.41</v>
      </c>
      <c r="P72">
        <v>1.36</v>
      </c>
      <c r="Q72">
        <v>0.3988269794721408</v>
      </c>
      <c r="R72">
        <v>28</v>
      </c>
      <c r="S72">
        <v>0.03044219892825617</v>
      </c>
      <c r="T72" t="s">
        <v>924</v>
      </c>
      <c r="U72">
        <v>-0.107094123543042</v>
      </c>
      <c r="V72" t="s">
        <v>986</v>
      </c>
      <c r="W72" t="s">
        <v>994</v>
      </c>
      <c r="X72">
        <v>1155.45967</v>
      </c>
      <c r="Y72" s="2">
        <v>44859</v>
      </c>
      <c r="Z72" t="s">
        <v>1001</v>
      </c>
    </row>
    <row r="73" spans="1:26">
      <c r="A73" s="1" t="s">
        <v>97</v>
      </c>
      <c r="B73">
        <f>HYPERLINK("https://www.suredividend.com/sure-analysis-SCL/","Stepan Co.")</f>
        <v>0</v>
      </c>
      <c r="C73" t="s">
        <v>884</v>
      </c>
      <c r="D73">
        <v>105</v>
      </c>
      <c r="E73">
        <v>106.46</v>
      </c>
      <c r="F73">
        <v>120</v>
      </c>
      <c r="G73">
        <v>0.8871666666666667</v>
      </c>
      <c r="H73">
        <v>0.01371407101258689</v>
      </c>
      <c r="I73">
        <v>0.02423345395118415</v>
      </c>
      <c r="J73">
        <v>0.05</v>
      </c>
      <c r="K73">
        <v>0.0881509224841901</v>
      </c>
      <c r="L73" t="s">
        <v>886</v>
      </c>
      <c r="M73" t="s">
        <v>887</v>
      </c>
      <c r="N73">
        <v>15.10070921985815</v>
      </c>
      <c r="O73">
        <v>7.05</v>
      </c>
      <c r="P73">
        <v>1.46</v>
      </c>
      <c r="Q73">
        <v>0.2070921985815603</v>
      </c>
      <c r="R73">
        <v>55</v>
      </c>
      <c r="S73">
        <v>0.08048096642439129</v>
      </c>
      <c r="T73" t="s">
        <v>917</v>
      </c>
      <c r="U73">
        <v>-0.122991286754499</v>
      </c>
      <c r="V73" t="s">
        <v>986</v>
      </c>
      <c r="W73" t="s">
        <v>990</v>
      </c>
      <c r="X73">
        <v>2366.425883</v>
      </c>
      <c r="Y73" s="2">
        <v>44871</v>
      </c>
      <c r="Z73" t="s">
        <v>1005</v>
      </c>
    </row>
    <row r="74" spans="1:26">
      <c r="A74" s="1" t="s">
        <v>98</v>
      </c>
      <c r="B74">
        <f>HYPERLINK("https://www.suredividend.com/sure-analysis-GGG/","Graco Inc.")</f>
        <v>0</v>
      </c>
      <c r="C74" t="s">
        <v>884</v>
      </c>
      <c r="D74">
        <v>69</v>
      </c>
      <c r="E74">
        <v>67.26000000000001</v>
      </c>
      <c r="F74">
        <v>60</v>
      </c>
      <c r="G74">
        <v>1.121</v>
      </c>
      <c r="H74">
        <v>0.01397561700862325</v>
      </c>
      <c r="I74">
        <v>-0.02258527503741858</v>
      </c>
      <c r="J74">
        <v>0.1</v>
      </c>
      <c r="K74">
        <v>0.08791398891041569</v>
      </c>
      <c r="L74" t="s">
        <v>886</v>
      </c>
      <c r="M74" t="s">
        <v>573</v>
      </c>
      <c r="N74">
        <v>25.86923076923077</v>
      </c>
      <c r="O74">
        <v>2.6</v>
      </c>
      <c r="P74">
        <v>0.9399999999999999</v>
      </c>
      <c r="Q74">
        <v>0.3615384615384615</v>
      </c>
      <c r="R74">
        <v>26</v>
      </c>
      <c r="S74">
        <v>0.0750809910289123</v>
      </c>
      <c r="T74" t="s">
        <v>925</v>
      </c>
      <c r="U74">
        <v>-0.150943038957399</v>
      </c>
      <c r="V74" t="s">
        <v>986</v>
      </c>
      <c r="W74" t="s">
        <v>991</v>
      </c>
      <c r="X74">
        <v>11335.261549</v>
      </c>
      <c r="Y74" s="2">
        <v>44864</v>
      </c>
      <c r="Z74" t="s">
        <v>1004</v>
      </c>
    </row>
    <row r="75" spans="1:26">
      <c r="A75" s="1" t="s">
        <v>99</v>
      </c>
      <c r="B75">
        <f>HYPERLINK("https://www.suredividend.com/sure-analysis-V/","Visa Inc")</f>
        <v>0</v>
      </c>
      <c r="C75" t="s">
        <v>883</v>
      </c>
      <c r="D75">
        <v>196</v>
      </c>
      <c r="E75">
        <v>207.76</v>
      </c>
      <c r="F75">
        <v>207</v>
      </c>
      <c r="G75">
        <v>1.003671497584541</v>
      </c>
      <c r="H75">
        <v>0.008663842895648826</v>
      </c>
      <c r="I75">
        <v>-0.0007326862720569149</v>
      </c>
      <c r="J75">
        <v>0.08</v>
      </c>
      <c r="K75">
        <v>0.08765582869270916</v>
      </c>
      <c r="L75" t="s">
        <v>886</v>
      </c>
      <c r="M75" t="s">
        <v>572</v>
      </c>
      <c r="N75">
        <v>25.09178743961353</v>
      </c>
      <c r="O75">
        <v>8.279999999999999</v>
      </c>
      <c r="P75">
        <v>1.8</v>
      </c>
      <c r="Q75">
        <v>0.2173913043478261</v>
      </c>
      <c r="R75">
        <v>15</v>
      </c>
      <c r="S75">
        <v>0.100082101138866</v>
      </c>
      <c r="T75" t="s">
        <v>890</v>
      </c>
      <c r="U75">
        <v>-0.036955935264304</v>
      </c>
      <c r="V75" t="s">
        <v>986</v>
      </c>
      <c r="W75" t="s">
        <v>994</v>
      </c>
      <c r="X75">
        <v>392752.531686</v>
      </c>
      <c r="Y75" s="2">
        <v>44887</v>
      </c>
      <c r="Z75" t="s">
        <v>1008</v>
      </c>
    </row>
    <row r="76" spans="1:26">
      <c r="A76" s="1" t="s">
        <v>100</v>
      </c>
      <c r="B76">
        <f>HYPERLINK("https://www.suredividend.com/sure-analysis-OZK/","Bank OZK")</f>
        <v>0</v>
      </c>
      <c r="C76" t="s">
        <v>884</v>
      </c>
      <c r="D76">
        <v>42</v>
      </c>
      <c r="E76">
        <v>40.06</v>
      </c>
      <c r="F76">
        <v>46</v>
      </c>
      <c r="G76">
        <v>0.8708695652173913</v>
      </c>
      <c r="H76">
        <v>0.03295057413879181</v>
      </c>
      <c r="I76">
        <v>0.02803849543214554</v>
      </c>
      <c r="J76">
        <v>0.03</v>
      </c>
      <c r="K76">
        <v>0.08763651131825534</v>
      </c>
      <c r="L76" t="s">
        <v>886</v>
      </c>
      <c r="M76" t="s">
        <v>886</v>
      </c>
      <c r="N76">
        <v>9.538095238095238</v>
      </c>
      <c r="O76">
        <v>4.2</v>
      </c>
      <c r="P76">
        <v>1.32</v>
      </c>
      <c r="Q76">
        <v>0.3142857142857143</v>
      </c>
      <c r="R76">
        <v>26</v>
      </c>
      <c r="S76">
        <v>0.04941452284458392</v>
      </c>
      <c r="T76" t="s">
        <v>912</v>
      </c>
      <c r="U76">
        <v>-0.10894216354003</v>
      </c>
      <c r="V76" t="s">
        <v>986</v>
      </c>
      <c r="W76" t="s">
        <v>994</v>
      </c>
      <c r="X76">
        <v>4870.381711</v>
      </c>
      <c r="Y76" s="2">
        <v>44860</v>
      </c>
      <c r="Z76" t="s">
        <v>1003</v>
      </c>
    </row>
    <row r="77" spans="1:26">
      <c r="A77" s="1" t="s">
        <v>101</v>
      </c>
      <c r="B77">
        <f>HYPERLINK("https://www.suredividend.com/sure-analysis-KR/","Kroger Co.")</f>
        <v>0</v>
      </c>
      <c r="C77" t="s">
        <v>884</v>
      </c>
      <c r="D77">
        <v>48</v>
      </c>
      <c r="E77">
        <v>44.58</v>
      </c>
      <c r="F77">
        <v>53</v>
      </c>
      <c r="G77">
        <v>0.8411320754716981</v>
      </c>
      <c r="H77">
        <v>0.02332884701659937</v>
      </c>
      <c r="I77">
        <v>0.03520690724429865</v>
      </c>
      <c r="J77">
        <v>0.03</v>
      </c>
      <c r="K77">
        <v>0.08761480263767885</v>
      </c>
      <c r="L77" t="s">
        <v>886</v>
      </c>
      <c r="M77" t="s">
        <v>887</v>
      </c>
      <c r="N77">
        <v>10.87317073170732</v>
      </c>
      <c r="O77">
        <v>4.1</v>
      </c>
      <c r="P77">
        <v>1.04</v>
      </c>
      <c r="Q77">
        <v>0.2536585365853659</v>
      </c>
      <c r="R77">
        <v>17</v>
      </c>
      <c r="S77">
        <v>0.07019742897422021</v>
      </c>
      <c r="T77" t="s">
        <v>907</v>
      </c>
      <c r="U77">
        <v>0.007022957322376001</v>
      </c>
      <c r="V77" t="s">
        <v>986</v>
      </c>
      <c r="W77" t="s">
        <v>996</v>
      </c>
      <c r="X77">
        <v>31911.339188</v>
      </c>
      <c r="Y77" s="2">
        <v>44899</v>
      </c>
      <c r="Z77" t="s">
        <v>1008</v>
      </c>
    </row>
    <row r="78" spans="1:26">
      <c r="A78" s="1" t="s">
        <v>102</v>
      </c>
      <c r="B78">
        <f>HYPERLINK("https://www.suredividend.com/sure-analysis-SCI/","Service Corp. International")</f>
        <v>0</v>
      </c>
      <c r="C78" t="s">
        <v>883</v>
      </c>
      <c r="D78">
        <v>61</v>
      </c>
      <c r="E78">
        <v>69.14</v>
      </c>
      <c r="F78">
        <v>74</v>
      </c>
      <c r="G78">
        <v>0.9343243243243243</v>
      </c>
      <c r="H78">
        <v>0.01446340757882557</v>
      </c>
      <c r="I78">
        <v>0.01367904535070785</v>
      </c>
      <c r="J78">
        <v>0.06</v>
      </c>
      <c r="K78">
        <v>0.08717482465244664</v>
      </c>
      <c r="L78" t="s">
        <v>886</v>
      </c>
      <c r="M78" t="s">
        <v>573</v>
      </c>
      <c r="N78">
        <v>18.68648648648649</v>
      </c>
      <c r="O78">
        <v>3.7</v>
      </c>
      <c r="P78">
        <v>1</v>
      </c>
      <c r="Q78">
        <v>0.2702702702702702</v>
      </c>
      <c r="R78">
        <v>12</v>
      </c>
      <c r="S78">
        <v>0.0602809527753625</v>
      </c>
      <c r="T78" t="s">
        <v>901</v>
      </c>
      <c r="U78">
        <v>-0.006657720743526</v>
      </c>
      <c r="V78" t="s">
        <v>986</v>
      </c>
      <c r="W78" t="s">
        <v>991</v>
      </c>
      <c r="X78">
        <v>10634.1131</v>
      </c>
      <c r="Y78" s="2">
        <v>44867</v>
      </c>
      <c r="Z78" t="s">
        <v>1006</v>
      </c>
    </row>
    <row r="79" spans="1:26">
      <c r="A79" s="1" t="s">
        <v>103</v>
      </c>
      <c r="B79">
        <f>HYPERLINK("https://www.suredividend.com/sure-analysis-NWN/","Northwest Natural Holding Co")</f>
        <v>0</v>
      </c>
      <c r="C79" t="s">
        <v>884</v>
      </c>
      <c r="D79">
        <v>49.6</v>
      </c>
      <c r="E79">
        <v>47.59</v>
      </c>
      <c r="F79">
        <v>50.8</v>
      </c>
      <c r="G79">
        <v>0.9368110236220474</v>
      </c>
      <c r="H79">
        <v>0.04076486656860685</v>
      </c>
      <c r="I79">
        <v>0.01314032503215579</v>
      </c>
      <c r="J79">
        <v>0.041</v>
      </c>
      <c r="K79">
        <v>0.08717340507923521</v>
      </c>
      <c r="L79" t="s">
        <v>886</v>
      </c>
      <c r="M79" t="s">
        <v>886</v>
      </c>
      <c r="N79">
        <v>18.73622047244094</v>
      </c>
      <c r="O79">
        <v>2.54</v>
      </c>
      <c r="P79">
        <v>1.94</v>
      </c>
      <c r="Q79">
        <v>0.7637795275590551</v>
      </c>
      <c r="R79">
        <v>67</v>
      </c>
      <c r="S79">
        <v>0.01597614985727058</v>
      </c>
      <c r="T79" t="s">
        <v>926</v>
      </c>
      <c r="U79">
        <v>0.015543643409529</v>
      </c>
      <c r="V79" t="s">
        <v>986</v>
      </c>
      <c r="W79" t="s">
        <v>997</v>
      </c>
      <c r="X79">
        <v>1670.369072</v>
      </c>
      <c r="Y79" s="2">
        <v>44893</v>
      </c>
      <c r="Z79" t="s">
        <v>1009</v>
      </c>
    </row>
    <row r="80" spans="1:26">
      <c r="A80" s="1" t="s">
        <v>104</v>
      </c>
      <c r="B80">
        <f>HYPERLINK("https://www.suredividend.com/sure-analysis-AOS/","A.O. Smith Corp.")</f>
        <v>0</v>
      </c>
      <c r="C80" t="s">
        <v>883</v>
      </c>
      <c r="D80">
        <v>54</v>
      </c>
      <c r="E80">
        <v>57.24</v>
      </c>
      <c r="F80">
        <v>59</v>
      </c>
      <c r="G80">
        <v>0.9701694915254238</v>
      </c>
      <c r="H80">
        <v>0.02096436058700209</v>
      </c>
      <c r="I80">
        <v>0.00607527793928675</v>
      </c>
      <c r="J80">
        <v>0.06</v>
      </c>
      <c r="K80">
        <v>0.08620856919815623</v>
      </c>
      <c r="L80" t="s">
        <v>886</v>
      </c>
      <c r="M80" t="s">
        <v>887</v>
      </c>
      <c r="N80">
        <v>18.46451612903226</v>
      </c>
      <c r="O80">
        <v>3.1</v>
      </c>
      <c r="P80">
        <v>1.2</v>
      </c>
      <c r="Q80">
        <v>0.3870967741935484</v>
      </c>
      <c r="R80">
        <v>29</v>
      </c>
      <c r="S80">
        <v>0.0796084730466029</v>
      </c>
      <c r="T80" t="s">
        <v>926</v>
      </c>
      <c r="U80">
        <v>-0.316282603190681</v>
      </c>
      <c r="V80" t="s">
        <v>986</v>
      </c>
      <c r="W80" t="s">
        <v>991</v>
      </c>
      <c r="X80">
        <v>8744.871165</v>
      </c>
      <c r="Y80" s="2">
        <v>44864</v>
      </c>
      <c r="Z80" t="s">
        <v>1007</v>
      </c>
    </row>
    <row r="81" spans="1:26">
      <c r="A81" s="1" t="s">
        <v>105</v>
      </c>
      <c r="B81">
        <f>HYPERLINK("https://www.suredividend.com/sure-analysis-SEIC/","SEI Investments Co.")</f>
        <v>0</v>
      </c>
      <c r="C81" t="s">
        <v>883</v>
      </c>
      <c r="D81">
        <v>54</v>
      </c>
      <c r="E81">
        <v>58.3</v>
      </c>
      <c r="F81">
        <v>62</v>
      </c>
      <c r="G81">
        <v>0.9403225806451613</v>
      </c>
      <c r="H81">
        <v>0.0137221269296741</v>
      </c>
      <c r="I81">
        <v>0.01238249438749173</v>
      </c>
      <c r="J81">
        <v>0.06</v>
      </c>
      <c r="K81">
        <v>0.08595845414551828</v>
      </c>
      <c r="L81" t="s">
        <v>886</v>
      </c>
      <c r="M81" t="s">
        <v>573</v>
      </c>
      <c r="N81">
        <v>16.89855072463768</v>
      </c>
      <c r="O81">
        <v>3.45</v>
      </c>
      <c r="P81">
        <v>0.8</v>
      </c>
      <c r="Q81">
        <v>0.2318840579710145</v>
      </c>
      <c r="R81">
        <v>31</v>
      </c>
      <c r="S81">
        <v>0.08083252207959757</v>
      </c>
      <c r="T81" t="s">
        <v>904</v>
      </c>
      <c r="U81">
        <v>-0.035590514710139</v>
      </c>
      <c r="V81" t="s">
        <v>986</v>
      </c>
      <c r="W81" t="s">
        <v>994</v>
      </c>
      <c r="X81">
        <v>7860.500442</v>
      </c>
      <c r="Y81" s="2">
        <v>44864</v>
      </c>
      <c r="Z81" t="s">
        <v>1005</v>
      </c>
    </row>
    <row r="82" spans="1:26">
      <c r="A82" s="1" t="s">
        <v>106</v>
      </c>
      <c r="B82">
        <f>HYPERLINK("https://www.suredividend.com/sure-analysis-CTBI/","Community Trust Bancorp, Inc.")</f>
        <v>0</v>
      </c>
      <c r="C82" t="s">
        <v>883</v>
      </c>
      <c r="D82">
        <v>43</v>
      </c>
      <c r="E82">
        <v>45.93</v>
      </c>
      <c r="F82">
        <v>53</v>
      </c>
      <c r="G82">
        <v>0.8666037735849057</v>
      </c>
      <c r="H82">
        <v>0.03831918136294361</v>
      </c>
      <c r="I82">
        <v>0.02904859689802364</v>
      </c>
      <c r="J82">
        <v>0.02</v>
      </c>
      <c r="K82">
        <v>0.08281232783330505</v>
      </c>
      <c r="L82" t="s">
        <v>886</v>
      </c>
      <c r="M82" t="s">
        <v>886</v>
      </c>
      <c r="N82">
        <v>10.43863636363636</v>
      </c>
      <c r="O82">
        <v>4.4</v>
      </c>
      <c r="P82">
        <v>1.76</v>
      </c>
      <c r="Q82">
        <v>0.4</v>
      </c>
      <c r="R82">
        <v>42</v>
      </c>
      <c r="S82">
        <v>0.03792181163298758</v>
      </c>
      <c r="T82" t="s">
        <v>901</v>
      </c>
      <c r="U82">
        <v>0.103444630767678</v>
      </c>
      <c r="V82" t="s">
        <v>986</v>
      </c>
      <c r="W82" t="s">
        <v>994</v>
      </c>
      <c r="X82">
        <v>822.9866</v>
      </c>
      <c r="Y82" s="2">
        <v>44854</v>
      </c>
      <c r="Z82" t="s">
        <v>1003</v>
      </c>
    </row>
    <row r="83" spans="1:26">
      <c r="A83" s="1" t="s">
        <v>107</v>
      </c>
      <c r="B83">
        <f>HYPERLINK("https://www.suredividend.com/sure-analysis-JBHT/","J.B. Hunt Transport Services, Inc.")</f>
        <v>0</v>
      </c>
      <c r="C83" t="s">
        <v>884</v>
      </c>
      <c r="D83">
        <v>165</v>
      </c>
      <c r="E83">
        <v>174.36</v>
      </c>
      <c r="F83">
        <v>211</v>
      </c>
      <c r="G83">
        <v>0.826350710900474</v>
      </c>
      <c r="H83">
        <v>0.009176416609314062</v>
      </c>
      <c r="I83">
        <v>0.03888414663871997</v>
      </c>
      <c r="J83">
        <v>0.035</v>
      </c>
      <c r="K83">
        <v>0.08275901202950098</v>
      </c>
      <c r="L83" t="s">
        <v>886</v>
      </c>
      <c r="M83" t="s">
        <v>573</v>
      </c>
      <c r="N83">
        <v>18.1625</v>
      </c>
      <c r="O83">
        <v>9.6</v>
      </c>
      <c r="P83">
        <v>1.6</v>
      </c>
      <c r="Q83">
        <v>0.1666666666666667</v>
      </c>
      <c r="R83">
        <v>20</v>
      </c>
      <c r="S83">
        <v>0.03496752704080697</v>
      </c>
      <c r="T83" t="s">
        <v>927</v>
      </c>
      <c r="U83">
        <v>-0.136391328251534</v>
      </c>
      <c r="V83" t="s">
        <v>986</v>
      </c>
      <c r="W83" t="s">
        <v>991</v>
      </c>
      <c r="X83">
        <v>18052.785074</v>
      </c>
      <c r="Y83" s="2">
        <v>44860</v>
      </c>
      <c r="Z83" t="s">
        <v>1002</v>
      </c>
    </row>
    <row r="84" spans="1:26">
      <c r="A84" s="1" t="s">
        <v>108</v>
      </c>
      <c r="B84">
        <f>HYPERLINK("https://www.suredividend.com/sure-analysis-TTE/","TotalEnergies SE")</f>
        <v>0</v>
      </c>
      <c r="C84" t="s">
        <v>883</v>
      </c>
      <c r="D84">
        <v>55</v>
      </c>
      <c r="E84">
        <v>62.08</v>
      </c>
      <c r="F84">
        <v>164</v>
      </c>
      <c r="G84">
        <v>0.3785365853658537</v>
      </c>
      <c r="H84">
        <v>0.04461984536082474</v>
      </c>
      <c r="I84">
        <v>0.2144466128826223</v>
      </c>
      <c r="J84">
        <v>-0.14</v>
      </c>
      <c r="K84">
        <v>0.08254121658047642</v>
      </c>
      <c r="L84" t="s">
        <v>886</v>
      </c>
      <c r="M84" t="s">
        <v>886</v>
      </c>
      <c r="N84">
        <v>4.531386861313869</v>
      </c>
      <c r="O84">
        <v>13.7</v>
      </c>
      <c r="P84">
        <v>2.77</v>
      </c>
      <c r="Q84">
        <v>0.2021897810218978</v>
      </c>
      <c r="R84">
        <v>5</v>
      </c>
      <c r="S84">
        <v>0.02992370160748448</v>
      </c>
      <c r="T84" t="s">
        <v>905</v>
      </c>
      <c r="U84">
        <v>0.331625900638571</v>
      </c>
      <c r="V84" t="s">
        <v>986</v>
      </c>
      <c r="W84" t="s">
        <v>999</v>
      </c>
      <c r="X84">
        <v>162595.670173</v>
      </c>
      <c r="Y84" s="2">
        <v>44866</v>
      </c>
      <c r="Z84" t="s">
        <v>1003</v>
      </c>
    </row>
    <row r="85" spans="1:26">
      <c r="A85" s="1" t="s">
        <v>109</v>
      </c>
      <c r="B85">
        <f>HYPERLINK("https://www.suredividend.com/sure-analysis-FMCB/","Farmers &amp; Merchants Bancorp")</f>
        <v>0</v>
      </c>
      <c r="C85" t="s">
        <v>883</v>
      </c>
      <c r="D85">
        <v>961</v>
      </c>
      <c r="E85">
        <v>1050.02</v>
      </c>
      <c r="F85">
        <v>1140</v>
      </c>
      <c r="G85">
        <v>0.9210701754385965</v>
      </c>
      <c r="H85">
        <v>0.01495209615054951</v>
      </c>
      <c r="I85">
        <v>0.01657975372735709</v>
      </c>
      <c r="J85">
        <v>0.05</v>
      </c>
      <c r="K85">
        <v>0.08045236910934883</v>
      </c>
      <c r="L85" t="s">
        <v>886</v>
      </c>
      <c r="M85" t="s">
        <v>887</v>
      </c>
      <c r="N85">
        <v>11.05284210526316</v>
      </c>
      <c r="O85">
        <v>95</v>
      </c>
      <c r="P85">
        <v>15.7</v>
      </c>
      <c r="Q85">
        <v>0.1652631578947368</v>
      </c>
      <c r="R85">
        <v>57</v>
      </c>
      <c r="S85">
        <v>0.05002493632930105</v>
      </c>
      <c r="T85" t="s">
        <v>915</v>
      </c>
      <c r="U85">
        <v>0.112619889132189</v>
      </c>
      <c r="V85" t="s">
        <v>986</v>
      </c>
      <c r="W85" t="s">
        <v>994</v>
      </c>
      <c r="X85">
        <v>806.93512</v>
      </c>
      <c r="Y85" s="2">
        <v>44861</v>
      </c>
      <c r="Z85" t="s">
        <v>1003</v>
      </c>
    </row>
    <row r="86" spans="1:26">
      <c r="A86" s="1" t="s">
        <v>110</v>
      </c>
      <c r="B86">
        <f>HYPERLINK("https://www.suredividend.com/sure-analysis-FELE/","Franklin Electric Co., Inc.")</f>
        <v>0</v>
      </c>
      <c r="C86" t="s">
        <v>884</v>
      </c>
      <c r="D86">
        <v>81</v>
      </c>
      <c r="E86">
        <v>79.75</v>
      </c>
      <c r="F86">
        <v>80</v>
      </c>
      <c r="G86">
        <v>0.996875</v>
      </c>
      <c r="H86">
        <v>0.009780564263322885</v>
      </c>
      <c r="I86">
        <v>0.0006261745672784258</v>
      </c>
      <c r="J86">
        <v>0.07000000000000001</v>
      </c>
      <c r="K86">
        <v>0.08010907419984381</v>
      </c>
      <c r="L86" t="s">
        <v>886</v>
      </c>
      <c r="M86" t="s">
        <v>573</v>
      </c>
      <c r="N86">
        <v>18.98809523809524</v>
      </c>
      <c r="O86">
        <v>4.2</v>
      </c>
      <c r="P86">
        <v>0.78</v>
      </c>
      <c r="Q86">
        <v>0.1857142857142857</v>
      </c>
      <c r="R86">
        <v>30</v>
      </c>
      <c r="S86">
        <v>0.08631926363477471</v>
      </c>
      <c r="T86" t="s">
        <v>893</v>
      </c>
      <c r="U86">
        <v>-0.141085000813142</v>
      </c>
      <c r="V86" t="s">
        <v>986</v>
      </c>
      <c r="W86" t="s">
        <v>991</v>
      </c>
      <c r="X86">
        <v>3693.903166</v>
      </c>
      <c r="Y86" s="2">
        <v>44860</v>
      </c>
      <c r="Z86" t="s">
        <v>1003</v>
      </c>
    </row>
    <row r="87" spans="1:26">
      <c r="A87" s="1" t="s">
        <v>111</v>
      </c>
      <c r="B87">
        <f>HYPERLINK("https://www.suredividend.com/sure-analysis-MATW/","Matthews International Corp.")</f>
        <v>0</v>
      </c>
      <c r="C87" t="s">
        <v>884</v>
      </c>
      <c r="D87">
        <v>32</v>
      </c>
      <c r="E87">
        <v>30.44</v>
      </c>
      <c r="F87">
        <v>34</v>
      </c>
      <c r="G87">
        <v>0.8952941176470589</v>
      </c>
      <c r="H87">
        <v>0.03022339027595269</v>
      </c>
      <c r="I87">
        <v>0.022367072792145</v>
      </c>
      <c r="J87">
        <v>0.03</v>
      </c>
      <c r="K87">
        <v>0.08007222501995459</v>
      </c>
      <c r="L87" t="s">
        <v>886</v>
      </c>
      <c r="M87" t="s">
        <v>886</v>
      </c>
      <c r="N87">
        <v>10.42465753424658</v>
      </c>
      <c r="O87">
        <v>2.92</v>
      </c>
      <c r="P87">
        <v>0.92</v>
      </c>
      <c r="Q87">
        <v>0.315068493150685</v>
      </c>
      <c r="R87">
        <v>29</v>
      </c>
      <c r="S87">
        <v>0.04925151964895069</v>
      </c>
      <c r="T87" t="s">
        <v>908</v>
      </c>
      <c r="U87">
        <v>-0.146851422101144</v>
      </c>
      <c r="V87" t="s">
        <v>986</v>
      </c>
      <c r="W87" t="s">
        <v>991</v>
      </c>
      <c r="X87">
        <v>922.2726719999999</v>
      </c>
      <c r="Y87" s="2">
        <v>44895</v>
      </c>
      <c r="Z87" t="s">
        <v>1008</v>
      </c>
    </row>
    <row r="88" spans="1:26">
      <c r="A88" s="1" t="s">
        <v>112</v>
      </c>
      <c r="B88">
        <f>HYPERLINK("https://www.suredividend.com/sure-analysis-BKH/","Black Hills Corporation")</f>
        <v>0</v>
      </c>
      <c r="C88" t="s">
        <v>884</v>
      </c>
      <c r="D88">
        <v>68</v>
      </c>
      <c r="E88">
        <v>70.34</v>
      </c>
      <c r="F88">
        <v>73</v>
      </c>
      <c r="G88">
        <v>0.9635616438356165</v>
      </c>
      <c r="H88">
        <v>0.03554165481944839</v>
      </c>
      <c r="I88">
        <v>0.007451387264514331</v>
      </c>
      <c r="J88">
        <v>0.04</v>
      </c>
      <c r="K88">
        <v>0.07992877524184672</v>
      </c>
      <c r="L88" t="s">
        <v>886</v>
      </c>
      <c r="M88" t="s">
        <v>886</v>
      </c>
      <c r="N88">
        <v>17.3679012345679</v>
      </c>
      <c r="O88">
        <v>4.05</v>
      </c>
      <c r="P88">
        <v>2.5</v>
      </c>
      <c r="Q88">
        <v>0.617283950617284</v>
      </c>
      <c r="R88">
        <v>52</v>
      </c>
      <c r="S88">
        <v>0.04995366747811136</v>
      </c>
      <c r="T88" t="s">
        <v>897</v>
      </c>
      <c r="U88">
        <v>0.028803273917043</v>
      </c>
      <c r="V88" t="s">
        <v>986</v>
      </c>
      <c r="W88" t="s">
        <v>997</v>
      </c>
      <c r="X88">
        <v>4577.604738</v>
      </c>
      <c r="Y88" s="2">
        <v>44888</v>
      </c>
      <c r="Z88" t="s">
        <v>1007</v>
      </c>
    </row>
    <row r="89" spans="1:26">
      <c r="A89" s="1" t="s">
        <v>113</v>
      </c>
      <c r="B89">
        <f>HYPERLINK("https://www.suredividend.com/sure-analysis-SPGI/","S&amp;P Global Inc")</f>
        <v>0</v>
      </c>
      <c r="C89" t="s">
        <v>884</v>
      </c>
      <c r="D89">
        <v>346</v>
      </c>
      <c r="E89">
        <v>334.94</v>
      </c>
      <c r="F89">
        <v>289</v>
      </c>
      <c r="G89">
        <v>1.158961937716263</v>
      </c>
      <c r="H89">
        <v>0.01015107183376127</v>
      </c>
      <c r="I89">
        <v>-0.02907392324940672</v>
      </c>
      <c r="J89">
        <v>0.1</v>
      </c>
      <c r="K89">
        <v>0.07889485667766194</v>
      </c>
      <c r="L89" t="s">
        <v>886</v>
      </c>
      <c r="M89" t="s">
        <v>573</v>
      </c>
      <c r="N89">
        <v>30.17477477477478</v>
      </c>
      <c r="O89">
        <v>11.1</v>
      </c>
      <c r="P89">
        <v>3.4</v>
      </c>
      <c r="Q89">
        <v>0.3063063063063063</v>
      </c>
      <c r="R89">
        <v>49</v>
      </c>
      <c r="S89">
        <v>0.1199266544910265</v>
      </c>
      <c r="T89" t="s">
        <v>908</v>
      </c>
      <c r="U89">
        <v>-0.283345386699075</v>
      </c>
      <c r="V89" t="s">
        <v>986</v>
      </c>
      <c r="W89" t="s">
        <v>994</v>
      </c>
      <c r="X89">
        <v>111535.02</v>
      </c>
      <c r="Y89" s="2">
        <v>44885</v>
      </c>
      <c r="Z89" t="s">
        <v>1005</v>
      </c>
    </row>
    <row r="90" spans="1:26">
      <c r="A90" s="1" t="s">
        <v>114</v>
      </c>
      <c r="B90">
        <f>HYPERLINK("https://www.suredividend.com/sure-analysis-DHR/","Danaher Corp.")</f>
        <v>0</v>
      </c>
      <c r="C90" t="s">
        <v>884</v>
      </c>
      <c r="D90">
        <v>245</v>
      </c>
      <c r="E90">
        <v>265.42</v>
      </c>
      <c r="F90">
        <v>270</v>
      </c>
      <c r="G90">
        <v>0.983037037037037</v>
      </c>
      <c r="H90">
        <v>0.003767613593549846</v>
      </c>
      <c r="I90">
        <v>0.003427557083563126</v>
      </c>
      <c r="J90">
        <v>0.07000000000000001</v>
      </c>
      <c r="K90">
        <v>0.0775663386926877</v>
      </c>
      <c r="L90" t="s">
        <v>886</v>
      </c>
      <c r="M90" t="s">
        <v>572</v>
      </c>
      <c r="N90">
        <v>25.52115384615385</v>
      </c>
      <c r="O90">
        <v>10.4</v>
      </c>
      <c r="P90">
        <v>1</v>
      </c>
      <c r="Q90">
        <v>0.09615384615384615</v>
      </c>
      <c r="R90">
        <v>8</v>
      </c>
      <c r="S90">
        <v>0.1106503068343221</v>
      </c>
      <c r="T90" t="s">
        <v>905</v>
      </c>
      <c r="U90">
        <v>-0.188877890703572</v>
      </c>
      <c r="V90" t="s">
        <v>986</v>
      </c>
      <c r="W90" t="s">
        <v>998</v>
      </c>
      <c r="X90">
        <v>193215.860365</v>
      </c>
      <c r="Y90" s="2">
        <v>44857</v>
      </c>
      <c r="Z90" t="s">
        <v>1004</v>
      </c>
    </row>
    <row r="91" spans="1:26">
      <c r="A91" s="1" t="s">
        <v>115</v>
      </c>
      <c r="B91">
        <f>HYPERLINK("https://www.suredividend.com/sure-analysis-JNJ/","Johnson &amp; Johnson")</f>
        <v>0</v>
      </c>
      <c r="C91" t="s">
        <v>884</v>
      </c>
      <c r="D91">
        <v>166</v>
      </c>
      <c r="E91">
        <v>176.65</v>
      </c>
      <c r="F91">
        <v>171</v>
      </c>
      <c r="G91">
        <v>1.033040935672515</v>
      </c>
      <c r="H91">
        <v>0.02558731955844891</v>
      </c>
      <c r="I91">
        <v>-0.006480275322375273</v>
      </c>
      <c r="J91">
        <v>0.06</v>
      </c>
      <c r="K91">
        <v>0.07689612947369606</v>
      </c>
      <c r="L91" t="s">
        <v>886</v>
      </c>
      <c r="M91" t="s">
        <v>886</v>
      </c>
      <c r="N91">
        <v>17.5771144278607</v>
      </c>
      <c r="O91">
        <v>10.05</v>
      </c>
      <c r="P91">
        <v>4.52</v>
      </c>
      <c r="Q91">
        <v>0.4497512437810944</v>
      </c>
      <c r="R91">
        <v>60</v>
      </c>
      <c r="S91">
        <v>0.06004276922950136</v>
      </c>
      <c r="T91" t="s">
        <v>906</v>
      </c>
      <c r="U91">
        <v>0.052122500055092</v>
      </c>
      <c r="V91" t="s">
        <v>986</v>
      </c>
      <c r="W91" t="s">
        <v>998</v>
      </c>
      <c r="X91">
        <v>461848.529177</v>
      </c>
      <c r="Y91" s="2">
        <v>44853</v>
      </c>
      <c r="Z91" t="s">
        <v>1001</v>
      </c>
    </row>
    <row r="92" spans="1:26">
      <c r="A92" s="1" t="s">
        <v>116</v>
      </c>
      <c r="B92">
        <f>HYPERLINK("https://www.suredividend.com/sure-analysis-PPG/","PPG Industries, Inc.")</f>
        <v>0</v>
      </c>
      <c r="C92" t="s">
        <v>883</v>
      </c>
      <c r="D92">
        <v>110</v>
      </c>
      <c r="E92">
        <v>125.74</v>
      </c>
      <c r="F92">
        <v>113</v>
      </c>
      <c r="G92">
        <v>1.112743362831858</v>
      </c>
      <c r="H92">
        <v>0.01972323842850326</v>
      </c>
      <c r="I92">
        <v>-0.02113906333490156</v>
      </c>
      <c r="J92">
        <v>0.08</v>
      </c>
      <c r="K92">
        <v>0.07644967210689768</v>
      </c>
      <c r="L92" t="s">
        <v>886</v>
      </c>
      <c r="M92" t="s">
        <v>887</v>
      </c>
      <c r="N92">
        <v>21.06197654941374</v>
      </c>
      <c r="O92">
        <v>5.97</v>
      </c>
      <c r="P92">
        <v>2.48</v>
      </c>
      <c r="Q92">
        <v>0.4154103852596315</v>
      </c>
      <c r="R92">
        <v>51</v>
      </c>
      <c r="S92">
        <v>0.07976672700723597</v>
      </c>
      <c r="T92" t="s">
        <v>890</v>
      </c>
      <c r="U92">
        <v>-0.251210663846349</v>
      </c>
      <c r="V92" t="s">
        <v>986</v>
      </c>
      <c r="W92" t="s">
        <v>990</v>
      </c>
      <c r="X92">
        <v>29552.344522</v>
      </c>
      <c r="Y92" s="2">
        <v>44854</v>
      </c>
      <c r="Z92" t="s">
        <v>1001</v>
      </c>
    </row>
    <row r="93" spans="1:26">
      <c r="A93" s="1" t="s">
        <v>117</v>
      </c>
      <c r="B93">
        <f>HYPERLINK("https://www.suredividend.com/sure-analysis-AXP/","American Express Co.")</f>
        <v>0</v>
      </c>
      <c r="C93" t="s">
        <v>884</v>
      </c>
      <c r="D93">
        <v>150</v>
      </c>
      <c r="E93">
        <v>147.75</v>
      </c>
      <c r="F93">
        <v>142</v>
      </c>
      <c r="G93">
        <v>1.040492957746479</v>
      </c>
      <c r="H93">
        <v>0.01407783417935702</v>
      </c>
      <c r="I93">
        <v>-0.007907489742092877</v>
      </c>
      <c r="J93">
        <v>0.07000000000000001</v>
      </c>
      <c r="K93">
        <v>0.07524029114585096</v>
      </c>
      <c r="L93" t="s">
        <v>886</v>
      </c>
      <c r="M93" t="s">
        <v>573</v>
      </c>
      <c r="N93">
        <v>15.63492063492064</v>
      </c>
      <c r="O93">
        <v>9.449999999999999</v>
      </c>
      <c r="P93">
        <v>2.08</v>
      </c>
      <c r="Q93">
        <v>0.2201058201058201</v>
      </c>
      <c r="R93">
        <v>10</v>
      </c>
      <c r="S93">
        <v>0.08026826569151013</v>
      </c>
      <c r="T93" t="s">
        <v>912</v>
      </c>
      <c r="U93">
        <v>-0.088289940459625</v>
      </c>
      <c r="V93" t="s">
        <v>986</v>
      </c>
      <c r="W93" t="s">
        <v>994</v>
      </c>
      <c r="X93">
        <v>110403.630834</v>
      </c>
      <c r="Y93" s="2">
        <v>44864</v>
      </c>
      <c r="Z93" t="s">
        <v>1007</v>
      </c>
    </row>
    <row r="94" spans="1:26">
      <c r="A94" s="1" t="s">
        <v>118</v>
      </c>
      <c r="B94">
        <f>HYPERLINK("https://www.suredividend.com/sure-analysis-CHD/","Church &amp; Dwight Co., Inc.")</f>
        <v>0</v>
      </c>
      <c r="C94" t="s">
        <v>884</v>
      </c>
      <c r="D94">
        <v>74</v>
      </c>
      <c r="E94">
        <v>80.61</v>
      </c>
      <c r="F94">
        <v>81</v>
      </c>
      <c r="G94">
        <v>0.9951851851851852</v>
      </c>
      <c r="H94">
        <v>0.01302567919612951</v>
      </c>
      <c r="I94">
        <v>0.0009657547164418911</v>
      </c>
      <c r="J94">
        <v>0.06</v>
      </c>
      <c r="K94">
        <v>0.07336716566948254</v>
      </c>
      <c r="L94" t="s">
        <v>886</v>
      </c>
      <c r="M94" t="s">
        <v>573</v>
      </c>
      <c r="N94">
        <v>26.87</v>
      </c>
      <c r="O94">
        <v>3</v>
      </c>
      <c r="P94">
        <v>1.05</v>
      </c>
      <c r="Q94">
        <v>0.35</v>
      </c>
      <c r="R94">
        <v>26</v>
      </c>
      <c r="S94">
        <v>0.06961037572506878</v>
      </c>
      <c r="T94" t="s">
        <v>907</v>
      </c>
      <c r="U94">
        <v>-0.195664711622699</v>
      </c>
      <c r="V94" t="s">
        <v>986</v>
      </c>
      <c r="W94" t="s">
        <v>996</v>
      </c>
      <c r="X94">
        <v>19658.227452</v>
      </c>
      <c r="Y94" s="2">
        <v>44878</v>
      </c>
      <c r="Z94" t="s">
        <v>1005</v>
      </c>
    </row>
    <row r="95" spans="1:26">
      <c r="A95" s="1" t="s">
        <v>119</v>
      </c>
      <c r="B95">
        <f>HYPERLINK("https://www.suredividend.com/sure-analysis-BANF/","Bancfirst Corp.")</f>
        <v>0</v>
      </c>
      <c r="C95" t="s">
        <v>884</v>
      </c>
      <c r="D95">
        <v>96</v>
      </c>
      <c r="E95">
        <v>88.18000000000001</v>
      </c>
      <c r="F95">
        <v>87</v>
      </c>
      <c r="G95">
        <v>1.013563218390805</v>
      </c>
      <c r="H95">
        <v>0.01723746881378998</v>
      </c>
      <c r="I95">
        <v>-0.002690785584321453</v>
      </c>
      <c r="J95">
        <v>0.06</v>
      </c>
      <c r="K95">
        <v>0.07313024268070922</v>
      </c>
      <c r="L95" t="s">
        <v>886</v>
      </c>
      <c r="M95" t="s">
        <v>887</v>
      </c>
      <c r="N95">
        <v>15.22970639032815</v>
      </c>
      <c r="O95">
        <v>5.79</v>
      </c>
      <c r="P95">
        <v>1.52</v>
      </c>
      <c r="Q95">
        <v>0.2625215889464594</v>
      </c>
      <c r="R95">
        <v>29</v>
      </c>
      <c r="S95">
        <v>0.0595720409403111</v>
      </c>
      <c r="T95" t="s">
        <v>905</v>
      </c>
      <c r="U95">
        <v>0.27465690653576</v>
      </c>
      <c r="V95" t="s">
        <v>986</v>
      </c>
      <c r="W95" t="s">
        <v>994</v>
      </c>
      <c r="X95">
        <v>2898.52651</v>
      </c>
      <c r="Y95" s="2">
        <v>44867</v>
      </c>
      <c r="Z95" t="s">
        <v>1006</v>
      </c>
    </row>
    <row r="96" spans="1:26">
      <c r="A96" s="1" t="s">
        <v>120</v>
      </c>
      <c r="B96">
        <f>HYPERLINK("https://www.suredividend.com/sure-analysis-WABC/","Westamerica Bancorporation")</f>
        <v>0</v>
      </c>
      <c r="C96" t="s">
        <v>884</v>
      </c>
      <c r="D96">
        <v>54</v>
      </c>
      <c r="E96">
        <v>59.01</v>
      </c>
      <c r="F96">
        <v>68</v>
      </c>
      <c r="G96">
        <v>0.8677941176470588</v>
      </c>
      <c r="H96">
        <v>0.02846975088967971</v>
      </c>
      <c r="I96">
        <v>0.02876613484839363</v>
      </c>
      <c r="J96">
        <v>0.02</v>
      </c>
      <c r="K96">
        <v>0.07312675910063859</v>
      </c>
      <c r="L96" t="s">
        <v>886</v>
      </c>
      <c r="M96" t="s">
        <v>887</v>
      </c>
      <c r="N96">
        <v>15.736</v>
      </c>
      <c r="O96">
        <v>3.75</v>
      </c>
      <c r="P96">
        <v>1.68</v>
      </c>
      <c r="Q96">
        <v>0.448</v>
      </c>
      <c r="R96">
        <v>29</v>
      </c>
      <c r="S96">
        <v>0.01946539682289394</v>
      </c>
      <c r="T96" t="s">
        <v>911</v>
      </c>
      <c r="U96">
        <v>0.05342456705339201</v>
      </c>
      <c r="V96" t="s">
        <v>986</v>
      </c>
      <c r="W96" t="s">
        <v>994</v>
      </c>
      <c r="X96">
        <v>1588.105858</v>
      </c>
      <c r="Y96" s="2">
        <v>44856</v>
      </c>
      <c r="Z96" t="s">
        <v>1001</v>
      </c>
    </row>
    <row r="97" spans="1:26">
      <c r="A97" s="1" t="s">
        <v>121</v>
      </c>
      <c r="B97">
        <f>HYPERLINK("https://www.suredividend.com/sure-analysis-NIDB/","Northeast Indiana Bancorp Inc.")</f>
        <v>0</v>
      </c>
      <c r="C97" t="s">
        <v>884</v>
      </c>
      <c r="D97">
        <v>42</v>
      </c>
      <c r="E97">
        <v>43</v>
      </c>
      <c r="F97">
        <v>47</v>
      </c>
      <c r="G97">
        <v>0.9148936170212766</v>
      </c>
      <c r="H97">
        <v>0.02790697674418605</v>
      </c>
      <c r="I97">
        <v>0.01794867279231127</v>
      </c>
      <c r="J97">
        <v>0.03</v>
      </c>
      <c r="K97">
        <v>0.07259538253772413</v>
      </c>
      <c r="L97" t="s">
        <v>886</v>
      </c>
      <c r="M97" t="s">
        <v>886</v>
      </c>
      <c r="N97">
        <v>8.19047619047619</v>
      </c>
      <c r="O97">
        <v>5.25</v>
      </c>
      <c r="P97">
        <v>1.2</v>
      </c>
      <c r="Q97">
        <v>0.2285714285714286</v>
      </c>
      <c r="R97">
        <v>27</v>
      </c>
      <c r="S97">
        <v>0.02983277847878951</v>
      </c>
      <c r="T97" t="s">
        <v>890</v>
      </c>
      <c r="U97">
        <v>-0.085106382978723</v>
      </c>
      <c r="V97" t="s">
        <v>986</v>
      </c>
      <c r="W97" t="s">
        <v>994</v>
      </c>
      <c r="X97">
        <v>51.807905</v>
      </c>
      <c r="Y97" s="2">
        <v>44858</v>
      </c>
      <c r="Z97" t="s">
        <v>1001</v>
      </c>
    </row>
    <row r="98" spans="1:26">
      <c r="A98" s="1" t="s">
        <v>122</v>
      </c>
      <c r="B98">
        <f>HYPERLINK("https://www.suredividend.com/sure-analysis-AROW/","Arrow Financial Corp.")</f>
        <v>0</v>
      </c>
      <c r="C98" t="s">
        <v>884</v>
      </c>
      <c r="D98">
        <v>34</v>
      </c>
      <c r="E98">
        <v>33.9</v>
      </c>
      <c r="F98">
        <v>33</v>
      </c>
      <c r="G98">
        <v>1.027272727272727</v>
      </c>
      <c r="H98">
        <v>0.03185840707964602</v>
      </c>
      <c r="I98">
        <v>-0.005367036303680184</v>
      </c>
      <c r="J98">
        <v>0.05</v>
      </c>
      <c r="K98">
        <v>0.0713312813537903</v>
      </c>
      <c r="L98" t="s">
        <v>886</v>
      </c>
      <c r="M98" t="s">
        <v>886</v>
      </c>
      <c r="N98">
        <v>11.3</v>
      </c>
      <c r="O98">
        <v>3</v>
      </c>
      <c r="P98">
        <v>1.08</v>
      </c>
      <c r="Q98">
        <v>0.36</v>
      </c>
      <c r="R98">
        <v>27</v>
      </c>
      <c r="S98">
        <v>0.01958782572000284</v>
      </c>
      <c r="T98" t="s">
        <v>891</v>
      </c>
      <c r="U98">
        <v>0.022568910285414</v>
      </c>
      <c r="V98" t="s">
        <v>986</v>
      </c>
      <c r="W98" t="s">
        <v>994</v>
      </c>
      <c r="X98">
        <v>560.32154</v>
      </c>
      <c r="Y98" s="2">
        <v>44871</v>
      </c>
      <c r="Z98" t="s">
        <v>1005</v>
      </c>
    </row>
    <row r="99" spans="1:26">
      <c r="A99" s="1" t="s">
        <v>123</v>
      </c>
      <c r="B99">
        <f>HYPERLINK("https://www.suredividend.com/sure-analysis-WMT/","Walmart Inc")</f>
        <v>0</v>
      </c>
      <c r="C99" t="s">
        <v>884</v>
      </c>
      <c r="D99">
        <v>153</v>
      </c>
      <c r="E99">
        <v>141.79</v>
      </c>
      <c r="F99">
        <v>128</v>
      </c>
      <c r="G99">
        <v>1.107734375</v>
      </c>
      <c r="H99">
        <v>0.01579801114324</v>
      </c>
      <c r="I99">
        <v>-0.02025541140254195</v>
      </c>
      <c r="J99">
        <v>0.08</v>
      </c>
      <c r="K99">
        <v>0.07116736952895342</v>
      </c>
      <c r="L99" t="s">
        <v>886</v>
      </c>
      <c r="M99" t="s">
        <v>887</v>
      </c>
      <c r="N99">
        <v>23.24426229508197</v>
      </c>
      <c r="O99">
        <v>6.1</v>
      </c>
      <c r="P99">
        <v>2.24</v>
      </c>
      <c r="Q99">
        <v>0.3672131147540984</v>
      </c>
      <c r="R99">
        <v>49</v>
      </c>
      <c r="S99">
        <v>0.01974077919609152</v>
      </c>
      <c r="T99" t="s">
        <v>920</v>
      </c>
      <c r="U99">
        <v>0.005928871981911</v>
      </c>
      <c r="V99" t="s">
        <v>986</v>
      </c>
      <c r="W99" t="s">
        <v>996</v>
      </c>
      <c r="X99">
        <v>382379.279657</v>
      </c>
      <c r="Y99" s="2">
        <v>44900</v>
      </c>
      <c r="Z99" t="s">
        <v>1005</v>
      </c>
    </row>
    <row r="100" spans="1:26">
      <c r="A100" s="1" t="s">
        <v>124</v>
      </c>
      <c r="B100">
        <f>HYPERLINK("https://www.suredividend.com/sure-analysis-AMP/","Ameriprise Financial Inc")</f>
        <v>0</v>
      </c>
      <c r="C100" t="s">
        <v>883</v>
      </c>
      <c r="D100">
        <v>297</v>
      </c>
      <c r="E100">
        <v>311.37</v>
      </c>
      <c r="F100">
        <v>276</v>
      </c>
      <c r="G100">
        <v>1.128152173913044</v>
      </c>
      <c r="H100">
        <v>0.01605806596653499</v>
      </c>
      <c r="I100">
        <v>-0.02382773779839675</v>
      </c>
      <c r="J100">
        <v>0.08</v>
      </c>
      <c r="K100">
        <v>0.07025018697822172</v>
      </c>
      <c r="L100" t="s">
        <v>886</v>
      </c>
      <c r="M100" t="s">
        <v>573</v>
      </c>
      <c r="N100">
        <v>12.99540901502504</v>
      </c>
      <c r="O100">
        <v>23.96</v>
      </c>
      <c r="P100">
        <v>5</v>
      </c>
      <c r="Q100">
        <v>0.2086811352253756</v>
      </c>
      <c r="R100">
        <v>18</v>
      </c>
      <c r="S100">
        <v>0.08009875865888949</v>
      </c>
      <c r="T100" t="s">
        <v>911</v>
      </c>
      <c r="U100">
        <v>0.048676902972884</v>
      </c>
      <c r="V100" t="s">
        <v>986</v>
      </c>
      <c r="W100" t="s">
        <v>994</v>
      </c>
      <c r="X100">
        <v>33135.123253</v>
      </c>
      <c r="Y100" s="2">
        <v>44862</v>
      </c>
      <c r="Z100" t="s">
        <v>1001</v>
      </c>
    </row>
    <row r="101" spans="1:26">
      <c r="A101" s="1" t="s">
        <v>125</v>
      </c>
      <c r="B101">
        <f>HYPERLINK("https://www.suredividend.com/sure-analysis-AEL/","American Equity Investment Life Holding Co")</f>
        <v>0</v>
      </c>
      <c r="C101" t="s">
        <v>884</v>
      </c>
      <c r="D101">
        <v>42</v>
      </c>
      <c r="E101">
        <v>45.62</v>
      </c>
      <c r="F101">
        <v>46</v>
      </c>
      <c r="G101">
        <v>0.9917391304347826</v>
      </c>
      <c r="H101">
        <v>0.007891275756247261</v>
      </c>
      <c r="I101">
        <v>0.001660412888044416</v>
      </c>
      <c r="J101">
        <v>0.06</v>
      </c>
      <c r="K101">
        <v>0.06906247456040493</v>
      </c>
      <c r="L101" t="s">
        <v>886</v>
      </c>
      <c r="M101" t="s">
        <v>573</v>
      </c>
      <c r="N101">
        <v>10.99277108433735</v>
      </c>
      <c r="O101">
        <v>4.15</v>
      </c>
      <c r="P101">
        <v>0.36</v>
      </c>
      <c r="Q101">
        <v>0.08674698795180721</v>
      </c>
      <c r="R101">
        <v>18</v>
      </c>
      <c r="S101">
        <v>0.05922384104881218</v>
      </c>
      <c r="T101" t="s">
        <v>908</v>
      </c>
      <c r="U101">
        <v>0.171245186136071</v>
      </c>
      <c r="V101" t="s">
        <v>986</v>
      </c>
      <c r="W101" t="s">
        <v>994</v>
      </c>
      <c r="X101">
        <v>3909.737101</v>
      </c>
      <c r="Y101" s="2">
        <v>44899</v>
      </c>
      <c r="Z101" t="s">
        <v>1013</v>
      </c>
    </row>
    <row r="102" spans="1:26">
      <c r="A102" s="1" t="s">
        <v>126</v>
      </c>
      <c r="B102">
        <f>HYPERLINK("https://www.suredividend.com/sure-analysis-BRO/","Brown &amp; Brown, Inc.")</f>
        <v>0</v>
      </c>
      <c r="C102" t="s">
        <v>884</v>
      </c>
      <c r="D102">
        <v>59</v>
      </c>
      <c r="E102">
        <v>56.97</v>
      </c>
      <c r="F102">
        <v>54</v>
      </c>
      <c r="G102">
        <v>1.055</v>
      </c>
      <c r="H102">
        <v>0.008074425136036512</v>
      </c>
      <c r="I102">
        <v>-0.01065102520541028</v>
      </c>
      <c r="J102">
        <v>0.07000000000000001</v>
      </c>
      <c r="K102">
        <v>0.06687818732313122</v>
      </c>
      <c r="L102" t="s">
        <v>886</v>
      </c>
      <c r="M102" t="s">
        <v>573</v>
      </c>
      <c r="N102">
        <v>25.32</v>
      </c>
      <c r="O102">
        <v>2.25</v>
      </c>
      <c r="P102">
        <v>0.46</v>
      </c>
      <c r="Q102">
        <v>0.2044444444444445</v>
      </c>
      <c r="R102">
        <v>29</v>
      </c>
      <c r="S102">
        <v>0.09068691621347957</v>
      </c>
      <c r="T102" t="s">
        <v>928</v>
      </c>
      <c r="U102">
        <v>-0.178379719232866</v>
      </c>
      <c r="V102" t="s">
        <v>986</v>
      </c>
      <c r="W102" t="s">
        <v>994</v>
      </c>
      <c r="X102">
        <v>16135.178248</v>
      </c>
      <c r="Y102" s="2">
        <v>44866</v>
      </c>
      <c r="Z102" t="s">
        <v>1005</v>
      </c>
    </row>
    <row r="103" spans="1:26">
      <c r="A103" s="1" t="s">
        <v>127</v>
      </c>
      <c r="B103">
        <f>HYPERLINK("https://www.suredividend.com/sure-analysis-KO/","Coca-Cola Co")</f>
        <v>0</v>
      </c>
      <c r="C103" t="s">
        <v>884</v>
      </c>
      <c r="D103">
        <v>60</v>
      </c>
      <c r="E103">
        <v>63.61</v>
      </c>
      <c r="F103">
        <v>58</v>
      </c>
      <c r="G103">
        <v>1.096724137931034</v>
      </c>
      <c r="H103">
        <v>0.02766860556516271</v>
      </c>
      <c r="I103">
        <v>-0.018296092576084</v>
      </c>
      <c r="J103">
        <v>0.06</v>
      </c>
      <c r="K103">
        <v>0.06667567294446242</v>
      </c>
      <c r="L103" t="s">
        <v>886</v>
      </c>
      <c r="M103" t="s">
        <v>887</v>
      </c>
      <c r="N103">
        <v>25.444</v>
      </c>
      <c r="O103">
        <v>2.5</v>
      </c>
      <c r="P103">
        <v>1.76</v>
      </c>
      <c r="Q103">
        <v>0.704</v>
      </c>
      <c r="R103">
        <v>60</v>
      </c>
      <c r="S103">
        <v>0.05034983139121563</v>
      </c>
      <c r="T103" t="s">
        <v>891</v>
      </c>
      <c r="U103">
        <v>0.114188075507655</v>
      </c>
      <c r="V103" t="s">
        <v>986</v>
      </c>
      <c r="W103" t="s">
        <v>996</v>
      </c>
      <c r="X103">
        <v>275082.288723</v>
      </c>
      <c r="Y103" s="2">
        <v>44866</v>
      </c>
      <c r="Z103" t="s">
        <v>1005</v>
      </c>
    </row>
    <row r="104" spans="1:26">
      <c r="A104" s="1" t="s">
        <v>128</v>
      </c>
      <c r="B104">
        <f>HYPERLINK("https://www.suredividend.com/sure-analysis-CNI/","Canadian National Railway Co.")</f>
        <v>0</v>
      </c>
      <c r="C104" t="s">
        <v>884</v>
      </c>
      <c r="D104">
        <v>121</v>
      </c>
      <c r="E104">
        <v>118.88</v>
      </c>
      <c r="F104">
        <v>107</v>
      </c>
      <c r="G104">
        <v>1.111028037383178</v>
      </c>
      <c r="H104">
        <v>0.01892664872139973</v>
      </c>
      <c r="I104">
        <v>-0.02083699551133456</v>
      </c>
      <c r="J104">
        <v>0.07000000000000001</v>
      </c>
      <c r="K104">
        <v>0.06637448236127175</v>
      </c>
      <c r="L104" t="s">
        <v>886</v>
      </c>
      <c r="M104" t="s">
        <v>887</v>
      </c>
      <c r="N104">
        <v>20.01346801346801</v>
      </c>
      <c r="O104">
        <v>5.94</v>
      </c>
      <c r="P104">
        <v>2.25</v>
      </c>
      <c r="Q104">
        <v>0.3787878787878788</v>
      </c>
      <c r="R104">
        <v>27</v>
      </c>
      <c r="S104">
        <v>0.0702886326912322</v>
      </c>
      <c r="T104" t="s">
        <v>929</v>
      </c>
      <c r="U104">
        <v>-0.005025924732487</v>
      </c>
      <c r="V104" t="s">
        <v>986</v>
      </c>
      <c r="W104" t="s">
        <v>991</v>
      </c>
      <c r="X104">
        <v>80205.148589</v>
      </c>
      <c r="Y104" s="2">
        <v>44862</v>
      </c>
      <c r="Z104" t="s">
        <v>1001</v>
      </c>
    </row>
    <row r="105" spans="1:26">
      <c r="A105" s="1" t="s">
        <v>129</v>
      </c>
      <c r="B105">
        <f>HYPERLINK("https://www.suredividend.com/sure-analysis-GWW/","W.W. Grainger Inc.")</f>
        <v>0</v>
      </c>
      <c r="C105" t="s">
        <v>884</v>
      </c>
      <c r="D105">
        <v>529</v>
      </c>
      <c r="E105">
        <v>556.25</v>
      </c>
      <c r="F105">
        <v>529</v>
      </c>
      <c r="G105">
        <v>1.051512287334594</v>
      </c>
      <c r="H105">
        <v>0.0123685393258427</v>
      </c>
      <c r="I105">
        <v>-0.009995589016392747</v>
      </c>
      <c r="J105">
        <v>0.065</v>
      </c>
      <c r="K105">
        <v>0.06606314671318803</v>
      </c>
      <c r="L105" t="s">
        <v>886</v>
      </c>
      <c r="M105" t="s">
        <v>887</v>
      </c>
      <c r="N105">
        <v>18.92006802721088</v>
      </c>
      <c r="O105">
        <v>29.4</v>
      </c>
      <c r="P105">
        <v>6.88</v>
      </c>
      <c r="Q105">
        <v>0.2340136054421769</v>
      </c>
      <c r="R105">
        <v>51</v>
      </c>
      <c r="S105">
        <v>0.06029935340278625</v>
      </c>
      <c r="T105" t="s">
        <v>914</v>
      </c>
      <c r="U105">
        <v>0.093892666956535</v>
      </c>
      <c r="V105" t="s">
        <v>986</v>
      </c>
      <c r="W105" t="s">
        <v>991</v>
      </c>
      <c r="X105">
        <v>28106.902544</v>
      </c>
      <c r="Y105" s="2">
        <v>44864</v>
      </c>
      <c r="Z105" t="s">
        <v>1011</v>
      </c>
    </row>
    <row r="106" spans="1:26">
      <c r="A106" s="1" t="s">
        <v>130</v>
      </c>
      <c r="B106">
        <f>HYPERLINK("https://www.suredividend.com/sure-analysis-HRL/","Hormel Foods Corp.")</f>
        <v>0</v>
      </c>
      <c r="C106" t="s">
        <v>884</v>
      </c>
      <c r="D106">
        <v>47</v>
      </c>
      <c r="E106">
        <v>45.55</v>
      </c>
      <c r="F106">
        <v>42</v>
      </c>
      <c r="G106">
        <v>1.084523809523809</v>
      </c>
      <c r="H106">
        <v>0.02414928649835346</v>
      </c>
      <c r="I106">
        <v>-0.01609723324382939</v>
      </c>
      <c r="J106">
        <v>0.06</v>
      </c>
      <c r="K106">
        <v>0.0655765788845899</v>
      </c>
      <c r="L106" t="s">
        <v>886</v>
      </c>
      <c r="M106" t="s">
        <v>887</v>
      </c>
      <c r="N106">
        <v>23.97368421052632</v>
      </c>
      <c r="O106">
        <v>1.9</v>
      </c>
      <c r="P106">
        <v>1.1</v>
      </c>
      <c r="Q106">
        <v>0.5789473684210527</v>
      </c>
      <c r="R106">
        <v>57</v>
      </c>
      <c r="S106">
        <v>0.04941452284458392</v>
      </c>
      <c r="T106" t="s">
        <v>925</v>
      </c>
      <c r="U106">
        <v>-0.042030768583656</v>
      </c>
      <c r="V106" t="s">
        <v>986</v>
      </c>
      <c r="W106" t="s">
        <v>996</v>
      </c>
      <c r="X106">
        <v>24889.622037</v>
      </c>
      <c r="Y106" s="2">
        <v>44909</v>
      </c>
      <c r="Z106" t="s">
        <v>1005</v>
      </c>
    </row>
    <row r="107" spans="1:26">
      <c r="A107" s="1" t="s">
        <v>131</v>
      </c>
      <c r="B107">
        <f>HYPERLINK("https://www.suredividend.com/sure-analysis-GPC/","Genuine Parts Co.")</f>
        <v>0</v>
      </c>
      <c r="C107" t="s">
        <v>884</v>
      </c>
      <c r="D107">
        <v>180</v>
      </c>
      <c r="E107">
        <v>173.51</v>
      </c>
      <c r="F107">
        <v>147</v>
      </c>
      <c r="G107">
        <v>1.180340136054422</v>
      </c>
      <c r="H107">
        <v>0.0206328165523601</v>
      </c>
      <c r="I107">
        <v>-0.03261674649102198</v>
      </c>
      <c r="J107">
        <v>0.08</v>
      </c>
      <c r="K107">
        <v>0.06526253088918432</v>
      </c>
      <c r="L107" t="s">
        <v>886</v>
      </c>
      <c r="M107" t="s">
        <v>887</v>
      </c>
      <c r="N107">
        <v>21.28957055214724</v>
      </c>
      <c r="O107">
        <v>8.15</v>
      </c>
      <c r="P107">
        <v>3.58</v>
      </c>
      <c r="Q107">
        <v>0.4392638036809816</v>
      </c>
      <c r="R107">
        <v>66</v>
      </c>
      <c r="S107">
        <v>0.06995161375136361</v>
      </c>
      <c r="T107" t="s">
        <v>889</v>
      </c>
      <c r="U107">
        <v>0.275681255403871</v>
      </c>
      <c r="V107" t="s">
        <v>986</v>
      </c>
      <c r="W107" t="s">
        <v>992</v>
      </c>
      <c r="X107">
        <v>24492.905665</v>
      </c>
      <c r="Y107" s="2">
        <v>44873</v>
      </c>
      <c r="Z107" t="s">
        <v>1005</v>
      </c>
    </row>
    <row r="108" spans="1:26">
      <c r="A108" s="1" t="s">
        <v>132</v>
      </c>
      <c r="B108">
        <f>HYPERLINK("https://www.suredividend.com/sure-analysis-ELV/","Elevance Health Inc")</f>
        <v>0</v>
      </c>
      <c r="C108" t="s">
        <v>884</v>
      </c>
      <c r="D108">
        <v>483</v>
      </c>
      <c r="E108">
        <v>512.97</v>
      </c>
      <c r="F108">
        <v>434</v>
      </c>
      <c r="G108">
        <v>1.181958525345622</v>
      </c>
      <c r="H108">
        <v>0.009981090512115718</v>
      </c>
      <c r="I108">
        <v>-0.03288180839398636</v>
      </c>
      <c r="J108">
        <v>0.09</v>
      </c>
      <c r="K108">
        <v>0.0645009718167544</v>
      </c>
      <c r="L108" t="s">
        <v>886</v>
      </c>
      <c r="M108" t="s">
        <v>573</v>
      </c>
      <c r="N108">
        <v>17.71917098445596</v>
      </c>
      <c r="O108">
        <v>28.95</v>
      </c>
      <c r="P108">
        <v>5.12</v>
      </c>
      <c r="Q108">
        <v>0.1768566493955095</v>
      </c>
      <c r="R108">
        <v>12</v>
      </c>
      <c r="S108">
        <v>0.09006212819819304</v>
      </c>
      <c r="T108" t="s">
        <v>902</v>
      </c>
      <c r="U108">
        <v>0.10401054746845</v>
      </c>
      <c r="V108" t="s">
        <v>986</v>
      </c>
      <c r="W108" t="s">
        <v>998</v>
      </c>
      <c r="X108">
        <v>123113.156001</v>
      </c>
      <c r="Y108" s="2">
        <v>44854</v>
      </c>
      <c r="Z108" t="s">
        <v>1001</v>
      </c>
    </row>
    <row r="109" spans="1:26">
      <c r="A109" s="1" t="s">
        <v>133</v>
      </c>
      <c r="B109">
        <f>HYPERLINK("https://www.suredividend.com/sure-analysis-BEN/","Franklin Resources, Inc.")</f>
        <v>0</v>
      </c>
      <c r="C109" t="s">
        <v>884</v>
      </c>
      <c r="D109">
        <v>23</v>
      </c>
      <c r="E109">
        <v>26.38</v>
      </c>
      <c r="F109">
        <v>23</v>
      </c>
      <c r="G109">
        <v>1.14695652173913</v>
      </c>
      <c r="H109">
        <v>0.04548900682335102</v>
      </c>
      <c r="I109">
        <v>-0.02704980608523866</v>
      </c>
      <c r="J109">
        <v>0.05</v>
      </c>
      <c r="K109">
        <v>0.06415464481524125</v>
      </c>
      <c r="L109" t="s">
        <v>886</v>
      </c>
      <c r="M109" t="s">
        <v>886</v>
      </c>
      <c r="N109">
        <v>10.34509803921569</v>
      </c>
      <c r="O109">
        <v>2.55</v>
      </c>
      <c r="P109">
        <v>1.2</v>
      </c>
      <c r="Q109">
        <v>0.4705882352941176</v>
      </c>
      <c r="R109">
        <v>43</v>
      </c>
      <c r="S109">
        <v>0.03424021252947318</v>
      </c>
      <c r="T109" t="s">
        <v>905</v>
      </c>
      <c r="U109">
        <v>-0.173923799324233</v>
      </c>
      <c r="V109" t="s">
        <v>986</v>
      </c>
      <c r="W109" t="s">
        <v>994</v>
      </c>
      <c r="X109">
        <v>13196.807412</v>
      </c>
      <c r="Y109" s="2">
        <v>44874</v>
      </c>
      <c r="Z109" t="s">
        <v>1008</v>
      </c>
    </row>
    <row r="110" spans="1:26">
      <c r="A110" s="1" t="s">
        <v>134</v>
      </c>
      <c r="B110">
        <f>HYPERLINK("https://www.suredividend.com/sure-analysis-FRT/","Federal Realty Investment Trust.")</f>
        <v>0</v>
      </c>
      <c r="C110" t="s">
        <v>884</v>
      </c>
      <c r="D110">
        <v>108</v>
      </c>
      <c r="E110">
        <v>101.04</v>
      </c>
      <c r="F110">
        <v>94</v>
      </c>
      <c r="G110">
        <v>1.074893617021277</v>
      </c>
      <c r="H110">
        <v>0.04275534441805226</v>
      </c>
      <c r="I110">
        <v>-0.0143405201543636</v>
      </c>
      <c r="J110">
        <v>0.04</v>
      </c>
      <c r="K110">
        <v>0.06378719914210085</v>
      </c>
      <c r="L110" t="s">
        <v>886</v>
      </c>
      <c r="M110" t="s">
        <v>886</v>
      </c>
      <c r="N110">
        <v>16.08917197452229</v>
      </c>
      <c r="O110">
        <v>6.28</v>
      </c>
      <c r="P110">
        <v>4.32</v>
      </c>
      <c r="Q110">
        <v>0.6878980891719746</v>
      </c>
      <c r="R110">
        <v>55</v>
      </c>
      <c r="S110">
        <v>0.02509714145003628</v>
      </c>
      <c r="T110" t="s">
        <v>898</v>
      </c>
      <c r="U110">
        <v>-0.233502553474272</v>
      </c>
      <c r="V110" t="s">
        <v>987</v>
      </c>
      <c r="W110" t="s">
        <v>1000</v>
      </c>
      <c r="X110">
        <v>8205.405758000001</v>
      </c>
      <c r="Y110" s="2">
        <v>44893</v>
      </c>
      <c r="Z110" t="s">
        <v>1009</v>
      </c>
    </row>
    <row r="111" spans="1:26">
      <c r="A111" s="1" t="s">
        <v>135</v>
      </c>
      <c r="B111">
        <f>HYPERLINK("https://www.suredividend.com/sure-analysis-DG/","Dollar General Corp.")</f>
        <v>0</v>
      </c>
      <c r="C111" t="s">
        <v>884</v>
      </c>
      <c r="D111">
        <v>245</v>
      </c>
      <c r="E111">
        <v>246.25</v>
      </c>
      <c r="F111">
        <v>199</v>
      </c>
      <c r="G111">
        <v>1.237437185929648</v>
      </c>
      <c r="H111">
        <v>0.008934010152284264</v>
      </c>
      <c r="I111">
        <v>-0.04171350564178888</v>
      </c>
      <c r="J111">
        <v>0.1</v>
      </c>
      <c r="K111">
        <v>0.06338243402032528</v>
      </c>
      <c r="L111" t="s">
        <v>886</v>
      </c>
      <c r="M111" t="s">
        <v>572</v>
      </c>
      <c r="N111">
        <v>22.26491862567812</v>
      </c>
      <c r="O111">
        <v>11.06</v>
      </c>
      <c r="P111">
        <v>2.2</v>
      </c>
      <c r="Q111">
        <v>0.1989150090415913</v>
      </c>
      <c r="R111">
        <v>8</v>
      </c>
      <c r="S111">
        <v>0.08967955831920404</v>
      </c>
      <c r="T111" t="s">
        <v>898</v>
      </c>
      <c r="U111">
        <v>0.055707486927447</v>
      </c>
      <c r="V111" t="s">
        <v>986</v>
      </c>
      <c r="W111" t="s">
        <v>996</v>
      </c>
      <c r="X111">
        <v>55055.294254</v>
      </c>
      <c r="Y111" s="2">
        <v>44902</v>
      </c>
      <c r="Z111" t="s">
        <v>1015</v>
      </c>
    </row>
    <row r="112" spans="1:26">
      <c r="A112" s="1" t="s">
        <v>136</v>
      </c>
      <c r="B112">
        <f>HYPERLINK("https://www.suredividend.com/sure-analysis-WST/","West Pharmaceutical Services, Inc.")</f>
        <v>0</v>
      </c>
      <c r="C112" t="s">
        <v>884</v>
      </c>
      <c r="D112">
        <v>226</v>
      </c>
      <c r="E112">
        <v>235.35</v>
      </c>
      <c r="F112">
        <v>205</v>
      </c>
      <c r="G112">
        <v>1.148048780487805</v>
      </c>
      <c r="H112">
        <v>0.003229233057148927</v>
      </c>
      <c r="I112">
        <v>-0.02723501041427323</v>
      </c>
      <c r="J112">
        <v>0.09</v>
      </c>
      <c r="K112">
        <v>0.06335504014138538</v>
      </c>
      <c r="L112" t="s">
        <v>886</v>
      </c>
      <c r="M112" t="s">
        <v>573</v>
      </c>
      <c r="N112">
        <v>28.77139364303179</v>
      </c>
      <c r="O112">
        <v>8.18</v>
      </c>
      <c r="P112">
        <v>0.76</v>
      </c>
      <c r="Q112">
        <v>0.09290953545232274</v>
      </c>
      <c r="R112">
        <v>30</v>
      </c>
      <c r="S112">
        <v>0.06061390336787298</v>
      </c>
      <c r="T112" t="s">
        <v>930</v>
      </c>
      <c r="U112">
        <v>-0.4997085619028541</v>
      </c>
      <c r="V112" t="s">
        <v>986</v>
      </c>
      <c r="W112" t="s">
        <v>998</v>
      </c>
      <c r="X112">
        <v>17423.66349</v>
      </c>
      <c r="Y112" s="2">
        <v>44866</v>
      </c>
      <c r="Z112" t="s">
        <v>1007</v>
      </c>
    </row>
    <row r="113" spans="1:26">
      <c r="A113" s="1" t="s">
        <v>137</v>
      </c>
      <c r="B113">
        <f>HYPERLINK("https://www.suredividend.com/sure-analysis-FUL/","H.B. Fuller Company")</f>
        <v>0</v>
      </c>
      <c r="C113" t="s">
        <v>884</v>
      </c>
      <c r="D113">
        <v>61</v>
      </c>
      <c r="E113">
        <v>71.62</v>
      </c>
      <c r="F113">
        <v>63</v>
      </c>
      <c r="G113">
        <v>1.136825396825397</v>
      </c>
      <c r="H113">
        <v>0.01061156101647584</v>
      </c>
      <c r="I113">
        <v>-0.02532181353876517</v>
      </c>
      <c r="J113">
        <v>0.08</v>
      </c>
      <c r="K113">
        <v>0.06280182153416103</v>
      </c>
      <c r="L113" t="s">
        <v>886</v>
      </c>
      <c r="M113" t="s">
        <v>573</v>
      </c>
      <c r="N113">
        <v>17.05238095238095</v>
      </c>
      <c r="O113">
        <v>4.2</v>
      </c>
      <c r="P113">
        <v>0.76</v>
      </c>
      <c r="Q113">
        <v>0.1809523809523809</v>
      </c>
      <c r="R113">
        <v>53</v>
      </c>
      <c r="S113">
        <v>0.06061390336787298</v>
      </c>
      <c r="T113" t="s">
        <v>931</v>
      </c>
      <c r="U113">
        <v>-0.09971968373285701</v>
      </c>
      <c r="V113" t="s">
        <v>986</v>
      </c>
      <c r="W113" t="s">
        <v>990</v>
      </c>
      <c r="X113">
        <v>3818.272978</v>
      </c>
      <c r="Y113" s="2">
        <v>44826</v>
      </c>
      <c r="Z113" t="s">
        <v>1003</v>
      </c>
    </row>
    <row r="114" spans="1:26">
      <c r="A114" s="1" t="s">
        <v>138</v>
      </c>
      <c r="B114">
        <f>HYPERLINK("https://www.suredividend.com/sure-analysis-ROP/","Roper Technologies Inc")</f>
        <v>0</v>
      </c>
      <c r="C114" t="s">
        <v>884</v>
      </c>
      <c r="D114">
        <v>396</v>
      </c>
      <c r="E114">
        <v>432.09</v>
      </c>
      <c r="F114">
        <v>353</v>
      </c>
      <c r="G114">
        <v>1.224050991501416</v>
      </c>
      <c r="H114">
        <v>0.006318128167742832</v>
      </c>
      <c r="I114">
        <v>-0.03962665452764647</v>
      </c>
      <c r="J114">
        <v>0.1</v>
      </c>
      <c r="K114">
        <v>0.06274116729082779</v>
      </c>
      <c r="L114" t="s">
        <v>886</v>
      </c>
      <c r="M114" t="s">
        <v>573</v>
      </c>
      <c r="N114">
        <v>30.62296243798724</v>
      </c>
      <c r="O114">
        <v>14.11</v>
      </c>
      <c r="P114">
        <v>2.73</v>
      </c>
      <c r="Q114">
        <v>0.1934798015591779</v>
      </c>
      <c r="R114">
        <v>30</v>
      </c>
      <c r="S114">
        <v>0.07885244396237145</v>
      </c>
      <c r="T114" t="s">
        <v>910</v>
      </c>
      <c r="U114">
        <v>-0.111546563665916</v>
      </c>
      <c r="V114" t="s">
        <v>986</v>
      </c>
      <c r="W114" t="s">
        <v>991</v>
      </c>
      <c r="X114">
        <v>45824.032013</v>
      </c>
      <c r="Y114" s="2">
        <v>44860</v>
      </c>
      <c r="Z114" t="s">
        <v>1011</v>
      </c>
    </row>
    <row r="115" spans="1:26">
      <c r="A115" s="1" t="s">
        <v>139</v>
      </c>
      <c r="B115">
        <f>HYPERLINK("https://www.suredividend.com/sure-analysis-CL/","Colgate-Palmolive Co.")</f>
        <v>0</v>
      </c>
      <c r="C115" t="s">
        <v>884</v>
      </c>
      <c r="D115">
        <v>75</v>
      </c>
      <c r="E115">
        <v>78.79000000000001</v>
      </c>
      <c r="F115">
        <v>72</v>
      </c>
      <c r="G115">
        <v>1.094305555555556</v>
      </c>
      <c r="H115">
        <v>0.02386089605279857</v>
      </c>
      <c r="I115">
        <v>-0.01786253259252635</v>
      </c>
      <c r="J115">
        <v>0.06</v>
      </c>
      <c r="K115">
        <v>0.06239327418579954</v>
      </c>
      <c r="L115" t="s">
        <v>886</v>
      </c>
      <c r="M115" t="s">
        <v>887</v>
      </c>
      <c r="N115">
        <v>26.26333333333334</v>
      </c>
      <c r="O115">
        <v>3</v>
      </c>
      <c r="P115">
        <v>1.88</v>
      </c>
      <c r="Q115">
        <v>0.6266666666666666</v>
      </c>
      <c r="R115">
        <v>60</v>
      </c>
      <c r="S115">
        <v>0.03005337366563188</v>
      </c>
      <c r="T115" t="s">
        <v>892</v>
      </c>
      <c r="U115">
        <v>-0.046019653520731</v>
      </c>
      <c r="V115" t="s">
        <v>986</v>
      </c>
      <c r="W115" t="s">
        <v>996</v>
      </c>
      <c r="X115">
        <v>65806.527606</v>
      </c>
      <c r="Y115" s="2">
        <v>44878</v>
      </c>
      <c r="Z115" t="s">
        <v>1005</v>
      </c>
    </row>
    <row r="116" spans="1:26">
      <c r="A116" s="1" t="s">
        <v>140</v>
      </c>
      <c r="B116">
        <f>HYPERLINK("https://www.suredividend.com/sure-analysis-GL/","Globe Life Inc")</f>
        <v>0</v>
      </c>
      <c r="C116" t="s">
        <v>884</v>
      </c>
      <c r="D116">
        <v>114</v>
      </c>
      <c r="E116">
        <v>120.55</v>
      </c>
      <c r="F116">
        <v>107</v>
      </c>
      <c r="G116">
        <v>1.126635514018692</v>
      </c>
      <c r="H116">
        <v>0.006802156781418499</v>
      </c>
      <c r="I116">
        <v>-0.02356505750424742</v>
      </c>
      <c r="J116">
        <v>0.08</v>
      </c>
      <c r="K116">
        <v>0.06183364993057339</v>
      </c>
      <c r="L116" t="s">
        <v>886</v>
      </c>
      <c r="M116" t="s">
        <v>573</v>
      </c>
      <c r="N116">
        <v>14.61212121212121</v>
      </c>
      <c r="O116">
        <v>8.25</v>
      </c>
      <c r="P116">
        <v>0.82</v>
      </c>
      <c r="Q116">
        <v>0.09939393939393938</v>
      </c>
      <c r="R116">
        <v>16</v>
      </c>
      <c r="S116">
        <v>0.0998969956090936</v>
      </c>
      <c r="T116" t="s">
        <v>903</v>
      </c>
      <c r="U116">
        <v>0.291050146936607</v>
      </c>
      <c r="V116" t="s">
        <v>986</v>
      </c>
      <c r="W116" t="s">
        <v>994</v>
      </c>
      <c r="X116">
        <v>11725.926106</v>
      </c>
      <c r="Y116" s="2">
        <v>44864</v>
      </c>
      <c r="Z116" t="s">
        <v>1013</v>
      </c>
    </row>
    <row r="117" spans="1:26">
      <c r="A117" s="1" t="s">
        <v>141</v>
      </c>
      <c r="B117">
        <f>HYPERLINK("https://www.suredividend.com/sure-analysis-CFR/","Cullen Frost Bankers Inc.")</f>
        <v>0</v>
      </c>
      <c r="C117" t="s">
        <v>885</v>
      </c>
      <c r="D117">
        <v>155</v>
      </c>
      <c r="E117">
        <v>133.7</v>
      </c>
      <c r="F117">
        <v>120</v>
      </c>
      <c r="G117">
        <v>1.114166666666667</v>
      </c>
      <c r="H117">
        <v>0.02602842183994017</v>
      </c>
      <c r="I117">
        <v>-0.02138928244921356</v>
      </c>
      <c r="J117">
        <v>0.06</v>
      </c>
      <c r="K117">
        <v>0.06178753761649336</v>
      </c>
      <c r="L117" t="s">
        <v>886</v>
      </c>
      <c r="M117" t="s">
        <v>887</v>
      </c>
      <c r="N117">
        <v>15.54651162790698</v>
      </c>
      <c r="O117">
        <v>8.6</v>
      </c>
      <c r="P117">
        <v>3.48</v>
      </c>
      <c r="Q117">
        <v>0.4046511627906977</v>
      </c>
      <c r="R117">
        <v>29</v>
      </c>
      <c r="S117">
        <v>0.04419329594385624</v>
      </c>
      <c r="T117" t="s">
        <v>917</v>
      </c>
      <c r="U117">
        <v>0.08364666148483001</v>
      </c>
      <c r="V117" t="s">
        <v>986</v>
      </c>
      <c r="W117" t="s">
        <v>994</v>
      </c>
      <c r="X117">
        <v>8596.738864000001</v>
      </c>
      <c r="Y117" s="2">
        <v>44866</v>
      </c>
      <c r="Z117" t="s">
        <v>1003</v>
      </c>
    </row>
    <row r="118" spans="1:26">
      <c r="A118" s="1" t="s">
        <v>142</v>
      </c>
      <c r="B118">
        <f>HYPERLINK("https://www.suredividend.com/sure-analysis-DE/","Deere &amp; Co.")</f>
        <v>0</v>
      </c>
      <c r="C118" t="s">
        <v>884</v>
      </c>
      <c r="D118">
        <v>441</v>
      </c>
      <c r="E118">
        <v>428.76</v>
      </c>
      <c r="F118">
        <v>473</v>
      </c>
      <c r="G118">
        <v>0.9064693446088795</v>
      </c>
      <c r="H118">
        <v>0.01119507416736636</v>
      </c>
      <c r="I118">
        <v>0.01983373931006915</v>
      </c>
      <c r="J118">
        <v>0.03</v>
      </c>
      <c r="K118">
        <v>0.06110902381308847</v>
      </c>
      <c r="L118" t="s">
        <v>886</v>
      </c>
      <c r="M118" t="s">
        <v>572</v>
      </c>
      <c r="N118">
        <v>15.31285714285714</v>
      </c>
      <c r="O118">
        <v>28</v>
      </c>
      <c r="P118">
        <v>4.8</v>
      </c>
      <c r="Q118">
        <v>0.1714285714285714</v>
      </c>
      <c r="R118">
        <v>2</v>
      </c>
      <c r="S118">
        <v>0.0572303065091857</v>
      </c>
      <c r="T118" t="s">
        <v>905</v>
      </c>
      <c r="U118">
        <v>0.269054614100962</v>
      </c>
      <c r="V118" t="s">
        <v>986</v>
      </c>
      <c r="W118" t="s">
        <v>991</v>
      </c>
      <c r="X118">
        <v>127872.206311</v>
      </c>
      <c r="Y118" s="2">
        <v>44894</v>
      </c>
      <c r="Z118" t="s">
        <v>1003</v>
      </c>
    </row>
    <row r="119" spans="1:26">
      <c r="A119" s="1" t="s">
        <v>143</v>
      </c>
      <c r="B119">
        <f>HYPERLINK("https://www.suredividend.com/sure-analysis-AIT/","Applied Industrial Technologies Inc.")</f>
        <v>0</v>
      </c>
      <c r="C119" t="s">
        <v>884</v>
      </c>
      <c r="D119">
        <v>123</v>
      </c>
      <c r="E119">
        <v>126.03</v>
      </c>
      <c r="F119">
        <v>133</v>
      </c>
      <c r="G119">
        <v>0.947593984962406</v>
      </c>
      <c r="H119">
        <v>0.01079108148853448</v>
      </c>
      <c r="I119">
        <v>0.01082399095817199</v>
      </c>
      <c r="J119">
        <v>0.04</v>
      </c>
      <c r="K119">
        <v>0.06075948782332841</v>
      </c>
      <c r="L119" t="s">
        <v>886</v>
      </c>
      <c r="M119" t="s">
        <v>573</v>
      </c>
      <c r="N119">
        <v>17.50416666666667</v>
      </c>
      <c r="O119">
        <v>7.2</v>
      </c>
      <c r="P119">
        <v>1.36</v>
      </c>
      <c r="Q119">
        <v>0.1888888888888889</v>
      </c>
      <c r="R119">
        <v>14</v>
      </c>
      <c r="S119">
        <v>0.03044219892825617</v>
      </c>
      <c r="T119" t="s">
        <v>907</v>
      </c>
      <c r="U119">
        <v>0.25004091421702</v>
      </c>
      <c r="V119" t="s">
        <v>986</v>
      </c>
      <c r="W119" t="s">
        <v>991</v>
      </c>
      <c r="X119">
        <v>4861.224371</v>
      </c>
      <c r="Y119" s="2">
        <v>44915</v>
      </c>
      <c r="Z119" t="s">
        <v>1002</v>
      </c>
    </row>
    <row r="120" spans="1:26">
      <c r="A120" s="1" t="s">
        <v>144</v>
      </c>
      <c r="B120">
        <f>HYPERLINK("https://www.suredividend.com/sure-analysis-AXS/","Axis Capital Holdings Ltd")</f>
        <v>0</v>
      </c>
      <c r="C120" t="s">
        <v>884</v>
      </c>
      <c r="D120">
        <v>55</v>
      </c>
      <c r="E120">
        <v>54.17</v>
      </c>
      <c r="F120">
        <v>43</v>
      </c>
      <c r="G120">
        <v>1.259767441860465</v>
      </c>
      <c r="H120">
        <v>0.03175189219124977</v>
      </c>
      <c r="I120">
        <v>-0.04513511176202756</v>
      </c>
      <c r="J120">
        <v>0.08</v>
      </c>
      <c r="K120">
        <v>0.06024462469622627</v>
      </c>
      <c r="L120" t="s">
        <v>886</v>
      </c>
      <c r="M120" t="s">
        <v>886</v>
      </c>
      <c r="N120">
        <v>9.831215970961889</v>
      </c>
      <c r="O120">
        <v>5.51</v>
      </c>
      <c r="P120">
        <v>1.72</v>
      </c>
      <c r="Q120">
        <v>0.3121597096188748</v>
      </c>
      <c r="R120">
        <v>19</v>
      </c>
      <c r="S120">
        <v>0.02959144640951838</v>
      </c>
      <c r="T120" t="s">
        <v>905</v>
      </c>
      <c r="U120">
        <v>0.031073043064477</v>
      </c>
      <c r="V120" t="s">
        <v>986</v>
      </c>
      <c r="W120" t="s">
        <v>994</v>
      </c>
      <c r="X120">
        <v>4586.405756</v>
      </c>
      <c r="Y120" s="2">
        <v>44866</v>
      </c>
      <c r="Z120" t="s">
        <v>1005</v>
      </c>
    </row>
    <row r="121" spans="1:26">
      <c r="A121" s="1" t="s">
        <v>145</v>
      </c>
      <c r="B121">
        <f>HYPERLINK("https://www.suredividend.com/sure-analysis-LNN/","Lindsay Corporation")</f>
        <v>0</v>
      </c>
      <c r="C121" t="s">
        <v>884</v>
      </c>
      <c r="D121">
        <v>162</v>
      </c>
      <c r="E121">
        <v>162.85</v>
      </c>
      <c r="F121">
        <v>165</v>
      </c>
      <c r="G121">
        <v>0.9869696969696969</v>
      </c>
      <c r="H121">
        <v>0.008351243475591035</v>
      </c>
      <c r="I121">
        <v>0.00262663200483737</v>
      </c>
      <c r="J121">
        <v>0.05</v>
      </c>
      <c r="K121">
        <v>0.05978882122370033</v>
      </c>
      <c r="L121" t="s">
        <v>886</v>
      </c>
      <c r="M121" t="s">
        <v>573</v>
      </c>
      <c r="N121">
        <v>24.67424242424243</v>
      </c>
      <c r="O121">
        <v>6.6</v>
      </c>
      <c r="P121">
        <v>1.36</v>
      </c>
      <c r="Q121">
        <v>0.2060606060606061</v>
      </c>
      <c r="R121">
        <v>20</v>
      </c>
      <c r="S121">
        <v>0.01567715741293152</v>
      </c>
      <c r="T121" t="s">
        <v>895</v>
      </c>
      <c r="U121">
        <v>0.085046743293997</v>
      </c>
      <c r="V121" t="s">
        <v>986</v>
      </c>
      <c r="W121" t="s">
        <v>991</v>
      </c>
      <c r="X121">
        <v>1792.465848</v>
      </c>
      <c r="Y121" s="2">
        <v>44862</v>
      </c>
      <c r="Z121" t="s">
        <v>1002</v>
      </c>
    </row>
    <row r="122" spans="1:26">
      <c r="A122" s="1" t="s">
        <v>146</v>
      </c>
      <c r="B122">
        <f>HYPERLINK("https://www.suredividend.com/sure-analysis-AAPL/","Apple Inc")</f>
        <v>0</v>
      </c>
      <c r="C122" t="s">
        <v>885</v>
      </c>
      <c r="D122">
        <v>157</v>
      </c>
      <c r="E122">
        <v>129.93</v>
      </c>
      <c r="F122">
        <v>117</v>
      </c>
      <c r="G122">
        <v>1.110512820512821</v>
      </c>
      <c r="H122">
        <v>0.007080735780805049</v>
      </c>
      <c r="I122">
        <v>-0.02074615681143888</v>
      </c>
      <c r="J122">
        <v>0.07000000000000001</v>
      </c>
      <c r="K122">
        <v>0.05640983180866321</v>
      </c>
      <c r="L122" t="s">
        <v>886</v>
      </c>
      <c r="M122" t="s">
        <v>572</v>
      </c>
      <c r="N122">
        <v>19.98923076923077</v>
      </c>
      <c r="O122">
        <v>6.5</v>
      </c>
      <c r="P122">
        <v>0.92</v>
      </c>
      <c r="Q122">
        <v>0.1415384615384616</v>
      </c>
      <c r="R122">
        <v>10</v>
      </c>
      <c r="S122">
        <v>0.1359318694594955</v>
      </c>
      <c r="T122" t="s">
        <v>913</v>
      </c>
      <c r="U122">
        <v>-0.265718141559912</v>
      </c>
      <c r="V122" t="s">
        <v>986</v>
      </c>
      <c r="W122" t="s">
        <v>993</v>
      </c>
      <c r="X122">
        <v>2066941.77174</v>
      </c>
      <c r="Y122" s="2">
        <v>44862</v>
      </c>
      <c r="Z122" t="s">
        <v>1016</v>
      </c>
    </row>
    <row r="123" spans="1:26">
      <c r="A123" s="1" t="s">
        <v>147</v>
      </c>
      <c r="B123">
        <f>HYPERLINK("https://www.suredividend.com/sure-analysis-CASY/","Casey`s General Stores, Inc.")</f>
        <v>0</v>
      </c>
      <c r="C123" t="s">
        <v>884</v>
      </c>
      <c r="D123">
        <v>236</v>
      </c>
      <c r="E123">
        <v>224.35</v>
      </c>
      <c r="F123">
        <v>247</v>
      </c>
      <c r="G123">
        <v>0.9082995951417003</v>
      </c>
      <c r="H123">
        <v>0.006775128147983062</v>
      </c>
      <c r="I123">
        <v>0.01942240861288136</v>
      </c>
      <c r="J123">
        <v>0.03</v>
      </c>
      <c r="K123">
        <v>0.05602714105515672</v>
      </c>
      <c r="L123" t="s">
        <v>886</v>
      </c>
      <c r="M123" t="s">
        <v>573</v>
      </c>
      <c r="N123">
        <v>19.97773820124666</v>
      </c>
      <c r="O123">
        <v>11.23</v>
      </c>
      <c r="P123">
        <v>1.52</v>
      </c>
      <c r="Q123">
        <v>0.1353517364203028</v>
      </c>
      <c r="R123">
        <v>23</v>
      </c>
      <c r="S123">
        <v>0.02975477857041309</v>
      </c>
      <c r="T123" t="s">
        <v>932</v>
      </c>
      <c r="U123">
        <v>0.154369004973537</v>
      </c>
      <c r="V123" t="s">
        <v>986</v>
      </c>
      <c r="W123" t="s">
        <v>996</v>
      </c>
      <c r="X123">
        <v>8358.971846</v>
      </c>
      <c r="Y123" s="2">
        <v>44917</v>
      </c>
      <c r="Z123" t="s">
        <v>1008</v>
      </c>
    </row>
    <row r="124" spans="1:26">
      <c r="A124" s="1" t="s">
        <v>148</v>
      </c>
      <c r="B124">
        <f>HYPERLINK("https://www.suredividend.com/sure-analysis-SHW/","Sherwin-Williams Co.")</f>
        <v>0</v>
      </c>
      <c r="C124" t="s">
        <v>884</v>
      </c>
      <c r="D124">
        <v>221</v>
      </c>
      <c r="E124">
        <v>237.33</v>
      </c>
      <c r="F124">
        <v>199</v>
      </c>
      <c r="G124">
        <v>1.192613065326633</v>
      </c>
      <c r="H124">
        <v>0.01011250158007837</v>
      </c>
      <c r="I124">
        <v>-0.03461602052525903</v>
      </c>
      <c r="J124">
        <v>0.08</v>
      </c>
      <c r="K124">
        <v>0.05401716890838792</v>
      </c>
      <c r="L124" t="s">
        <v>886</v>
      </c>
      <c r="M124" t="s">
        <v>573</v>
      </c>
      <c r="N124">
        <v>27.43699421965318</v>
      </c>
      <c r="O124">
        <v>8.65</v>
      </c>
      <c r="P124">
        <v>2.4</v>
      </c>
      <c r="Q124">
        <v>0.2774566473988439</v>
      </c>
      <c r="R124">
        <v>44</v>
      </c>
      <c r="S124">
        <v>0.1047834780592649</v>
      </c>
      <c r="T124" t="s">
        <v>894</v>
      </c>
      <c r="U124">
        <v>-0.316133661248006</v>
      </c>
      <c r="V124" t="s">
        <v>986</v>
      </c>
      <c r="W124" t="s">
        <v>990</v>
      </c>
      <c r="X124">
        <v>61502.506919</v>
      </c>
      <c r="Y124" s="2">
        <v>44859</v>
      </c>
      <c r="Z124" t="s">
        <v>1016</v>
      </c>
    </row>
    <row r="125" spans="1:26">
      <c r="A125" s="1" t="s">
        <v>149</v>
      </c>
      <c r="B125">
        <f>HYPERLINK("https://www.suredividend.com/sure-analysis-ITW/","Illinois Tool Works, Inc.")</f>
        <v>0</v>
      </c>
      <c r="C125" t="s">
        <v>884</v>
      </c>
      <c r="D125">
        <v>214</v>
      </c>
      <c r="E125">
        <v>220.3</v>
      </c>
      <c r="F125">
        <v>184</v>
      </c>
      <c r="G125">
        <v>1.197282608695652</v>
      </c>
      <c r="H125">
        <v>0.02215161143894689</v>
      </c>
      <c r="I125">
        <v>-0.03537022030552028</v>
      </c>
      <c r="J125">
        <v>0.07000000000000001</v>
      </c>
      <c r="K125">
        <v>0.05356029631085346</v>
      </c>
      <c r="L125" t="s">
        <v>886</v>
      </c>
      <c r="M125" t="s">
        <v>887</v>
      </c>
      <c r="N125">
        <v>23.31216931216931</v>
      </c>
      <c r="O125">
        <v>9.449999999999999</v>
      </c>
      <c r="P125">
        <v>4.88</v>
      </c>
      <c r="Q125">
        <v>0.5164021164021164</v>
      </c>
      <c r="R125">
        <v>58</v>
      </c>
      <c r="S125">
        <v>0.04495298630467759</v>
      </c>
      <c r="T125" t="s">
        <v>905</v>
      </c>
      <c r="U125">
        <v>-0.07938901184132201</v>
      </c>
      <c r="V125" t="s">
        <v>986</v>
      </c>
      <c r="W125" t="s">
        <v>991</v>
      </c>
      <c r="X125">
        <v>67673.159294</v>
      </c>
      <c r="Y125" s="2">
        <v>44867</v>
      </c>
      <c r="Z125" t="s">
        <v>1008</v>
      </c>
    </row>
    <row r="126" spans="1:26">
      <c r="A126" s="1" t="s">
        <v>150</v>
      </c>
      <c r="B126">
        <f>HYPERLINK("https://www.suredividend.com/sure-analysis-EMR/","Emerson Electric Co.")</f>
        <v>0</v>
      </c>
      <c r="C126" t="s">
        <v>884</v>
      </c>
      <c r="D126">
        <v>95</v>
      </c>
      <c r="E126">
        <v>96.06</v>
      </c>
      <c r="F126">
        <v>77</v>
      </c>
      <c r="G126">
        <v>1.247532467532467</v>
      </c>
      <c r="H126">
        <v>0.02165313345825526</v>
      </c>
      <c r="I126">
        <v>-0.0432694794233085</v>
      </c>
      <c r="J126">
        <v>0.08</v>
      </c>
      <c r="K126">
        <v>0.05325011372483734</v>
      </c>
      <c r="L126" t="s">
        <v>886</v>
      </c>
      <c r="M126" t="s">
        <v>887</v>
      </c>
      <c r="N126">
        <v>23.71851851851852</v>
      </c>
      <c r="O126">
        <v>4.05</v>
      </c>
      <c r="P126">
        <v>2.08</v>
      </c>
      <c r="Q126">
        <v>0.5135802469135803</v>
      </c>
      <c r="R126">
        <v>66</v>
      </c>
      <c r="S126">
        <v>0.02988976347130756</v>
      </c>
      <c r="T126" t="s">
        <v>890</v>
      </c>
      <c r="U126">
        <v>0.06705115758277201</v>
      </c>
      <c r="V126" t="s">
        <v>986</v>
      </c>
      <c r="W126" t="s">
        <v>991</v>
      </c>
      <c r="X126">
        <v>56809.884</v>
      </c>
      <c r="Y126" s="2">
        <v>44898</v>
      </c>
      <c r="Z126" t="s">
        <v>1005</v>
      </c>
    </row>
    <row r="127" spans="1:26">
      <c r="A127" s="1" t="s">
        <v>151</v>
      </c>
      <c r="B127">
        <f>HYPERLINK("https://www.suredividend.com/sure-analysis-PSX/","Phillips 66")</f>
        <v>0</v>
      </c>
      <c r="C127" t="s">
        <v>884</v>
      </c>
      <c r="D127">
        <v>107</v>
      </c>
      <c r="E127">
        <v>104.08</v>
      </c>
      <c r="F127">
        <v>204</v>
      </c>
      <c r="G127">
        <v>0.5101960784313725</v>
      </c>
      <c r="H127">
        <v>0.03727901614142967</v>
      </c>
      <c r="I127">
        <v>0.1440699451202874</v>
      </c>
      <c r="J127">
        <v>-0.11</v>
      </c>
      <c r="K127">
        <v>0.05298204973536191</v>
      </c>
      <c r="L127" t="s">
        <v>886</v>
      </c>
      <c r="M127" t="s">
        <v>886</v>
      </c>
      <c r="N127">
        <v>6.12235294117647</v>
      </c>
      <c r="O127">
        <v>17</v>
      </c>
      <c r="P127">
        <v>3.88</v>
      </c>
      <c r="Q127">
        <v>0.2282352941176471</v>
      </c>
      <c r="R127">
        <v>10</v>
      </c>
      <c r="S127">
        <v>0.02360159215131685</v>
      </c>
      <c r="T127" t="s">
        <v>897</v>
      </c>
      <c r="U127">
        <v>0.4960062898957761</v>
      </c>
      <c r="V127" t="s">
        <v>986</v>
      </c>
      <c r="W127" t="s">
        <v>999</v>
      </c>
      <c r="X127">
        <v>49191.560729</v>
      </c>
      <c r="Y127" s="2">
        <v>44867</v>
      </c>
      <c r="Z127" t="s">
        <v>1003</v>
      </c>
    </row>
    <row r="128" spans="1:26">
      <c r="A128" s="1" t="s">
        <v>152</v>
      </c>
      <c r="B128">
        <f>HYPERLINK("https://www.suredividend.com/sure-analysis-TCEHY/","Tencent Holdings Ltd.")</f>
        <v>0</v>
      </c>
      <c r="C128" t="s">
        <v>884</v>
      </c>
      <c r="D128">
        <v>36</v>
      </c>
      <c r="E128">
        <v>42.36</v>
      </c>
      <c r="F128">
        <v>33</v>
      </c>
      <c r="G128">
        <v>1.283636363636364</v>
      </c>
      <c r="H128">
        <v>0.004721435316336167</v>
      </c>
      <c r="I128">
        <v>-0.04871292149968998</v>
      </c>
      <c r="J128">
        <v>0.1</v>
      </c>
      <c r="K128">
        <v>0.05243021569803386</v>
      </c>
      <c r="L128" t="s">
        <v>886</v>
      </c>
      <c r="M128" t="s">
        <v>572</v>
      </c>
      <c r="N128">
        <v>25.36526946107784</v>
      </c>
      <c r="O128">
        <v>1.67</v>
      </c>
      <c r="P128">
        <v>0.2</v>
      </c>
      <c r="Q128">
        <v>0.1197604790419162</v>
      </c>
      <c r="R128">
        <v>0</v>
      </c>
      <c r="S128">
        <v>0.1486983549970351</v>
      </c>
      <c r="T128" t="s">
        <v>933</v>
      </c>
      <c r="U128">
        <v>-0.284459459459459</v>
      </c>
      <c r="V128" t="s">
        <v>986</v>
      </c>
      <c r="W128" t="s">
        <v>995</v>
      </c>
      <c r="X128">
        <v>405588.007184</v>
      </c>
      <c r="Y128" s="2">
        <v>44889</v>
      </c>
      <c r="Z128" t="s">
        <v>1011</v>
      </c>
    </row>
    <row r="129" spans="1:26">
      <c r="A129" s="1" t="s">
        <v>153</v>
      </c>
      <c r="B129">
        <f>HYPERLINK("https://www.suredividend.com/sure-analysis-BOKF/","BOK Financial Corp.")</f>
        <v>0</v>
      </c>
      <c r="C129" t="s">
        <v>884</v>
      </c>
      <c r="D129">
        <v>102</v>
      </c>
      <c r="E129">
        <v>103.79</v>
      </c>
      <c r="F129">
        <v>91</v>
      </c>
      <c r="G129">
        <v>1.140549450549451</v>
      </c>
      <c r="H129">
        <v>0.02042585990943251</v>
      </c>
      <c r="I129">
        <v>-0.02595913862781662</v>
      </c>
      <c r="J129">
        <v>0.06</v>
      </c>
      <c r="K129">
        <v>0.05198547258780772</v>
      </c>
      <c r="L129" t="s">
        <v>886</v>
      </c>
      <c r="M129" t="s">
        <v>887</v>
      </c>
      <c r="N129">
        <v>14.82714285714286</v>
      </c>
      <c r="O129">
        <v>7</v>
      </c>
      <c r="P129">
        <v>2.12</v>
      </c>
      <c r="Q129">
        <v>0.3028571428571429</v>
      </c>
      <c r="R129">
        <v>17</v>
      </c>
      <c r="S129">
        <v>0.04005610836598383</v>
      </c>
      <c r="T129" t="s">
        <v>907</v>
      </c>
      <c r="U129">
        <v>0.013680140405296</v>
      </c>
      <c r="V129" t="s">
        <v>986</v>
      </c>
      <c r="W129" t="s">
        <v>994</v>
      </c>
      <c r="X129">
        <v>6980.332412</v>
      </c>
      <c r="Y129" s="2">
        <v>44860</v>
      </c>
      <c r="Z129" t="s">
        <v>1004</v>
      </c>
    </row>
    <row r="130" spans="1:26">
      <c r="A130" s="1" t="s">
        <v>154</v>
      </c>
      <c r="B130">
        <f>HYPERLINK("https://www.suredividend.com/sure-analysis-NFG/","National Fuel Gas Co.")</f>
        <v>0</v>
      </c>
      <c r="C130" t="s">
        <v>884</v>
      </c>
      <c r="D130">
        <v>65</v>
      </c>
      <c r="E130">
        <v>63.3</v>
      </c>
      <c r="F130">
        <v>87</v>
      </c>
      <c r="G130">
        <v>0.7275862068965517</v>
      </c>
      <c r="H130">
        <v>0.03001579778830964</v>
      </c>
      <c r="I130">
        <v>0.06567090428931643</v>
      </c>
      <c r="J130">
        <v>-0.04</v>
      </c>
      <c r="K130">
        <v>0.05107774056266945</v>
      </c>
      <c r="L130" t="s">
        <v>886</v>
      </c>
      <c r="M130" t="s">
        <v>886</v>
      </c>
      <c r="N130">
        <v>9.518796992481201</v>
      </c>
      <c r="O130">
        <v>6.65</v>
      </c>
      <c r="P130">
        <v>1.9</v>
      </c>
      <c r="Q130">
        <v>0.2857142857142857</v>
      </c>
      <c r="R130">
        <v>52</v>
      </c>
      <c r="S130">
        <v>0.02598268163158246</v>
      </c>
      <c r="T130" t="s">
        <v>905</v>
      </c>
      <c r="U130">
        <v>0.021414198786888</v>
      </c>
      <c r="V130" t="s">
        <v>986</v>
      </c>
      <c r="W130" t="s">
        <v>997</v>
      </c>
      <c r="X130">
        <v>5791.01911</v>
      </c>
      <c r="Y130" s="2">
        <v>44889</v>
      </c>
      <c r="Z130" t="s">
        <v>1003</v>
      </c>
    </row>
    <row r="131" spans="1:26">
      <c r="A131" s="1" t="s">
        <v>155</v>
      </c>
      <c r="B131">
        <f>HYPERLINK("https://www.suredividend.com/sure-analysis-CINF/","Cincinnati Financial Corp.")</f>
        <v>0</v>
      </c>
      <c r="C131" t="s">
        <v>884</v>
      </c>
      <c r="D131">
        <v>99</v>
      </c>
      <c r="E131">
        <v>102.39</v>
      </c>
      <c r="F131">
        <v>86</v>
      </c>
      <c r="G131">
        <v>1.190581395348837</v>
      </c>
      <c r="H131">
        <v>0.02695575739818341</v>
      </c>
      <c r="I131">
        <v>-0.03428676890907156</v>
      </c>
      <c r="J131">
        <v>0.06</v>
      </c>
      <c r="K131">
        <v>0.05066616139011781</v>
      </c>
      <c r="L131" t="s">
        <v>886</v>
      </c>
      <c r="M131" t="s">
        <v>887</v>
      </c>
      <c r="N131">
        <v>23.81162790697675</v>
      </c>
      <c r="O131">
        <v>4.3</v>
      </c>
      <c r="P131">
        <v>2.76</v>
      </c>
      <c r="Q131">
        <v>0.641860465116279</v>
      </c>
      <c r="R131">
        <v>62</v>
      </c>
      <c r="S131">
        <v>0.04984870359842875</v>
      </c>
      <c r="T131" t="s">
        <v>888</v>
      </c>
      <c r="U131">
        <v>-0.07679573553385101</v>
      </c>
      <c r="V131" t="s">
        <v>986</v>
      </c>
      <c r="W131" t="s">
        <v>994</v>
      </c>
      <c r="X131">
        <v>16094.101296</v>
      </c>
      <c r="Y131" s="2">
        <v>44867</v>
      </c>
      <c r="Z131" t="s">
        <v>1006</v>
      </c>
    </row>
    <row r="132" spans="1:26">
      <c r="A132" s="1" t="s">
        <v>156</v>
      </c>
      <c r="B132">
        <f>HYPERLINK("https://www.suredividend.com/sure-analysis-ABT/","Abbott Laboratories")</f>
        <v>0</v>
      </c>
      <c r="C132" t="s">
        <v>884</v>
      </c>
      <c r="D132">
        <v>98</v>
      </c>
      <c r="E132">
        <v>109.79</v>
      </c>
      <c r="F132">
        <v>98</v>
      </c>
      <c r="G132">
        <v>1.12030612244898</v>
      </c>
      <c r="H132">
        <v>0.0185809272247017</v>
      </c>
      <c r="I132">
        <v>-0.02246422987630359</v>
      </c>
      <c r="J132">
        <v>0.05</v>
      </c>
      <c r="K132">
        <v>0.04529842484976276</v>
      </c>
      <c r="L132" t="s">
        <v>886</v>
      </c>
      <c r="M132" t="s">
        <v>887</v>
      </c>
      <c r="N132">
        <v>21.11346153846154</v>
      </c>
      <c r="O132">
        <v>5.2</v>
      </c>
      <c r="P132">
        <v>2.04</v>
      </c>
      <c r="Q132">
        <v>0.3923076923076923</v>
      </c>
      <c r="R132">
        <v>51</v>
      </c>
      <c r="S132">
        <v>0.05291848906511043</v>
      </c>
      <c r="T132" t="s">
        <v>912</v>
      </c>
      <c r="U132">
        <v>-0.208281352534379</v>
      </c>
      <c r="V132" t="s">
        <v>986</v>
      </c>
      <c r="W132" t="s">
        <v>998</v>
      </c>
      <c r="X132">
        <v>191426.964977</v>
      </c>
      <c r="Y132" s="2">
        <v>44854</v>
      </c>
      <c r="Z132" t="s">
        <v>1001</v>
      </c>
    </row>
    <row r="133" spans="1:26">
      <c r="A133" s="1" t="s">
        <v>157</v>
      </c>
      <c r="B133">
        <f>HYPERLINK("https://www.suredividend.com/sure-analysis-MCK/","Mckesson Corporation")</f>
        <v>0</v>
      </c>
      <c r="C133" t="s">
        <v>884</v>
      </c>
      <c r="D133">
        <v>383</v>
      </c>
      <c r="E133">
        <v>375.12</v>
      </c>
      <c r="F133">
        <v>322</v>
      </c>
      <c r="G133">
        <v>1.164968944099379</v>
      </c>
      <c r="H133">
        <v>0.005758157389635317</v>
      </c>
      <c r="I133">
        <v>-0.03007728493278639</v>
      </c>
      <c r="J133">
        <v>0.07000000000000001</v>
      </c>
      <c r="K133">
        <v>0.0438557820475971</v>
      </c>
      <c r="L133" t="s">
        <v>886</v>
      </c>
      <c r="M133" t="s">
        <v>573</v>
      </c>
      <c r="N133">
        <v>15.15636363636364</v>
      </c>
      <c r="O133">
        <v>24.75</v>
      </c>
      <c r="P133">
        <v>2.16</v>
      </c>
      <c r="Q133">
        <v>0.08727272727272728</v>
      </c>
      <c r="R133">
        <v>15</v>
      </c>
      <c r="S133">
        <v>0.07003448782339894</v>
      </c>
      <c r="T133" t="s">
        <v>891</v>
      </c>
      <c r="U133">
        <v>0.5140721283102661</v>
      </c>
      <c r="V133" t="s">
        <v>986</v>
      </c>
      <c r="W133" t="s">
        <v>998</v>
      </c>
      <c r="X133">
        <v>53189.570218</v>
      </c>
      <c r="Y133" s="2">
        <v>44892</v>
      </c>
      <c r="Z133" t="s">
        <v>1005</v>
      </c>
    </row>
    <row r="134" spans="1:26">
      <c r="A134" s="1" t="s">
        <v>158</v>
      </c>
      <c r="B134">
        <f>HYPERLINK("https://www.suredividend.com/sure-analysis-TRV/","Travelers Companies Inc.")</f>
        <v>0</v>
      </c>
      <c r="C134" t="s">
        <v>884</v>
      </c>
      <c r="D134">
        <v>180</v>
      </c>
      <c r="E134">
        <v>187.49</v>
      </c>
      <c r="F134">
        <v>157</v>
      </c>
      <c r="G134">
        <v>1.194203821656051</v>
      </c>
      <c r="H134">
        <v>0.01984105818977012</v>
      </c>
      <c r="I134">
        <v>-0.03487334838804301</v>
      </c>
      <c r="J134">
        <v>0.06</v>
      </c>
      <c r="K134">
        <v>0.04382371843915345</v>
      </c>
      <c r="L134" t="s">
        <v>886</v>
      </c>
      <c r="M134" t="s">
        <v>887</v>
      </c>
      <c r="N134">
        <v>14.31221374045802</v>
      </c>
      <c r="O134">
        <v>13.1</v>
      </c>
      <c r="P134">
        <v>3.72</v>
      </c>
      <c r="Q134">
        <v>0.283969465648855</v>
      </c>
      <c r="R134">
        <v>17</v>
      </c>
      <c r="S134">
        <v>0.06007667938522787</v>
      </c>
      <c r="T134" t="s">
        <v>920</v>
      </c>
      <c r="U134">
        <v>0.221245463238225</v>
      </c>
      <c r="V134" t="s">
        <v>986</v>
      </c>
      <c r="W134" t="s">
        <v>994</v>
      </c>
      <c r="X134">
        <v>43937.817462</v>
      </c>
      <c r="Y134" s="2">
        <v>44859</v>
      </c>
      <c r="Z134" t="s">
        <v>1005</v>
      </c>
    </row>
    <row r="135" spans="1:26">
      <c r="A135" s="1" t="s">
        <v>159</v>
      </c>
      <c r="B135">
        <f>HYPERLINK("https://www.suredividend.com/sure-analysis-CAT/","Caterpillar Inc.")</f>
        <v>0</v>
      </c>
      <c r="C135" t="s">
        <v>884</v>
      </c>
      <c r="D135">
        <v>219</v>
      </c>
      <c r="E135">
        <v>239.56</v>
      </c>
      <c r="F135">
        <v>206</v>
      </c>
      <c r="G135">
        <v>1.162912621359223</v>
      </c>
      <c r="H135">
        <v>0.02003673401235598</v>
      </c>
      <c r="I135">
        <v>-0.02973451370472724</v>
      </c>
      <c r="J135">
        <v>0.05</v>
      </c>
      <c r="K135">
        <v>0.04132226156056773</v>
      </c>
      <c r="L135" t="s">
        <v>886</v>
      </c>
      <c r="M135" t="s">
        <v>887</v>
      </c>
      <c r="N135">
        <v>17.48613138686132</v>
      </c>
      <c r="O135">
        <v>13.7</v>
      </c>
      <c r="P135">
        <v>4.8</v>
      </c>
      <c r="Q135">
        <v>0.3503649635036497</v>
      </c>
      <c r="R135">
        <v>29</v>
      </c>
      <c r="S135">
        <v>0.0799150058822331</v>
      </c>
      <c r="T135" t="s">
        <v>934</v>
      </c>
      <c r="U135">
        <v>0.189786785996314</v>
      </c>
      <c r="V135" t="s">
        <v>986</v>
      </c>
      <c r="W135" t="s">
        <v>991</v>
      </c>
      <c r="X135">
        <v>124669.265084</v>
      </c>
      <c r="Y135" s="2">
        <v>44864</v>
      </c>
      <c r="Z135" t="s">
        <v>1011</v>
      </c>
    </row>
    <row r="136" spans="1:26">
      <c r="A136" s="1" t="s">
        <v>160</v>
      </c>
      <c r="B136">
        <f>HYPERLINK("https://www.suredividend.com/sure-analysis-CBSH/","Commerce Bancshares, Inc.")</f>
        <v>0</v>
      </c>
      <c r="C136" t="s">
        <v>885</v>
      </c>
      <c r="D136">
        <v>73</v>
      </c>
      <c r="E136">
        <v>68.06999999999999</v>
      </c>
      <c r="F136">
        <v>56</v>
      </c>
      <c r="G136">
        <v>1.215535714285714</v>
      </c>
      <c r="H136">
        <v>0.01557220508300279</v>
      </c>
      <c r="I136">
        <v>-0.03828485510727975</v>
      </c>
      <c r="J136">
        <v>0.06</v>
      </c>
      <c r="K136">
        <v>0.03659884345455877</v>
      </c>
      <c r="L136" t="s">
        <v>886</v>
      </c>
      <c r="M136" t="s">
        <v>887</v>
      </c>
      <c r="N136">
        <v>17.0175</v>
      </c>
      <c r="O136">
        <v>4</v>
      </c>
      <c r="P136">
        <v>1.06</v>
      </c>
      <c r="Q136">
        <v>0.265</v>
      </c>
      <c r="R136">
        <v>53</v>
      </c>
      <c r="S136">
        <v>0.07047389437638896</v>
      </c>
      <c r="T136" t="s">
        <v>889</v>
      </c>
      <c r="U136">
        <v>0.04506667731129</v>
      </c>
      <c r="V136" t="s">
        <v>986</v>
      </c>
      <c r="W136" t="s">
        <v>994</v>
      </c>
      <c r="X136">
        <v>8124.32944</v>
      </c>
      <c r="Y136" s="2">
        <v>44888</v>
      </c>
      <c r="Z136" t="s">
        <v>1007</v>
      </c>
    </row>
    <row r="137" spans="1:26">
      <c r="A137" s="1" t="s">
        <v>161</v>
      </c>
      <c r="B137">
        <f>HYPERLINK("https://www.suredividend.com/sure-analysis-MSA/","MSA Safety Inc")</f>
        <v>0</v>
      </c>
      <c r="C137" t="s">
        <v>884</v>
      </c>
      <c r="D137">
        <v>131</v>
      </c>
      <c r="E137">
        <v>144.19</v>
      </c>
      <c r="F137">
        <v>121</v>
      </c>
      <c r="G137">
        <v>1.191652892561983</v>
      </c>
      <c r="H137">
        <v>0.01276094042582704</v>
      </c>
      <c r="I137">
        <v>-0.03446049926502348</v>
      </c>
      <c r="J137">
        <v>0.06</v>
      </c>
      <c r="K137">
        <v>0.03625567725275469</v>
      </c>
      <c r="L137" t="s">
        <v>886</v>
      </c>
      <c r="M137" t="s">
        <v>887</v>
      </c>
      <c r="N137">
        <v>26.21636363636363</v>
      </c>
      <c r="O137">
        <v>5.5</v>
      </c>
      <c r="P137">
        <v>1.84</v>
      </c>
      <c r="Q137">
        <v>0.3345454545454545</v>
      </c>
      <c r="R137">
        <v>52</v>
      </c>
      <c r="S137">
        <v>0.04012620718096094</v>
      </c>
      <c r="T137" t="s">
        <v>907</v>
      </c>
      <c r="U137">
        <v>-0.028400043933918</v>
      </c>
      <c r="V137" t="s">
        <v>986</v>
      </c>
      <c r="W137" t="s">
        <v>991</v>
      </c>
      <c r="X137">
        <v>5652.010087</v>
      </c>
      <c r="Y137" s="2">
        <v>44862</v>
      </c>
      <c r="Z137" t="s">
        <v>1011</v>
      </c>
    </row>
    <row r="138" spans="1:26">
      <c r="A138" s="1" t="s">
        <v>162</v>
      </c>
      <c r="B138">
        <f>HYPERLINK("https://www.suredividend.com/sure-analysis-RPM/","RPM International, Inc.")</f>
        <v>0</v>
      </c>
      <c r="C138" t="s">
        <v>884</v>
      </c>
      <c r="D138">
        <v>89</v>
      </c>
      <c r="E138">
        <v>97.45</v>
      </c>
      <c r="F138">
        <v>83</v>
      </c>
      <c r="G138">
        <v>1.174096385542169</v>
      </c>
      <c r="H138">
        <v>0.0172396100564392</v>
      </c>
      <c r="I138">
        <v>-0.03159003483495271</v>
      </c>
      <c r="J138">
        <v>0.05</v>
      </c>
      <c r="K138">
        <v>0.03486914619226389</v>
      </c>
      <c r="L138" t="s">
        <v>886</v>
      </c>
      <c r="M138" t="s">
        <v>887</v>
      </c>
      <c r="N138">
        <v>21.18478260869566</v>
      </c>
      <c r="O138">
        <v>4.6</v>
      </c>
      <c r="P138">
        <v>1.68</v>
      </c>
      <c r="Q138">
        <v>0.3652173913043478</v>
      </c>
      <c r="R138">
        <v>49</v>
      </c>
      <c r="S138">
        <v>0.04959293402845044</v>
      </c>
      <c r="T138" t="s">
        <v>925</v>
      </c>
      <c r="U138">
        <v>-0.00656411866589</v>
      </c>
      <c r="V138" t="s">
        <v>986</v>
      </c>
      <c r="W138" t="s">
        <v>990</v>
      </c>
      <c r="X138">
        <v>12580.690144</v>
      </c>
      <c r="Y138" s="2">
        <v>44858</v>
      </c>
      <c r="Z138" t="s">
        <v>1001</v>
      </c>
    </row>
    <row r="139" spans="1:26">
      <c r="A139" s="1" t="s">
        <v>163</v>
      </c>
      <c r="B139">
        <f>HYPERLINK("https://www.suredividend.com/sure-analysis-FFMR/","First Farmers Financial Corp")</f>
        <v>0</v>
      </c>
      <c r="C139" t="s">
        <v>884</v>
      </c>
      <c r="D139">
        <v>54</v>
      </c>
      <c r="E139">
        <v>61</v>
      </c>
      <c r="F139">
        <v>49</v>
      </c>
      <c r="G139">
        <v>1.244897959183674</v>
      </c>
      <c r="H139">
        <v>0.02622950819672131</v>
      </c>
      <c r="I139">
        <v>-0.04286488664192634</v>
      </c>
      <c r="J139">
        <v>0.05</v>
      </c>
      <c r="K139">
        <v>0.03477979888083027</v>
      </c>
      <c r="L139" t="s">
        <v>886</v>
      </c>
      <c r="M139" t="s">
        <v>887</v>
      </c>
      <c r="N139">
        <v>12.44897959183673</v>
      </c>
      <c r="O139">
        <v>4.9</v>
      </c>
      <c r="P139">
        <v>1.6</v>
      </c>
      <c r="Q139">
        <v>0.3265306122448979</v>
      </c>
      <c r="R139">
        <v>31</v>
      </c>
      <c r="S139">
        <v>0.06961037572506878</v>
      </c>
      <c r="T139" t="s">
        <v>905</v>
      </c>
      <c r="U139">
        <v>0.146310571238504</v>
      </c>
      <c r="V139" t="s">
        <v>986</v>
      </c>
      <c r="W139" t="s">
        <v>994</v>
      </c>
      <c r="X139">
        <v>428.191757</v>
      </c>
      <c r="Y139" s="2">
        <v>44666</v>
      </c>
      <c r="Z139" t="s">
        <v>1005</v>
      </c>
    </row>
    <row r="140" spans="1:26">
      <c r="A140" s="1" t="s">
        <v>164</v>
      </c>
      <c r="B140">
        <f>HYPERLINK("https://www.suredividend.com/sure-analysis-ABBV/","Abbvie Inc")</f>
        <v>0</v>
      </c>
      <c r="C140" t="s">
        <v>884</v>
      </c>
      <c r="D140">
        <v>147</v>
      </c>
      <c r="E140">
        <v>161.61</v>
      </c>
      <c r="F140">
        <v>139</v>
      </c>
      <c r="G140">
        <v>1.162661870503597</v>
      </c>
      <c r="H140">
        <v>0.0366313965719943</v>
      </c>
      <c r="I140">
        <v>-0.02969266595496756</v>
      </c>
      <c r="J140">
        <v>0.025</v>
      </c>
      <c r="K140">
        <v>0.03465845463730233</v>
      </c>
      <c r="L140" t="s">
        <v>886</v>
      </c>
      <c r="M140" t="s">
        <v>886</v>
      </c>
      <c r="N140">
        <v>11.66017316017316</v>
      </c>
      <c r="O140">
        <v>13.86</v>
      </c>
      <c r="P140">
        <v>5.92</v>
      </c>
      <c r="Q140">
        <v>0.4271284271284271</v>
      </c>
      <c r="R140">
        <v>51</v>
      </c>
      <c r="S140">
        <v>0.0501226304546607</v>
      </c>
      <c r="T140" t="s">
        <v>912</v>
      </c>
      <c r="U140">
        <v>0.23524164830352</v>
      </c>
      <c r="V140" t="s">
        <v>986</v>
      </c>
      <c r="W140" t="s">
        <v>998</v>
      </c>
      <c r="X140">
        <v>285804.134898</v>
      </c>
      <c r="Y140" s="2">
        <v>44864</v>
      </c>
      <c r="Z140" t="s">
        <v>1007</v>
      </c>
    </row>
    <row r="141" spans="1:26">
      <c r="A141" s="1" t="s">
        <v>165</v>
      </c>
      <c r="B141">
        <f>HYPERLINK("https://www.suredividend.com/sure-analysis-THFF/","First Financial Corp. - Indiana")</f>
        <v>0</v>
      </c>
      <c r="C141" t="s">
        <v>885</v>
      </c>
      <c r="D141">
        <v>48</v>
      </c>
      <c r="E141">
        <v>46.08</v>
      </c>
      <c r="F141">
        <v>63</v>
      </c>
      <c r="G141">
        <v>0.7314285714285714</v>
      </c>
      <c r="H141">
        <v>0.0234375</v>
      </c>
      <c r="I141">
        <v>0.06454890068642571</v>
      </c>
      <c r="J141">
        <v>-0.05</v>
      </c>
      <c r="K141">
        <v>0.03403502844039497</v>
      </c>
      <c r="L141" t="s">
        <v>886</v>
      </c>
      <c r="M141" t="s">
        <v>887</v>
      </c>
      <c r="N141">
        <v>8.08421052631579</v>
      </c>
      <c r="O141">
        <v>5.7</v>
      </c>
      <c r="P141">
        <v>1.08</v>
      </c>
      <c r="Q141">
        <v>0.1894736842105263</v>
      </c>
      <c r="R141">
        <v>34</v>
      </c>
      <c r="S141">
        <v>0.01958782572000284</v>
      </c>
      <c r="T141" t="s">
        <v>935</v>
      </c>
      <c r="U141">
        <v>0.04514206265862501</v>
      </c>
      <c r="V141" t="s">
        <v>986</v>
      </c>
      <c r="W141" t="s">
        <v>994</v>
      </c>
      <c r="X141">
        <v>553.973668</v>
      </c>
      <c r="Y141" s="2">
        <v>44866</v>
      </c>
      <c r="Z141" t="s">
        <v>1005</v>
      </c>
    </row>
    <row r="142" spans="1:26">
      <c r="A142" s="1" t="s">
        <v>166</v>
      </c>
      <c r="B142">
        <f>HYPERLINK("https://www.suredividend.com/sure-analysis-NDSN/","Nordson Corp.")</f>
        <v>0</v>
      </c>
      <c r="C142" t="s">
        <v>884</v>
      </c>
      <c r="D142">
        <v>233</v>
      </c>
      <c r="E142">
        <v>237.72</v>
      </c>
      <c r="F142">
        <v>217</v>
      </c>
      <c r="G142">
        <v>1.095483870967742</v>
      </c>
      <c r="H142">
        <v>0.01093723708564698</v>
      </c>
      <c r="I142">
        <v>-0.01807390328913427</v>
      </c>
      <c r="J142">
        <v>0.04</v>
      </c>
      <c r="K142">
        <v>0.03363979105699699</v>
      </c>
      <c r="L142" t="s">
        <v>886</v>
      </c>
      <c r="M142" t="s">
        <v>573</v>
      </c>
      <c r="N142">
        <v>25.20890774125133</v>
      </c>
      <c r="O142">
        <v>9.43</v>
      </c>
      <c r="P142">
        <v>2.6</v>
      </c>
      <c r="Q142">
        <v>0.2757158006362673</v>
      </c>
      <c r="R142">
        <v>59</v>
      </c>
      <c r="S142">
        <v>0.07998569482738827</v>
      </c>
      <c r="T142" t="s">
        <v>936</v>
      </c>
      <c r="U142">
        <v>-0.05738484963837</v>
      </c>
      <c r="V142" t="s">
        <v>986</v>
      </c>
      <c r="W142" t="s">
        <v>991</v>
      </c>
      <c r="X142">
        <v>13587.320201</v>
      </c>
      <c r="Y142" s="2">
        <v>44917</v>
      </c>
      <c r="Z142" t="s">
        <v>1008</v>
      </c>
    </row>
    <row r="143" spans="1:26">
      <c r="A143" s="1" t="s">
        <v>167</v>
      </c>
      <c r="B143">
        <f>HYPERLINK("https://www.suredividend.com/sure-analysis-JKHY/","Jack Henry &amp; Associates, Inc.")</f>
        <v>0</v>
      </c>
      <c r="C143" t="s">
        <v>885</v>
      </c>
      <c r="D143">
        <v>188</v>
      </c>
      <c r="E143">
        <v>175.56</v>
      </c>
      <c r="F143">
        <v>123</v>
      </c>
      <c r="G143">
        <v>1.427317073170732</v>
      </c>
      <c r="H143">
        <v>0.01116427432216906</v>
      </c>
      <c r="I143">
        <v>-0.06868647969357311</v>
      </c>
      <c r="J143">
        <v>0.095</v>
      </c>
      <c r="K143">
        <v>0.03292522280433818</v>
      </c>
      <c r="L143" t="s">
        <v>886</v>
      </c>
      <c r="M143" t="s">
        <v>573</v>
      </c>
      <c r="N143">
        <v>35.6829268292683</v>
      </c>
      <c r="O143">
        <v>4.92</v>
      </c>
      <c r="P143">
        <v>1.96</v>
      </c>
      <c r="Q143">
        <v>0.3983739837398374</v>
      </c>
      <c r="R143">
        <v>32</v>
      </c>
      <c r="S143">
        <v>0.09031044937479438</v>
      </c>
      <c r="T143" t="s">
        <v>891</v>
      </c>
      <c r="U143">
        <v>0.057738189915699</v>
      </c>
      <c r="V143" t="s">
        <v>986</v>
      </c>
      <c r="W143" t="s">
        <v>993</v>
      </c>
      <c r="X143">
        <v>12807.002457</v>
      </c>
      <c r="Y143" s="2">
        <v>44892</v>
      </c>
      <c r="Z143" t="s">
        <v>1007</v>
      </c>
    </row>
    <row r="144" spans="1:26">
      <c r="A144" s="1" t="s">
        <v>168</v>
      </c>
      <c r="B144">
        <f>HYPERLINK("https://www.suredividend.com/sure-analysis-ABC/","Amerisource Bergen Corp.")</f>
        <v>0</v>
      </c>
      <c r="C144" t="s">
        <v>884</v>
      </c>
      <c r="D144">
        <v>149</v>
      </c>
      <c r="E144">
        <v>165.71</v>
      </c>
      <c r="F144">
        <v>149</v>
      </c>
      <c r="G144">
        <v>1.112147651006711</v>
      </c>
      <c r="H144">
        <v>0.01170719932412045</v>
      </c>
      <c r="I144">
        <v>-0.02103422219482776</v>
      </c>
      <c r="J144">
        <v>0.04</v>
      </c>
      <c r="K144">
        <v>0.03119048577024297</v>
      </c>
      <c r="L144" t="s">
        <v>886</v>
      </c>
      <c r="M144" t="s">
        <v>573</v>
      </c>
      <c r="N144">
        <v>14.47248908296943</v>
      </c>
      <c r="O144">
        <v>11.45</v>
      </c>
      <c r="P144">
        <v>1.94</v>
      </c>
      <c r="Q144">
        <v>0.1694323144104803</v>
      </c>
      <c r="R144">
        <v>19</v>
      </c>
      <c r="S144">
        <v>0.06992524489229845</v>
      </c>
      <c r="T144" t="s">
        <v>914</v>
      </c>
      <c r="U144">
        <v>0.258252751549941</v>
      </c>
      <c r="V144" t="s">
        <v>986</v>
      </c>
      <c r="W144" t="s">
        <v>998</v>
      </c>
      <c r="X144">
        <v>34081.348346</v>
      </c>
      <c r="Y144" s="2">
        <v>44877</v>
      </c>
      <c r="Z144" t="s">
        <v>1008</v>
      </c>
    </row>
    <row r="145" spans="1:26">
      <c r="A145" s="1" t="s">
        <v>169</v>
      </c>
      <c r="B145">
        <f>HYPERLINK("https://www.suredividend.com/sure-analysis-CTAS/","Cintas Corporation")</f>
        <v>0</v>
      </c>
      <c r="C145" t="s">
        <v>884</v>
      </c>
      <c r="D145">
        <v>381</v>
      </c>
      <c r="E145">
        <v>451.62</v>
      </c>
      <c r="F145">
        <v>351</v>
      </c>
      <c r="G145">
        <v>1.286666666666667</v>
      </c>
      <c r="H145">
        <v>0.010185554227005</v>
      </c>
      <c r="I145">
        <v>-0.04916143045844645</v>
      </c>
      <c r="J145">
        <v>0.07000000000000001</v>
      </c>
      <c r="K145">
        <v>0.02985851223649383</v>
      </c>
      <c r="L145" t="s">
        <v>886</v>
      </c>
      <c r="M145" t="s">
        <v>573</v>
      </c>
      <c r="N145">
        <v>35.98565737051793</v>
      </c>
      <c r="O145">
        <v>12.55</v>
      </c>
      <c r="P145">
        <v>4.6</v>
      </c>
      <c r="Q145">
        <v>0.3665338645418326</v>
      </c>
      <c r="R145">
        <v>40</v>
      </c>
      <c r="S145">
        <v>0.1000491131904697</v>
      </c>
      <c r="T145" t="s">
        <v>907</v>
      </c>
      <c r="U145">
        <v>0.038199497888635</v>
      </c>
      <c r="V145" t="s">
        <v>986</v>
      </c>
      <c r="W145" t="s">
        <v>991</v>
      </c>
      <c r="X145">
        <v>45859.898773</v>
      </c>
      <c r="Y145" s="2">
        <v>44851</v>
      </c>
      <c r="Z145" t="s">
        <v>1005</v>
      </c>
    </row>
    <row r="146" spans="1:26">
      <c r="A146" s="1" t="s">
        <v>170</v>
      </c>
      <c r="B146">
        <f>HYPERLINK("https://www.suredividend.com/sure-analysis-MCD/","McDonald`s Corp")</f>
        <v>0</v>
      </c>
      <c r="C146" t="s">
        <v>885</v>
      </c>
      <c r="D146">
        <v>274</v>
      </c>
      <c r="E146">
        <v>263.53</v>
      </c>
      <c r="F146">
        <v>199</v>
      </c>
      <c r="G146">
        <v>1.324271356783919</v>
      </c>
      <c r="H146">
        <v>0.02307137707281904</v>
      </c>
      <c r="I146">
        <v>-0.05462393451242054</v>
      </c>
      <c r="J146">
        <v>0.06</v>
      </c>
      <c r="K146">
        <v>0.02688010222562442</v>
      </c>
      <c r="L146" t="s">
        <v>886</v>
      </c>
      <c r="M146" t="s">
        <v>887</v>
      </c>
      <c r="N146">
        <v>26.53877139979859</v>
      </c>
      <c r="O146">
        <v>9.93</v>
      </c>
      <c r="P146">
        <v>6.08</v>
      </c>
      <c r="Q146">
        <v>0.6122860020140987</v>
      </c>
      <c r="R146">
        <v>47</v>
      </c>
      <c r="S146">
        <v>0.04342887836291864</v>
      </c>
      <c r="T146" t="s">
        <v>891</v>
      </c>
      <c r="U146">
        <v>0.008316227069156001</v>
      </c>
      <c r="V146" t="s">
        <v>986</v>
      </c>
      <c r="W146" t="s">
        <v>992</v>
      </c>
      <c r="X146">
        <v>193015.668259</v>
      </c>
      <c r="Y146" s="2">
        <v>44868</v>
      </c>
      <c r="Z146" t="s">
        <v>1015</v>
      </c>
    </row>
    <row r="147" spans="1:26">
      <c r="A147" s="1" t="s">
        <v>171</v>
      </c>
      <c r="B147">
        <f>HYPERLINK("https://www.suredividend.com/sure-analysis-SRCE/","1st Source Corp.")</f>
        <v>0</v>
      </c>
      <c r="C147" t="s">
        <v>885</v>
      </c>
      <c r="D147">
        <v>59</v>
      </c>
      <c r="E147">
        <v>53.09</v>
      </c>
      <c r="F147">
        <v>56</v>
      </c>
      <c r="G147">
        <v>0.9480357142857143</v>
      </c>
      <c r="H147">
        <v>0.02411000188359389</v>
      </c>
      <c r="I147">
        <v>0.010729776397854</v>
      </c>
      <c r="J147">
        <v>-0.01</v>
      </c>
      <c r="K147">
        <v>0.02491108451042723</v>
      </c>
      <c r="L147" t="s">
        <v>886</v>
      </c>
      <c r="M147" t="s">
        <v>887</v>
      </c>
      <c r="N147">
        <v>10.94639175257732</v>
      </c>
      <c r="O147">
        <v>4.85</v>
      </c>
      <c r="P147">
        <v>1.28</v>
      </c>
      <c r="Q147">
        <v>0.2639175257731959</v>
      </c>
      <c r="R147">
        <v>35</v>
      </c>
      <c r="S147">
        <v>0.01953427031337696</v>
      </c>
      <c r="T147" t="s">
        <v>932</v>
      </c>
      <c r="U147">
        <v>0.118609712878233</v>
      </c>
      <c r="V147" t="s">
        <v>986</v>
      </c>
      <c r="W147" t="s">
        <v>994</v>
      </c>
      <c r="X147">
        <v>1309.04958</v>
      </c>
      <c r="Y147" s="2">
        <v>44864</v>
      </c>
      <c r="Z147" t="s">
        <v>1005</v>
      </c>
    </row>
    <row r="148" spans="1:26">
      <c r="A148" s="1" t="s">
        <v>172</v>
      </c>
      <c r="B148">
        <f>HYPERLINK("https://www.suredividend.com/sure-analysis-LIN/","Linde Plc")</f>
        <v>0</v>
      </c>
      <c r="C148" t="s">
        <v>884</v>
      </c>
      <c r="D148">
        <v>302</v>
      </c>
      <c r="E148">
        <v>326.18</v>
      </c>
      <c r="F148">
        <v>252</v>
      </c>
      <c r="G148">
        <v>1.294365079365079</v>
      </c>
      <c r="H148">
        <v>0.01434790606413637</v>
      </c>
      <c r="I148">
        <v>-0.0502951793202896</v>
      </c>
      <c r="J148">
        <v>0.06</v>
      </c>
      <c r="K148">
        <v>0.02331503637567134</v>
      </c>
      <c r="L148" t="s">
        <v>886</v>
      </c>
      <c r="M148" t="s">
        <v>573</v>
      </c>
      <c r="N148">
        <v>27.22704507512521</v>
      </c>
      <c r="O148">
        <v>11.98</v>
      </c>
      <c r="P148">
        <v>4.68</v>
      </c>
      <c r="Q148">
        <v>0.3906510851419031</v>
      </c>
      <c r="R148">
        <v>29</v>
      </c>
      <c r="S148">
        <v>0.06987144736362261</v>
      </c>
      <c r="T148" t="s">
        <v>889</v>
      </c>
      <c r="U148">
        <v>-0.038106244760055</v>
      </c>
      <c r="V148" t="s">
        <v>986</v>
      </c>
      <c r="W148" t="s">
        <v>990</v>
      </c>
      <c r="X148">
        <v>160663.461847</v>
      </c>
      <c r="Y148" s="2">
        <v>44864</v>
      </c>
      <c r="Z148" t="s">
        <v>1007</v>
      </c>
    </row>
    <row r="149" spans="1:26">
      <c r="A149" s="1" t="s">
        <v>173</v>
      </c>
      <c r="B149">
        <f>HYPERLINK("https://www.suredividend.com/sure-analysis-MSEX/","Middlesex Water Co.")</f>
        <v>0</v>
      </c>
      <c r="C149" t="s">
        <v>885</v>
      </c>
      <c r="D149">
        <v>88.8</v>
      </c>
      <c r="E149">
        <v>78.67</v>
      </c>
      <c r="F149">
        <v>76.09999999999999</v>
      </c>
      <c r="G149">
        <v>1.03377135348226</v>
      </c>
      <c r="H149">
        <v>0.01588915723910004</v>
      </c>
      <c r="I149">
        <v>-0.006620710570577226</v>
      </c>
      <c r="J149">
        <v>0.014</v>
      </c>
      <c r="K149">
        <v>0.02329825268581875</v>
      </c>
      <c r="L149" t="s">
        <v>886</v>
      </c>
      <c r="M149" t="s">
        <v>887</v>
      </c>
      <c r="N149">
        <v>32.37448559670782</v>
      </c>
      <c r="O149">
        <v>2.43</v>
      </c>
      <c r="P149">
        <v>1.25</v>
      </c>
      <c r="Q149">
        <v>0.5144032921810699</v>
      </c>
      <c r="R149">
        <v>50</v>
      </c>
      <c r="S149">
        <v>0.02292455662603032</v>
      </c>
      <c r="T149" t="s">
        <v>895</v>
      </c>
      <c r="U149">
        <v>-0.329847552457083</v>
      </c>
      <c r="V149" t="s">
        <v>986</v>
      </c>
      <c r="W149" t="s">
        <v>997</v>
      </c>
      <c r="X149">
        <v>1387.628269</v>
      </c>
      <c r="Y149" s="2">
        <v>44885</v>
      </c>
      <c r="Z149" t="s">
        <v>1009</v>
      </c>
    </row>
    <row r="150" spans="1:26">
      <c r="A150" s="1" t="s">
        <v>174</v>
      </c>
      <c r="B150">
        <f>HYPERLINK("https://www.suredividend.com/sure-analysis-BF.B/","Brown-Forman Corp.")</f>
        <v>0</v>
      </c>
      <c r="C150" t="s">
        <v>885</v>
      </c>
      <c r="D150">
        <v>69</v>
      </c>
      <c r="E150">
        <v>65.68000000000001</v>
      </c>
      <c r="F150">
        <v>47</v>
      </c>
      <c r="G150">
        <v>1.397446808510638</v>
      </c>
      <c r="H150">
        <v>0.01248477466504263</v>
      </c>
      <c r="I150">
        <v>-0.06473874600632346</v>
      </c>
      <c r="J150">
        <v>0.08</v>
      </c>
      <c r="K150">
        <v>0.02326513279874676</v>
      </c>
      <c r="L150" t="s">
        <v>886</v>
      </c>
      <c r="M150" t="s">
        <v>573</v>
      </c>
      <c r="N150">
        <v>33.68205128205128</v>
      </c>
      <c r="O150">
        <v>1.95</v>
      </c>
      <c r="P150">
        <v>0.82</v>
      </c>
      <c r="Q150">
        <v>0.4205128205128205</v>
      </c>
      <c r="R150">
        <v>39</v>
      </c>
      <c r="S150">
        <v>0.04048836820440749</v>
      </c>
      <c r="T150" t="s">
        <v>889</v>
      </c>
      <c r="U150">
        <v>-0.082819909846</v>
      </c>
      <c r="V150" t="s">
        <v>986</v>
      </c>
      <c r="W150" t="s">
        <v>996</v>
      </c>
      <c r="X150">
        <v>31484.117578</v>
      </c>
      <c r="Y150" s="2">
        <v>44830</v>
      </c>
      <c r="Z150" t="s">
        <v>1007</v>
      </c>
    </row>
    <row r="151" spans="1:26">
      <c r="A151" s="1" t="s">
        <v>175</v>
      </c>
      <c r="B151">
        <f>HYPERLINK("https://www.suredividend.com/sure-analysis-IMO/","Imperial Oil Ltd.")</f>
        <v>0</v>
      </c>
      <c r="C151" t="s">
        <v>885</v>
      </c>
      <c r="D151">
        <v>57</v>
      </c>
      <c r="E151">
        <v>48.74</v>
      </c>
      <c r="F151">
        <v>112</v>
      </c>
      <c r="G151">
        <v>0.4351785714285715</v>
      </c>
      <c r="H151">
        <v>0.02790315962248666</v>
      </c>
      <c r="I151">
        <v>0.1810451474275037</v>
      </c>
      <c r="J151">
        <v>-0.16</v>
      </c>
      <c r="K151">
        <v>0.02286425165536365</v>
      </c>
      <c r="L151" t="s">
        <v>886</v>
      </c>
      <c r="M151" t="s">
        <v>887</v>
      </c>
      <c r="N151">
        <v>6.0925</v>
      </c>
      <c r="O151">
        <v>8</v>
      </c>
      <c r="P151">
        <v>1.36</v>
      </c>
      <c r="Q151">
        <v>0.17</v>
      </c>
      <c r="R151">
        <v>7</v>
      </c>
      <c r="S151">
        <v>0.04316756381013498</v>
      </c>
      <c r="T151" t="s">
        <v>889</v>
      </c>
      <c r="U151">
        <v>0.416119472369109</v>
      </c>
      <c r="V151" t="s">
        <v>986</v>
      </c>
      <c r="W151" t="s">
        <v>999</v>
      </c>
      <c r="X151">
        <v>28471.603475</v>
      </c>
      <c r="Y151" s="2">
        <v>44870</v>
      </c>
      <c r="Z151" t="s">
        <v>1003</v>
      </c>
    </row>
    <row r="152" spans="1:26">
      <c r="A152" s="1" t="s">
        <v>176</v>
      </c>
      <c r="B152">
        <f>HYPERLINK("https://www.suredividend.com/sure-analysis-UNF/","Unifirst Corp.")</f>
        <v>0</v>
      </c>
      <c r="C152" t="s">
        <v>884</v>
      </c>
      <c r="D152">
        <v>172</v>
      </c>
      <c r="E152">
        <v>192.99</v>
      </c>
      <c r="F152">
        <v>161</v>
      </c>
      <c r="G152">
        <v>1.198695652173913</v>
      </c>
      <c r="H152">
        <v>0.006425203378413389</v>
      </c>
      <c r="I152">
        <v>-0.03559775212196592</v>
      </c>
      <c r="J152">
        <v>0.05</v>
      </c>
      <c r="K152">
        <v>0.02052897585531244</v>
      </c>
      <c r="L152" t="s">
        <v>886</v>
      </c>
      <c r="M152" t="s">
        <v>572</v>
      </c>
      <c r="N152">
        <v>26.43698630136986</v>
      </c>
      <c r="O152">
        <v>7.3</v>
      </c>
      <c r="P152">
        <v>1.24</v>
      </c>
      <c r="Q152">
        <v>0.1698630136986301</v>
      </c>
      <c r="R152">
        <v>5</v>
      </c>
      <c r="S152">
        <v>0.09251428635796377</v>
      </c>
      <c r="T152" t="s">
        <v>915</v>
      </c>
      <c r="U152">
        <v>-0.07360382943058701</v>
      </c>
      <c r="V152" t="s">
        <v>986</v>
      </c>
      <c r="W152" t="s">
        <v>991</v>
      </c>
      <c r="X152">
        <v>2912.996657</v>
      </c>
      <c r="Y152" s="2">
        <v>44854</v>
      </c>
      <c r="Z152" t="s">
        <v>1008</v>
      </c>
    </row>
    <row r="153" spans="1:26">
      <c r="A153" s="1" t="s">
        <v>177</v>
      </c>
      <c r="B153">
        <f>HYPERLINK("https://www.suredividend.com/sure-analysis-GD/","General Dynamics Corp.")</f>
        <v>0</v>
      </c>
      <c r="C153" t="s">
        <v>885</v>
      </c>
      <c r="D153">
        <v>248</v>
      </c>
      <c r="E153">
        <v>248.11</v>
      </c>
      <c r="F153">
        <v>182</v>
      </c>
      <c r="G153">
        <v>1.363241758241758</v>
      </c>
      <c r="H153">
        <v>0.02031357059368828</v>
      </c>
      <c r="I153">
        <v>-0.06009183173674493</v>
      </c>
      <c r="J153">
        <v>0.06</v>
      </c>
      <c r="K153">
        <v>0.01979602623218191</v>
      </c>
      <c r="L153" t="s">
        <v>886</v>
      </c>
      <c r="M153" t="s">
        <v>887</v>
      </c>
      <c r="N153">
        <v>20.40378289473684</v>
      </c>
      <c r="O153">
        <v>12.16</v>
      </c>
      <c r="P153">
        <v>5.04</v>
      </c>
      <c r="Q153">
        <v>0.4144736842105263</v>
      </c>
      <c r="R153">
        <v>31</v>
      </c>
      <c r="S153">
        <v>0.05985358218414349</v>
      </c>
      <c r="T153" t="s">
        <v>903</v>
      </c>
      <c r="U153">
        <v>0.222334767297729</v>
      </c>
      <c r="V153" t="s">
        <v>986</v>
      </c>
      <c r="W153" t="s">
        <v>991</v>
      </c>
      <c r="X153">
        <v>68118.342714</v>
      </c>
      <c r="Y153" s="2">
        <v>44867</v>
      </c>
      <c r="Z153" t="s">
        <v>1015</v>
      </c>
    </row>
    <row r="154" spans="1:26">
      <c r="A154" s="1" t="s">
        <v>178</v>
      </c>
      <c r="B154">
        <f>HYPERLINK("https://www.suredividend.com/sure-analysis-PG/","Procter &amp; Gamble Co.")</f>
        <v>0</v>
      </c>
      <c r="C154" t="s">
        <v>885</v>
      </c>
      <c r="D154">
        <v>141</v>
      </c>
      <c r="E154">
        <v>151.56</v>
      </c>
      <c r="F154">
        <v>120</v>
      </c>
      <c r="G154">
        <v>1.263</v>
      </c>
      <c r="H154">
        <v>0.02408287147004487</v>
      </c>
      <c r="I154">
        <v>-0.04562439460579903</v>
      </c>
      <c r="J154">
        <v>0.04</v>
      </c>
      <c r="K154">
        <v>0.01943197258151197</v>
      </c>
      <c r="L154" t="s">
        <v>886</v>
      </c>
      <c r="M154" t="s">
        <v>887</v>
      </c>
      <c r="N154">
        <v>25.26</v>
      </c>
      <c r="O154">
        <v>6</v>
      </c>
      <c r="P154">
        <v>3.65</v>
      </c>
      <c r="Q154">
        <v>0.6083333333333333</v>
      </c>
      <c r="R154">
        <v>66</v>
      </c>
      <c r="S154">
        <v>0.04506597048373795</v>
      </c>
      <c r="T154" t="s">
        <v>892</v>
      </c>
      <c r="U154">
        <v>-0.04574997969479801</v>
      </c>
      <c r="V154" t="s">
        <v>986</v>
      </c>
      <c r="W154" t="s">
        <v>996</v>
      </c>
      <c r="X154">
        <v>361546.29937</v>
      </c>
      <c r="Y154" s="2">
        <v>44885</v>
      </c>
      <c r="Z154" t="s">
        <v>1003</v>
      </c>
    </row>
    <row r="155" spans="1:26">
      <c r="A155" s="1" t="s">
        <v>179</v>
      </c>
      <c r="B155">
        <f>HYPERLINK("https://www.suredividend.com/sure-analysis-MGEE/","MGE Energy, Inc.")</f>
        <v>0</v>
      </c>
      <c r="C155" t="s">
        <v>885</v>
      </c>
      <c r="D155">
        <v>71.2</v>
      </c>
      <c r="E155">
        <v>70.40000000000001</v>
      </c>
      <c r="F155">
        <v>57.1</v>
      </c>
      <c r="G155">
        <v>1.23292469352014</v>
      </c>
      <c r="H155">
        <v>0.02315340909090909</v>
      </c>
      <c r="I155">
        <v>-0.04101306647942071</v>
      </c>
      <c r="J155">
        <v>0.037</v>
      </c>
      <c r="K155">
        <v>0.01803441938239936</v>
      </c>
      <c r="L155" t="s">
        <v>886</v>
      </c>
      <c r="M155" t="s">
        <v>887</v>
      </c>
      <c r="N155">
        <v>22.20820189274448</v>
      </c>
      <c r="O155">
        <v>3.17</v>
      </c>
      <c r="P155">
        <v>1.63</v>
      </c>
      <c r="Q155">
        <v>0.5141955835962145</v>
      </c>
      <c r="R155">
        <v>45</v>
      </c>
      <c r="S155">
        <v>0.01430855588331936</v>
      </c>
      <c r="T155" t="s">
        <v>891</v>
      </c>
      <c r="U155">
        <v>-0.116180796265863</v>
      </c>
      <c r="V155" t="s">
        <v>986</v>
      </c>
      <c r="W155" t="s">
        <v>997</v>
      </c>
      <c r="X155">
        <v>2545.901248</v>
      </c>
      <c r="Y155" s="2">
        <v>44893</v>
      </c>
      <c r="Z155" t="s">
        <v>1009</v>
      </c>
    </row>
    <row r="156" spans="1:26">
      <c r="A156" s="1" t="s">
        <v>180</v>
      </c>
      <c r="B156">
        <f>HYPERLINK("https://www.suredividend.com/sure-analysis-RNR/","RenaissanceRe Holdings Ltd")</f>
        <v>0</v>
      </c>
      <c r="C156" t="s">
        <v>885</v>
      </c>
      <c r="D156">
        <v>183</v>
      </c>
      <c r="E156">
        <v>184.23</v>
      </c>
      <c r="F156">
        <v>109</v>
      </c>
      <c r="G156">
        <v>1.690183486238532</v>
      </c>
      <c r="H156">
        <v>0.008033436465287955</v>
      </c>
      <c r="I156">
        <v>-0.09964614342303557</v>
      </c>
      <c r="J156">
        <v>0.12</v>
      </c>
      <c r="K156">
        <v>0.01664863523579019</v>
      </c>
      <c r="L156" t="s">
        <v>886</v>
      </c>
      <c r="M156" t="s">
        <v>573</v>
      </c>
      <c r="N156">
        <v>11.514375</v>
      </c>
      <c r="O156">
        <v>16</v>
      </c>
      <c r="P156">
        <v>1.48</v>
      </c>
      <c r="Q156">
        <v>0.0925</v>
      </c>
      <c r="R156">
        <v>27</v>
      </c>
      <c r="S156">
        <v>0.02567439351051015</v>
      </c>
      <c r="T156" t="s">
        <v>901</v>
      </c>
      <c r="U156">
        <v>0.09563411541654601</v>
      </c>
      <c r="V156" t="s">
        <v>986</v>
      </c>
      <c r="W156" t="s">
        <v>994</v>
      </c>
      <c r="X156">
        <v>8051.199195</v>
      </c>
      <c r="Y156" s="2">
        <v>44887</v>
      </c>
      <c r="Z156" t="s">
        <v>1011</v>
      </c>
    </row>
    <row r="157" spans="1:26">
      <c r="A157" s="1" t="s">
        <v>181</v>
      </c>
      <c r="B157">
        <f>HYPERLINK("https://www.suredividend.com/sure-analysis-NOC/","Northrop Grumman Corp.")</f>
        <v>0</v>
      </c>
      <c r="C157" t="s">
        <v>885</v>
      </c>
      <c r="D157">
        <v>523</v>
      </c>
      <c r="E157">
        <v>545.61</v>
      </c>
      <c r="F157">
        <v>372</v>
      </c>
      <c r="G157">
        <v>1.466693548387097</v>
      </c>
      <c r="H157">
        <v>0.01268305199684757</v>
      </c>
      <c r="I157">
        <v>-0.07374167643458707</v>
      </c>
      <c r="J157">
        <v>0.08</v>
      </c>
      <c r="K157">
        <v>0.01591835389761642</v>
      </c>
      <c r="L157" t="s">
        <v>886</v>
      </c>
      <c r="M157" t="s">
        <v>573</v>
      </c>
      <c r="N157">
        <v>22.00040322580645</v>
      </c>
      <c r="O157">
        <v>24.8</v>
      </c>
      <c r="P157">
        <v>6.92</v>
      </c>
      <c r="Q157">
        <v>0.2790322580645161</v>
      </c>
      <c r="R157">
        <v>19</v>
      </c>
      <c r="S157">
        <v>0.08004778776327726</v>
      </c>
      <c r="T157" t="s">
        <v>908</v>
      </c>
      <c r="U157">
        <v>0.434868021385874</v>
      </c>
      <c r="V157" t="s">
        <v>986</v>
      </c>
      <c r="W157" t="s">
        <v>991</v>
      </c>
      <c r="X157">
        <v>83976.01143499999</v>
      </c>
      <c r="Y157" s="2">
        <v>44871</v>
      </c>
      <c r="Z157" t="s">
        <v>1015</v>
      </c>
    </row>
    <row r="158" spans="1:26">
      <c r="A158" s="1" t="s">
        <v>182</v>
      </c>
      <c r="B158">
        <f>HYPERLINK("https://www.suredividend.com/sure-analysis-AWR/","American States Water Co.")</f>
        <v>0</v>
      </c>
      <c r="C158" t="s">
        <v>885</v>
      </c>
      <c r="D158">
        <v>98.90000000000001</v>
      </c>
      <c r="E158">
        <v>92.55</v>
      </c>
      <c r="F158">
        <v>61.3</v>
      </c>
      <c r="G158">
        <v>1.50978792822186</v>
      </c>
      <c r="H158">
        <v>0.01717990275526743</v>
      </c>
      <c r="I158">
        <v>-0.07909080288953896</v>
      </c>
      <c r="J158">
        <v>0.07099999999999999</v>
      </c>
      <c r="K158">
        <v>0.006577664970154773</v>
      </c>
      <c r="L158" t="s">
        <v>886</v>
      </c>
      <c r="M158" t="s">
        <v>887</v>
      </c>
      <c r="N158">
        <v>37.77551020408163</v>
      </c>
      <c r="O158">
        <v>2.45</v>
      </c>
      <c r="P158">
        <v>1.59</v>
      </c>
      <c r="Q158">
        <v>0.6489795918367347</v>
      </c>
      <c r="R158">
        <v>68</v>
      </c>
      <c r="S158">
        <v>0.05110622618577221</v>
      </c>
      <c r="T158" t="s">
        <v>907</v>
      </c>
      <c r="U158">
        <v>-0.08555021124728701</v>
      </c>
      <c r="V158" t="s">
        <v>986</v>
      </c>
      <c r="W158" t="s">
        <v>997</v>
      </c>
      <c r="X158">
        <v>3420.731017</v>
      </c>
      <c r="Y158" s="2">
        <v>44893</v>
      </c>
      <c r="Z158" t="s">
        <v>1009</v>
      </c>
    </row>
    <row r="159" spans="1:26">
      <c r="A159" s="1" t="s">
        <v>183</v>
      </c>
      <c r="B159">
        <f>HYPERLINK("https://www.suredividend.com/sure-analysis-SJW/","SJW Group")</f>
        <v>0</v>
      </c>
      <c r="C159" t="s">
        <v>884</v>
      </c>
      <c r="D159">
        <v>70</v>
      </c>
      <c r="E159">
        <v>81.19</v>
      </c>
      <c r="F159">
        <v>52</v>
      </c>
      <c r="G159">
        <v>1.561346153846154</v>
      </c>
      <c r="H159">
        <v>0.01773617440571499</v>
      </c>
      <c r="I159">
        <v>-0.08525475538482008</v>
      </c>
      <c r="J159">
        <v>0.076</v>
      </c>
      <c r="K159">
        <v>0.005899375282206076</v>
      </c>
      <c r="L159" t="s">
        <v>886</v>
      </c>
      <c r="M159" t="s">
        <v>887</v>
      </c>
      <c r="N159">
        <v>34.54893617021276</v>
      </c>
      <c r="O159">
        <v>2.35</v>
      </c>
      <c r="P159">
        <v>1.44</v>
      </c>
      <c r="Q159">
        <v>0.6127659574468085</v>
      </c>
      <c r="R159">
        <v>54</v>
      </c>
      <c r="S159">
        <v>0.06032490771095733</v>
      </c>
      <c r="T159" t="s">
        <v>911</v>
      </c>
      <c r="U159">
        <v>0.142245351318879</v>
      </c>
      <c r="V159" t="s">
        <v>986</v>
      </c>
      <c r="W159" t="s">
        <v>997</v>
      </c>
      <c r="X159">
        <v>2461.625347</v>
      </c>
      <c r="Y159" s="2">
        <v>44866</v>
      </c>
      <c r="Z159" t="s">
        <v>1001</v>
      </c>
    </row>
    <row r="160" spans="1:26">
      <c r="A160" s="1" t="s">
        <v>184</v>
      </c>
      <c r="B160">
        <f>HYPERLINK("https://www.suredividend.com/sure-analysis-AFL/","Aflac Inc.")</f>
        <v>0</v>
      </c>
      <c r="C160" t="s">
        <v>885</v>
      </c>
      <c r="D160">
        <v>66</v>
      </c>
      <c r="E160">
        <v>71.94</v>
      </c>
      <c r="F160">
        <v>53</v>
      </c>
      <c r="G160">
        <v>1.357358490566038</v>
      </c>
      <c r="H160">
        <v>0.02335279399499583</v>
      </c>
      <c r="I160">
        <v>-0.05927846236941492</v>
      </c>
      <c r="J160">
        <v>0.04</v>
      </c>
      <c r="K160">
        <v>0.00478172458599202</v>
      </c>
      <c r="L160" t="s">
        <v>886</v>
      </c>
      <c r="M160" t="s">
        <v>887</v>
      </c>
      <c r="N160">
        <v>13.52255639097744</v>
      </c>
      <c r="O160">
        <v>5.32</v>
      </c>
      <c r="P160">
        <v>1.68</v>
      </c>
      <c r="Q160">
        <v>0.3157894736842105</v>
      </c>
      <c r="R160">
        <v>41</v>
      </c>
      <c r="S160">
        <v>0.03025579475561258</v>
      </c>
      <c r="T160" t="s">
        <v>895</v>
      </c>
      <c r="U160">
        <v>0.26044236375869</v>
      </c>
      <c r="V160" t="s">
        <v>986</v>
      </c>
      <c r="W160" t="s">
        <v>994</v>
      </c>
      <c r="X160">
        <v>44731.469006</v>
      </c>
      <c r="Y160" s="2">
        <v>44867</v>
      </c>
      <c r="Z160" t="s">
        <v>1001</v>
      </c>
    </row>
    <row r="161" spans="1:26">
      <c r="A161" s="1" t="s">
        <v>185</v>
      </c>
      <c r="B161">
        <f>HYPERLINK("https://www.suredividend.com/sure-analysis-ATR/","Aptargroup Inc.")</f>
        <v>0</v>
      </c>
      <c r="C161" t="s">
        <v>885</v>
      </c>
      <c r="D161">
        <v>106</v>
      </c>
      <c r="E161">
        <v>109.98</v>
      </c>
      <c r="F161">
        <v>73</v>
      </c>
      <c r="G161">
        <v>1.506575342465754</v>
      </c>
      <c r="H161">
        <v>0.0138206946717585</v>
      </c>
      <c r="I161">
        <v>-0.07869839243973664</v>
      </c>
      <c r="J161">
        <v>0.07000000000000001</v>
      </c>
      <c r="K161">
        <v>0.00175841488717543</v>
      </c>
      <c r="L161" t="s">
        <v>886</v>
      </c>
      <c r="M161" t="s">
        <v>573</v>
      </c>
      <c r="N161">
        <v>30.13150684931507</v>
      </c>
      <c r="O161">
        <v>3.65</v>
      </c>
      <c r="P161">
        <v>1.52</v>
      </c>
      <c r="Q161">
        <v>0.4164383561643836</v>
      </c>
      <c r="R161">
        <v>28</v>
      </c>
      <c r="S161">
        <v>0.04007732447526613</v>
      </c>
      <c r="T161" t="s">
        <v>937</v>
      </c>
      <c r="U161">
        <v>-0.084831570065554</v>
      </c>
      <c r="V161" t="s">
        <v>986</v>
      </c>
      <c r="W161" t="s">
        <v>992</v>
      </c>
      <c r="X161">
        <v>7179.9352</v>
      </c>
      <c r="Y161" s="2">
        <v>44890</v>
      </c>
      <c r="Z161" t="s">
        <v>1006</v>
      </c>
    </row>
    <row r="162" spans="1:26">
      <c r="A162" s="1" t="s">
        <v>186</v>
      </c>
      <c r="B162">
        <f>HYPERLINK("https://www.suredividend.com/sure-analysis-MGRC/","McGrath Rentcorp")</f>
        <v>0</v>
      </c>
      <c r="C162" t="s">
        <v>885</v>
      </c>
      <c r="D162">
        <v>95</v>
      </c>
      <c r="E162">
        <v>98.73999999999999</v>
      </c>
      <c r="F162">
        <v>76</v>
      </c>
      <c r="G162">
        <v>1.299210526315789</v>
      </c>
      <c r="H162">
        <v>0.01843224630342313</v>
      </c>
      <c r="I162">
        <v>-0.05100462934040662</v>
      </c>
      <c r="J162">
        <v>0.03</v>
      </c>
      <c r="K162">
        <v>-0.001385878994598744</v>
      </c>
      <c r="L162" t="s">
        <v>886</v>
      </c>
      <c r="M162" t="s">
        <v>573</v>
      </c>
      <c r="N162">
        <v>22.75115207373272</v>
      </c>
      <c r="O162">
        <v>4.34</v>
      </c>
      <c r="P162">
        <v>1.82</v>
      </c>
      <c r="Q162">
        <v>0.4193548387096774</v>
      </c>
      <c r="R162">
        <v>31</v>
      </c>
      <c r="S162">
        <v>0.03001183171741473</v>
      </c>
      <c r="T162" t="s">
        <v>925</v>
      </c>
      <c r="U162">
        <v>0.273732523909896</v>
      </c>
      <c r="V162" t="s">
        <v>986</v>
      </c>
      <c r="W162" t="s">
        <v>991</v>
      </c>
      <c r="X162">
        <v>2407.522619</v>
      </c>
      <c r="Y162" s="2">
        <v>44864</v>
      </c>
      <c r="Z162" t="s">
        <v>1001</v>
      </c>
    </row>
    <row r="163" spans="1:26">
      <c r="A163" s="1" t="s">
        <v>187</v>
      </c>
      <c r="B163">
        <f>HYPERLINK("https://www.suredividend.com/sure-analysis-UBSI/","United Bankshares, Inc.")</f>
        <v>0</v>
      </c>
      <c r="C163" t="s">
        <v>885</v>
      </c>
      <c r="D163">
        <v>43</v>
      </c>
      <c r="E163">
        <v>40.49</v>
      </c>
      <c r="F163">
        <v>32</v>
      </c>
      <c r="G163">
        <v>1.2653125</v>
      </c>
      <c r="H163">
        <v>0.03556433687330204</v>
      </c>
      <c r="I163">
        <v>-0.0459734955227542</v>
      </c>
      <c r="J163">
        <v>0</v>
      </c>
      <c r="K163">
        <v>-0.004213899721590364</v>
      </c>
      <c r="L163" t="s">
        <v>886</v>
      </c>
      <c r="M163" t="s">
        <v>886</v>
      </c>
      <c r="N163">
        <v>13.96206896551724</v>
      </c>
      <c r="O163">
        <v>2.9</v>
      </c>
      <c r="P163">
        <v>1.44</v>
      </c>
      <c r="Q163">
        <v>0.496551724137931</v>
      </c>
      <c r="R163">
        <v>48</v>
      </c>
      <c r="S163">
        <v>0.02001586442069092</v>
      </c>
      <c r="T163" t="s">
        <v>920</v>
      </c>
      <c r="U163">
        <v>0.159334806958872</v>
      </c>
      <c r="V163" t="s">
        <v>986</v>
      </c>
      <c r="W163" t="s">
        <v>994</v>
      </c>
      <c r="X163">
        <v>5452.341452</v>
      </c>
      <c r="Y163" s="2">
        <v>44872</v>
      </c>
      <c r="Z163" t="s">
        <v>1005</v>
      </c>
    </row>
    <row r="164" spans="1:26">
      <c r="A164" s="1" t="s">
        <v>188</v>
      </c>
      <c r="B164">
        <f>HYPERLINK("https://www.suredividend.com/sure-analysis-TMP/","Tompkins Financial Corp")</f>
        <v>0</v>
      </c>
      <c r="C164" t="s">
        <v>885</v>
      </c>
      <c r="D164">
        <v>83</v>
      </c>
      <c r="E164">
        <v>77.58</v>
      </c>
      <c r="F164">
        <v>66</v>
      </c>
      <c r="G164">
        <v>1.175454545454546</v>
      </c>
      <c r="H164">
        <v>0.03093580819798917</v>
      </c>
      <c r="I164">
        <v>-0.03181392505624403</v>
      </c>
      <c r="J164">
        <v>-0.01</v>
      </c>
      <c r="K164">
        <v>-0.005406334847468219</v>
      </c>
      <c r="L164" t="s">
        <v>886</v>
      </c>
      <c r="M164" t="s">
        <v>886</v>
      </c>
      <c r="N164">
        <v>12.93</v>
      </c>
      <c r="O164">
        <v>6</v>
      </c>
      <c r="P164">
        <v>2.4</v>
      </c>
      <c r="Q164">
        <v>0.4</v>
      </c>
      <c r="R164">
        <v>36</v>
      </c>
      <c r="S164">
        <v>0.02001586442069092</v>
      </c>
      <c r="T164" t="s">
        <v>938</v>
      </c>
      <c r="U164">
        <v>-0.040912653573892</v>
      </c>
      <c r="V164" t="s">
        <v>986</v>
      </c>
      <c r="W164" t="s">
        <v>994</v>
      </c>
      <c r="X164">
        <v>1123.649868</v>
      </c>
      <c r="Y164" s="2">
        <v>44864</v>
      </c>
      <c r="Z164" t="s">
        <v>1005</v>
      </c>
    </row>
    <row r="165" spans="1:26">
      <c r="A165" s="1" t="s">
        <v>189</v>
      </c>
      <c r="B165">
        <f>HYPERLINK("https://www.suredividend.com/sure-analysis-XOM/","Exxon Mobil Corp.")</f>
        <v>0</v>
      </c>
      <c r="C165" t="s">
        <v>885</v>
      </c>
      <c r="D165">
        <v>111</v>
      </c>
      <c r="E165">
        <v>110.3</v>
      </c>
      <c r="F165">
        <v>169</v>
      </c>
      <c r="G165">
        <v>0.6526627218934911</v>
      </c>
      <c r="H165">
        <v>0.0330009066183137</v>
      </c>
      <c r="I165">
        <v>0.08908615831659916</v>
      </c>
      <c r="J165">
        <v>-0.13</v>
      </c>
      <c r="K165">
        <v>-0.01354637375851719</v>
      </c>
      <c r="L165" t="s">
        <v>886</v>
      </c>
      <c r="M165" t="s">
        <v>886</v>
      </c>
      <c r="N165">
        <v>8.484615384615385</v>
      </c>
      <c r="O165">
        <v>13</v>
      </c>
      <c r="P165">
        <v>3.64</v>
      </c>
      <c r="Q165">
        <v>0.28</v>
      </c>
      <c r="R165">
        <v>40</v>
      </c>
      <c r="S165">
        <v>0.01075516236974039</v>
      </c>
      <c r="T165" t="s">
        <v>907</v>
      </c>
      <c r="U165">
        <v>0.8864213577787081</v>
      </c>
      <c r="V165" t="s">
        <v>986</v>
      </c>
      <c r="W165" t="s">
        <v>999</v>
      </c>
      <c r="X165">
        <v>454247.764336</v>
      </c>
      <c r="Y165" s="2">
        <v>44866</v>
      </c>
      <c r="Z165" t="s">
        <v>1003</v>
      </c>
    </row>
    <row r="166" spans="1:26">
      <c r="A166" s="1" t="s">
        <v>190</v>
      </c>
      <c r="B166">
        <f>HYPERLINK("https://www.suredividend.com/sure-analysis-CAH/","Cardinal Health, Inc.")</f>
        <v>0</v>
      </c>
      <c r="C166" t="s">
        <v>885</v>
      </c>
      <c r="D166">
        <v>80</v>
      </c>
      <c r="E166">
        <v>76.87</v>
      </c>
      <c r="F166">
        <v>52</v>
      </c>
      <c r="G166">
        <v>1.478269230769231</v>
      </c>
      <c r="H166">
        <v>0.02575777286327566</v>
      </c>
      <c r="I166">
        <v>-0.07519686667231984</v>
      </c>
      <c r="J166">
        <v>0.03</v>
      </c>
      <c r="K166">
        <v>-0.01454895507916965</v>
      </c>
      <c r="L166" t="s">
        <v>886</v>
      </c>
      <c r="M166" t="s">
        <v>887</v>
      </c>
      <c r="N166">
        <v>14.69789674952199</v>
      </c>
      <c r="O166">
        <v>5.23</v>
      </c>
      <c r="P166">
        <v>1.98</v>
      </c>
      <c r="Q166">
        <v>0.378585086042065</v>
      </c>
      <c r="R166">
        <v>35</v>
      </c>
      <c r="S166">
        <v>0.04008868188296377</v>
      </c>
      <c r="T166" t="s">
        <v>898</v>
      </c>
      <c r="U166">
        <v>0.535146405077346</v>
      </c>
      <c r="V166" t="s">
        <v>986</v>
      </c>
      <c r="W166" t="s">
        <v>998</v>
      </c>
      <c r="X166">
        <v>20150.244654</v>
      </c>
      <c r="Y166" s="2">
        <v>44873</v>
      </c>
      <c r="Z166" t="s">
        <v>1001</v>
      </c>
    </row>
    <row r="167" spans="1:26">
      <c r="A167" s="1" t="s">
        <v>191</v>
      </c>
      <c r="B167">
        <f>HYPERLINK("https://www.suredividend.com/sure-analysis-CWT/","California Water Service Group")</f>
        <v>0</v>
      </c>
      <c r="C167" t="s">
        <v>885</v>
      </c>
      <c r="D167">
        <v>61</v>
      </c>
      <c r="E167">
        <v>60.64</v>
      </c>
      <c r="F167">
        <v>39</v>
      </c>
      <c r="G167">
        <v>1.554871794871795</v>
      </c>
      <c r="H167">
        <v>0.01649076517150396</v>
      </c>
      <c r="I167">
        <v>-0.08449423615253249</v>
      </c>
      <c r="J167">
        <v>0.05</v>
      </c>
      <c r="K167">
        <v>-0.01665640245869016</v>
      </c>
      <c r="L167" t="s">
        <v>886</v>
      </c>
      <c r="M167" t="s">
        <v>887</v>
      </c>
      <c r="N167">
        <v>31.0974358974359</v>
      </c>
      <c r="O167">
        <v>1.95</v>
      </c>
      <c r="P167">
        <v>1</v>
      </c>
      <c r="Q167">
        <v>0.5128205128205129</v>
      </c>
      <c r="R167">
        <v>54</v>
      </c>
      <c r="S167">
        <v>0.0602809527753625</v>
      </c>
      <c r="T167" t="s">
        <v>911</v>
      </c>
      <c r="U167">
        <v>-0.135397789732278</v>
      </c>
      <c r="V167" t="s">
        <v>986</v>
      </c>
      <c r="W167" t="s">
        <v>997</v>
      </c>
      <c r="X167">
        <v>3324.52736</v>
      </c>
      <c r="Y167" s="2">
        <v>44864</v>
      </c>
      <c r="Z167" t="s">
        <v>1007</v>
      </c>
    </row>
    <row r="168" spans="1:26">
      <c r="A168" s="1" t="s">
        <v>192</v>
      </c>
      <c r="B168">
        <f>HYPERLINK("https://www.suredividend.com/sure-analysis-CVX/","Chevron Corp.")</f>
        <v>0</v>
      </c>
      <c r="C168" t="s">
        <v>885</v>
      </c>
      <c r="D168">
        <v>181</v>
      </c>
      <c r="E168">
        <v>179.49</v>
      </c>
      <c r="F168">
        <v>252</v>
      </c>
      <c r="G168">
        <v>0.7122619047619048</v>
      </c>
      <c r="H168">
        <v>0.0316452170037328</v>
      </c>
      <c r="I168">
        <v>0.07021752080843013</v>
      </c>
      <c r="J168">
        <v>-0.12</v>
      </c>
      <c r="K168">
        <v>-0.0200978178678527</v>
      </c>
      <c r="L168" t="s">
        <v>886</v>
      </c>
      <c r="M168" t="s">
        <v>886</v>
      </c>
      <c r="N168">
        <v>9.971666666666668</v>
      </c>
      <c r="O168">
        <v>18</v>
      </c>
      <c r="P168">
        <v>5.68</v>
      </c>
      <c r="Q168">
        <v>0.3155555555555555</v>
      </c>
      <c r="R168">
        <v>35</v>
      </c>
      <c r="S168">
        <v>0.008991765339240843</v>
      </c>
      <c r="T168" t="s">
        <v>894</v>
      </c>
      <c r="U168">
        <v>0.583544337300502</v>
      </c>
      <c r="V168" t="s">
        <v>986</v>
      </c>
      <c r="W168" t="s">
        <v>999</v>
      </c>
      <c r="X168">
        <v>347068.782622</v>
      </c>
      <c r="Y168" s="2">
        <v>44866</v>
      </c>
      <c r="Z168" t="s">
        <v>1003</v>
      </c>
    </row>
    <row r="169" spans="1:26">
      <c r="A169" s="1" t="s">
        <v>193</v>
      </c>
      <c r="B169">
        <f>HYPERLINK("https://www.suredividend.com/sure-analysis-TR/","Tootsie Roll Industries, Inc.")</f>
        <v>0</v>
      </c>
      <c r="C169" t="s">
        <v>885</v>
      </c>
      <c r="D169">
        <v>40</v>
      </c>
      <c r="E169">
        <v>42.57</v>
      </c>
      <c r="F169">
        <v>30</v>
      </c>
      <c r="G169">
        <v>1.419</v>
      </c>
      <c r="H169">
        <v>0.008456659619450317</v>
      </c>
      <c r="I169">
        <v>-0.06759730332284941</v>
      </c>
      <c r="J169">
        <v>0.03</v>
      </c>
      <c r="K169">
        <v>-0.02988372886500357</v>
      </c>
      <c r="L169" t="s">
        <v>886</v>
      </c>
      <c r="M169" t="s">
        <v>573</v>
      </c>
      <c r="N169">
        <v>42.57</v>
      </c>
      <c r="O169">
        <v>1</v>
      </c>
      <c r="P169">
        <v>0.36</v>
      </c>
      <c r="Q169">
        <v>0.36</v>
      </c>
      <c r="R169">
        <v>54</v>
      </c>
      <c r="S169">
        <v>0</v>
      </c>
      <c r="T169" t="s">
        <v>909</v>
      </c>
      <c r="U169">
        <v>0.214820987266781</v>
      </c>
      <c r="V169" t="s">
        <v>986</v>
      </c>
      <c r="W169" t="s">
        <v>996</v>
      </c>
      <c r="X169">
        <v>1715.306725</v>
      </c>
      <c r="Y169" s="2">
        <v>44867</v>
      </c>
      <c r="Z169" t="s">
        <v>1015</v>
      </c>
    </row>
    <row r="170" spans="1:26">
      <c r="A170" s="1" t="s">
        <v>194</v>
      </c>
      <c r="B170">
        <f>HYPERLINK("https://www.suredividend.com/sure-analysis-CB/","Chubb Limited")</f>
        <v>0</v>
      </c>
      <c r="C170" t="s">
        <v>885</v>
      </c>
      <c r="D170">
        <v>212</v>
      </c>
      <c r="E170">
        <v>220.6</v>
      </c>
      <c r="F170">
        <v>133</v>
      </c>
      <c r="G170">
        <v>1.658646616541353</v>
      </c>
      <c r="H170">
        <v>0.01504986400725295</v>
      </c>
      <c r="I170">
        <v>-0.0962480932756079</v>
      </c>
      <c r="J170">
        <v>0.05</v>
      </c>
      <c r="K170">
        <v>-0.03101367961602153</v>
      </c>
      <c r="L170" t="s">
        <v>886</v>
      </c>
      <c r="M170" t="s">
        <v>887</v>
      </c>
      <c r="N170">
        <v>14.32467532467532</v>
      </c>
      <c r="O170">
        <v>15.4</v>
      </c>
      <c r="P170">
        <v>3.32</v>
      </c>
      <c r="Q170">
        <v>0.2155844155844156</v>
      </c>
      <c r="R170">
        <v>29</v>
      </c>
      <c r="S170">
        <v>0.04003668004870131</v>
      </c>
      <c r="T170" t="s">
        <v>888</v>
      </c>
      <c r="U170">
        <v>0.160909045460166</v>
      </c>
      <c r="V170" t="s">
        <v>986</v>
      </c>
      <c r="W170" t="s">
        <v>994</v>
      </c>
      <c r="X170">
        <v>91560.090444</v>
      </c>
      <c r="Y170" s="2">
        <v>44877</v>
      </c>
      <c r="Z170" t="s">
        <v>1007</v>
      </c>
    </row>
    <row r="171" spans="1:26">
      <c r="A171" s="1" t="s">
        <v>195</v>
      </c>
      <c r="B171">
        <f>HYPERLINK("https://www.suredividend.com/sure-analysis-RLI/","RLI Corp.")</f>
        <v>0</v>
      </c>
      <c r="C171" t="s">
        <v>885</v>
      </c>
      <c r="D171">
        <v>130</v>
      </c>
      <c r="E171">
        <v>131.27</v>
      </c>
      <c r="F171">
        <v>87</v>
      </c>
      <c r="G171">
        <v>1.508850574712644</v>
      </c>
      <c r="H171">
        <v>0.007922602270130266</v>
      </c>
      <c r="I171">
        <v>-0.07897641077451045</v>
      </c>
      <c r="J171">
        <v>0.03</v>
      </c>
      <c r="K171">
        <v>-0.04024342111120105</v>
      </c>
      <c r="L171" t="s">
        <v>886</v>
      </c>
      <c r="M171" t="s">
        <v>573</v>
      </c>
      <c r="N171">
        <v>28.53695652173914</v>
      </c>
      <c r="O171">
        <v>4.6</v>
      </c>
      <c r="P171">
        <v>1.04</v>
      </c>
      <c r="Q171">
        <v>0.2260869565217392</v>
      </c>
      <c r="R171">
        <v>47</v>
      </c>
      <c r="S171">
        <v>0.05042164036374652</v>
      </c>
      <c r="T171" t="s">
        <v>917</v>
      </c>
      <c r="U171">
        <v>0.179469485820668</v>
      </c>
      <c r="V171" t="s">
        <v>986</v>
      </c>
      <c r="W171" t="s">
        <v>994</v>
      </c>
      <c r="X171">
        <v>5956.792507</v>
      </c>
      <c r="Y171" s="2">
        <v>44877</v>
      </c>
      <c r="Z171" t="s">
        <v>1007</v>
      </c>
    </row>
    <row r="172" spans="1:26">
      <c r="A172" s="1" t="s">
        <v>196</v>
      </c>
      <c r="B172">
        <f>HYPERLINK("https://www.suredividend.com/sure-analysis-BMI/","Badger Meter Inc.")</f>
        <v>0</v>
      </c>
      <c r="C172" t="s">
        <v>885</v>
      </c>
      <c r="D172">
        <v>97</v>
      </c>
      <c r="E172">
        <v>109.03</v>
      </c>
      <c r="F172">
        <v>59</v>
      </c>
      <c r="G172">
        <v>1.847966101694915</v>
      </c>
      <c r="H172">
        <v>0.008254608823259653</v>
      </c>
      <c r="I172">
        <v>-0.1155746137859267</v>
      </c>
      <c r="J172">
        <v>0.07000000000000001</v>
      </c>
      <c r="K172">
        <v>-0.0405137052392569</v>
      </c>
      <c r="L172" t="s">
        <v>886</v>
      </c>
      <c r="M172" t="s">
        <v>572</v>
      </c>
      <c r="N172">
        <v>48.24336283185841</v>
      </c>
      <c r="O172">
        <v>2.26</v>
      </c>
      <c r="P172">
        <v>0.9</v>
      </c>
      <c r="Q172">
        <v>0.3982300884955753</v>
      </c>
      <c r="R172">
        <v>30</v>
      </c>
      <c r="S172">
        <v>0.09238846414037294</v>
      </c>
      <c r="T172" t="s">
        <v>899</v>
      </c>
      <c r="U172">
        <v>0.041292604845549</v>
      </c>
      <c r="V172" t="s">
        <v>986</v>
      </c>
      <c r="W172" t="s">
        <v>991</v>
      </c>
      <c r="X172">
        <v>3191.215315</v>
      </c>
      <c r="Y172" s="2">
        <v>44854</v>
      </c>
      <c r="Z172" t="s">
        <v>1001</v>
      </c>
    </row>
    <row r="173" spans="1:26">
      <c r="A173" s="1" t="s">
        <v>197</v>
      </c>
      <c r="B173">
        <f>HYPERLINK("https://www.suredividend.com/sure-analysis-NUE/","Nucor Corp.")</f>
        <v>0</v>
      </c>
      <c r="C173" t="s">
        <v>885</v>
      </c>
      <c r="D173">
        <v>135.6</v>
      </c>
      <c r="E173">
        <v>131.81</v>
      </c>
      <c r="F173">
        <v>60</v>
      </c>
      <c r="G173">
        <v>2.196833333333333</v>
      </c>
      <c r="H173">
        <v>0.01547682269933996</v>
      </c>
      <c r="I173">
        <v>-0.1456406472192516</v>
      </c>
      <c r="J173">
        <v>0.054</v>
      </c>
      <c r="K173">
        <v>-0.07611818006691051</v>
      </c>
      <c r="L173" t="s">
        <v>886</v>
      </c>
      <c r="M173" t="s">
        <v>887</v>
      </c>
      <c r="N173">
        <v>4.465108401084011</v>
      </c>
      <c r="O173">
        <v>29.52</v>
      </c>
      <c r="P173">
        <v>2.04</v>
      </c>
      <c r="Q173">
        <v>0.06910569105691057</v>
      </c>
      <c r="R173">
        <v>50</v>
      </c>
      <c r="S173">
        <v>0.01521611448235172</v>
      </c>
      <c r="T173" t="s">
        <v>905</v>
      </c>
      <c r="U173">
        <v>0.176971679816556</v>
      </c>
      <c r="V173" t="s">
        <v>986</v>
      </c>
      <c r="W173" t="s">
        <v>990</v>
      </c>
      <c r="X173">
        <v>33815.026415</v>
      </c>
      <c r="Y173" s="2">
        <v>44858</v>
      </c>
      <c r="Z173" t="s">
        <v>1009</v>
      </c>
    </row>
    <row r="174" spans="1:26">
      <c r="A174" s="1" t="s">
        <v>198</v>
      </c>
      <c r="B174">
        <f>HYPERLINK("https://www.suredividend.com/sure-analysis-RPRX/","Royalty Pharma plc")</f>
        <v>0</v>
      </c>
      <c r="C174" t="s">
        <v>883</v>
      </c>
      <c r="D174">
        <v>43</v>
      </c>
      <c r="E174">
        <v>39.52</v>
      </c>
      <c r="F174">
        <v>68</v>
      </c>
      <c r="G174">
        <v>0.5811764705882353</v>
      </c>
      <c r="H174">
        <v>0.01923076923076923</v>
      </c>
      <c r="I174">
        <v>0.114649679170155</v>
      </c>
      <c r="J174">
        <v>0.06</v>
      </c>
      <c r="K174">
        <v>0.1941354293228787</v>
      </c>
      <c r="L174" t="s">
        <v>887</v>
      </c>
      <c r="M174" t="s">
        <v>573</v>
      </c>
      <c r="N174">
        <v>11.62352941176471</v>
      </c>
      <c r="O174">
        <v>3.4</v>
      </c>
      <c r="P174">
        <v>0.76</v>
      </c>
      <c r="Q174">
        <v>0.2235294117647059</v>
      </c>
      <c r="R174">
        <v>2</v>
      </c>
      <c r="S174">
        <v>0.09012036734626272</v>
      </c>
      <c r="T174" t="s">
        <v>894</v>
      </c>
      <c r="U174">
        <v>0.004080346753253</v>
      </c>
      <c r="V174" t="s">
        <v>986</v>
      </c>
      <c r="W174" t="s">
        <v>998</v>
      </c>
      <c r="X174">
        <v>17432.438142</v>
      </c>
      <c r="Y174" s="2">
        <v>44885</v>
      </c>
      <c r="Z174" t="s">
        <v>1002</v>
      </c>
    </row>
    <row r="175" spans="1:26">
      <c r="A175" s="1" t="s">
        <v>199</v>
      </c>
      <c r="B175">
        <f>HYPERLINK("https://www.suredividend.com/sure-analysis-BAX/","Baxter International Inc.")</f>
        <v>0</v>
      </c>
      <c r="C175" t="s">
        <v>883</v>
      </c>
      <c r="D175">
        <v>52</v>
      </c>
      <c r="E175">
        <v>50.97</v>
      </c>
      <c r="F175">
        <v>70</v>
      </c>
      <c r="G175">
        <v>0.7281428571428571</v>
      </c>
      <c r="H175">
        <v>0.02275848538355895</v>
      </c>
      <c r="I175">
        <v>0.06550791774174813</v>
      </c>
      <c r="J175">
        <v>0.1</v>
      </c>
      <c r="K175">
        <v>0.1878361817863947</v>
      </c>
      <c r="L175" t="s">
        <v>887</v>
      </c>
      <c r="M175" t="s">
        <v>573</v>
      </c>
      <c r="N175">
        <v>14.56285714285714</v>
      </c>
      <c r="O175">
        <v>3.5</v>
      </c>
      <c r="P175">
        <v>1.16</v>
      </c>
      <c r="Q175">
        <v>0.3314285714285714</v>
      </c>
      <c r="R175">
        <v>6</v>
      </c>
      <c r="S175">
        <v>0.1002128764755552</v>
      </c>
      <c r="T175" t="s">
        <v>889</v>
      </c>
      <c r="U175">
        <v>-0.4000762704682631</v>
      </c>
      <c r="V175" t="s">
        <v>986</v>
      </c>
      <c r="W175" t="s">
        <v>998</v>
      </c>
      <c r="X175">
        <v>25695.035086</v>
      </c>
      <c r="Y175" s="2">
        <v>44875</v>
      </c>
      <c r="Z175" t="s">
        <v>1002</v>
      </c>
    </row>
    <row r="176" spans="1:26">
      <c r="A176" s="1" t="s">
        <v>200</v>
      </c>
      <c r="B176">
        <f>HYPERLINK("https://www.suredividend.com/sure-analysis-BNS/","Bank Of Nova Scotia")</f>
        <v>0</v>
      </c>
      <c r="C176" t="s">
        <v>883</v>
      </c>
      <c r="D176">
        <v>52</v>
      </c>
      <c r="E176">
        <v>48.98</v>
      </c>
      <c r="F176">
        <v>67</v>
      </c>
      <c r="G176">
        <v>0.7310447761194029</v>
      </c>
      <c r="H176">
        <v>0.06227031441404655</v>
      </c>
      <c r="I176">
        <v>0.06466065392400444</v>
      </c>
      <c r="J176">
        <v>0.048</v>
      </c>
      <c r="K176">
        <v>0.1632981255875232</v>
      </c>
      <c r="L176" t="s">
        <v>887</v>
      </c>
      <c r="M176" t="s">
        <v>886</v>
      </c>
      <c r="N176">
        <v>7.774603174603175</v>
      </c>
      <c r="O176">
        <v>6.3</v>
      </c>
      <c r="P176">
        <v>3.05</v>
      </c>
      <c r="Q176">
        <v>0.4841269841269841</v>
      </c>
      <c r="R176">
        <v>11</v>
      </c>
      <c r="S176">
        <v>0.08565440407572367</v>
      </c>
      <c r="T176" t="s">
        <v>939</v>
      </c>
      <c r="U176">
        <v>-0.280871293873751</v>
      </c>
      <c r="V176" t="s">
        <v>986</v>
      </c>
      <c r="W176" t="s">
        <v>994</v>
      </c>
      <c r="X176">
        <v>58353.552153</v>
      </c>
      <c r="Y176" s="2">
        <v>44899</v>
      </c>
      <c r="Z176" t="s">
        <v>1014</v>
      </c>
    </row>
    <row r="177" spans="1:26">
      <c r="A177" s="1" t="s">
        <v>201</v>
      </c>
      <c r="B177">
        <f>HYPERLINK("https://www.suredividend.com/sure-analysis-AAP/","Advance Auto Parts Inc")</f>
        <v>0</v>
      </c>
      <c r="C177" t="s">
        <v>883</v>
      </c>
      <c r="D177">
        <v>148</v>
      </c>
      <c r="E177">
        <v>147.03</v>
      </c>
      <c r="F177">
        <v>216</v>
      </c>
      <c r="G177">
        <v>0.6806944444444445</v>
      </c>
      <c r="H177">
        <v>0.04080799836768007</v>
      </c>
      <c r="I177">
        <v>0.07996469633044079</v>
      </c>
      <c r="J177">
        <v>0.05</v>
      </c>
      <c r="K177">
        <v>0.161260556956933</v>
      </c>
      <c r="L177" t="s">
        <v>887</v>
      </c>
      <c r="M177" t="s">
        <v>887</v>
      </c>
      <c r="N177">
        <v>11.57716535433071</v>
      </c>
      <c r="O177">
        <v>12.7</v>
      </c>
      <c r="P177">
        <v>6</v>
      </c>
      <c r="Q177">
        <v>0.4724409448818898</v>
      </c>
      <c r="R177">
        <v>3</v>
      </c>
      <c r="S177">
        <v>0.05006335758366887</v>
      </c>
      <c r="T177" t="s">
        <v>888</v>
      </c>
      <c r="U177">
        <v>-0.358691683928298</v>
      </c>
      <c r="V177" t="s">
        <v>986</v>
      </c>
      <c r="W177" t="s">
        <v>992</v>
      </c>
      <c r="X177">
        <v>8839.18468</v>
      </c>
      <c r="Y177" s="2">
        <v>44889</v>
      </c>
      <c r="Z177" t="s">
        <v>1001</v>
      </c>
    </row>
    <row r="178" spans="1:26">
      <c r="A178" s="1" t="s">
        <v>202</v>
      </c>
      <c r="B178">
        <f>HYPERLINK("https://www.suredividend.com/sure-analysis-VZ/","Verizon Communications Inc")</f>
        <v>0</v>
      </c>
      <c r="C178" t="s">
        <v>883</v>
      </c>
      <c r="D178">
        <v>35</v>
      </c>
      <c r="E178">
        <v>39.4</v>
      </c>
      <c r="F178">
        <v>57</v>
      </c>
      <c r="G178">
        <v>0.6912280701754385</v>
      </c>
      <c r="H178">
        <v>0.06624365482233502</v>
      </c>
      <c r="I178">
        <v>0.076652930360678</v>
      </c>
      <c r="J178">
        <v>0.04</v>
      </c>
      <c r="K178">
        <v>0.1612452334924903</v>
      </c>
      <c r="L178" t="s">
        <v>887</v>
      </c>
      <c r="M178" t="s">
        <v>886</v>
      </c>
      <c r="N178">
        <v>7.606177606177607</v>
      </c>
      <c r="O178">
        <v>5.18</v>
      </c>
      <c r="P178">
        <v>2.61</v>
      </c>
      <c r="Q178">
        <v>0.5038610038610039</v>
      </c>
      <c r="R178">
        <v>18</v>
      </c>
      <c r="S178">
        <v>0.01988310171094443</v>
      </c>
      <c r="T178" t="s">
        <v>903</v>
      </c>
      <c r="U178">
        <v>-0.204665424545155</v>
      </c>
      <c r="V178" t="s">
        <v>986</v>
      </c>
      <c r="W178" t="s">
        <v>995</v>
      </c>
      <c r="X178">
        <v>165472.807412</v>
      </c>
      <c r="Y178" s="2">
        <v>44856</v>
      </c>
      <c r="Z178" t="s">
        <v>1001</v>
      </c>
    </row>
    <row r="179" spans="1:26">
      <c r="A179" s="1" t="s">
        <v>203</v>
      </c>
      <c r="B179">
        <f>HYPERLINK("https://www.suredividend.com/sure-analysis-BIP/","Brookfield Infrastructure Partners L.P")</f>
        <v>0</v>
      </c>
      <c r="C179" t="s">
        <v>883</v>
      </c>
      <c r="D179">
        <v>36</v>
      </c>
      <c r="E179">
        <v>30.99</v>
      </c>
      <c r="F179">
        <v>40</v>
      </c>
      <c r="G179">
        <v>0.7747499999999999</v>
      </c>
      <c r="H179">
        <v>0.04646660212971927</v>
      </c>
      <c r="I179">
        <v>0.05236811937076125</v>
      </c>
      <c r="J179">
        <v>0.07000000000000001</v>
      </c>
      <c r="K179">
        <v>0.1586608718492664</v>
      </c>
      <c r="L179" t="s">
        <v>887</v>
      </c>
      <c r="M179" t="s">
        <v>886</v>
      </c>
      <c r="N179">
        <v>11.60674157303371</v>
      </c>
      <c r="O179">
        <v>2.67</v>
      </c>
      <c r="P179">
        <v>1.44</v>
      </c>
      <c r="Q179">
        <v>0.5393258426966292</v>
      </c>
      <c r="R179">
        <v>13</v>
      </c>
      <c r="S179">
        <v>0.06032490771095733</v>
      </c>
      <c r="T179" t="s">
        <v>917</v>
      </c>
      <c r="U179">
        <v>-0.199013693531628</v>
      </c>
      <c r="V179" t="s">
        <v>988</v>
      </c>
      <c r="W179" t="s">
        <v>997</v>
      </c>
      <c r="X179">
        <v>14202.017308</v>
      </c>
      <c r="Y179" s="2">
        <v>44874</v>
      </c>
      <c r="Z179" t="s">
        <v>1014</v>
      </c>
    </row>
    <row r="180" spans="1:26">
      <c r="A180" s="1" t="s">
        <v>204</v>
      </c>
      <c r="B180">
        <f>HYPERLINK("https://www.suredividend.com/sure-analysis-NRG/","NRG Energy Inc.")</f>
        <v>0</v>
      </c>
      <c r="C180" t="s">
        <v>884</v>
      </c>
      <c r="D180">
        <v>45</v>
      </c>
      <c r="E180">
        <v>31.82</v>
      </c>
      <c r="F180">
        <v>41</v>
      </c>
      <c r="G180">
        <v>0.7760975609756098</v>
      </c>
      <c r="H180">
        <v>0.04399748585795097</v>
      </c>
      <c r="I180">
        <v>0.05200241375724191</v>
      </c>
      <c r="J180">
        <v>0.07000000000000001</v>
      </c>
      <c r="K180">
        <v>0.1549168695156062</v>
      </c>
      <c r="L180" t="s">
        <v>887</v>
      </c>
      <c r="M180" t="s">
        <v>886</v>
      </c>
      <c r="N180">
        <v>8.623306233062332</v>
      </c>
      <c r="O180">
        <v>3.69</v>
      </c>
      <c r="P180">
        <v>1.4</v>
      </c>
      <c r="Q180">
        <v>0.3794037940379403</v>
      </c>
      <c r="R180">
        <v>3</v>
      </c>
      <c r="S180">
        <v>0.03959498820755258</v>
      </c>
      <c r="T180" t="s">
        <v>932</v>
      </c>
      <c r="U180">
        <v>-0.231636671842212</v>
      </c>
      <c r="V180" t="s">
        <v>986</v>
      </c>
      <c r="W180" t="s">
        <v>997</v>
      </c>
      <c r="X180">
        <v>7330.825403</v>
      </c>
      <c r="Y180" s="2">
        <v>44873</v>
      </c>
      <c r="Z180" t="s">
        <v>1017</v>
      </c>
    </row>
    <row r="181" spans="1:26">
      <c r="A181" s="1" t="s">
        <v>205</v>
      </c>
      <c r="B181">
        <f>HYPERLINK("https://www.suredividend.com/sure-analysis-CMCSA/","Comcast Corp")</f>
        <v>0</v>
      </c>
      <c r="C181" t="s">
        <v>883</v>
      </c>
      <c r="D181">
        <v>32</v>
      </c>
      <c r="E181">
        <v>34.97</v>
      </c>
      <c r="F181">
        <v>43</v>
      </c>
      <c r="G181">
        <v>0.8132558139534883</v>
      </c>
      <c r="H181">
        <v>0.03088361452673721</v>
      </c>
      <c r="I181">
        <v>0.04220838915041702</v>
      </c>
      <c r="J181">
        <v>0.08</v>
      </c>
      <c r="K181">
        <v>0.1496221943723055</v>
      </c>
      <c r="L181" t="s">
        <v>887</v>
      </c>
      <c r="M181" t="s">
        <v>887</v>
      </c>
      <c r="N181">
        <v>9.768156424581004</v>
      </c>
      <c r="O181">
        <v>3.58</v>
      </c>
      <c r="P181">
        <v>1.08</v>
      </c>
      <c r="Q181">
        <v>0.3016759776536313</v>
      </c>
      <c r="R181">
        <v>14</v>
      </c>
      <c r="S181">
        <v>0.08977506465822516</v>
      </c>
      <c r="T181" t="s">
        <v>940</v>
      </c>
      <c r="U181">
        <v>-0.295201241509966</v>
      </c>
      <c r="V181" t="s">
        <v>986</v>
      </c>
      <c r="W181" t="s">
        <v>995</v>
      </c>
      <c r="X181">
        <v>150859.332235</v>
      </c>
      <c r="Y181" s="2">
        <v>44867</v>
      </c>
      <c r="Z181" t="s">
        <v>1014</v>
      </c>
    </row>
    <row r="182" spans="1:26">
      <c r="A182" s="1" t="s">
        <v>206</v>
      </c>
      <c r="B182">
        <f>HYPERLINK("https://www.suredividend.com/sure-analysis-CTSH/","Cognizant Technology Solutions Corp.")</f>
        <v>0</v>
      </c>
      <c r="C182" t="s">
        <v>883</v>
      </c>
      <c r="D182">
        <v>53</v>
      </c>
      <c r="E182">
        <v>57.19</v>
      </c>
      <c r="F182">
        <v>71</v>
      </c>
      <c r="G182">
        <v>0.8054929577464789</v>
      </c>
      <c r="H182">
        <v>0.0188844203532086</v>
      </c>
      <c r="I182">
        <v>0.04420952505676601</v>
      </c>
      <c r="J182">
        <v>0.08</v>
      </c>
      <c r="K182">
        <v>0.1422404369872818</v>
      </c>
      <c r="L182" t="s">
        <v>887</v>
      </c>
      <c r="M182" t="s">
        <v>573</v>
      </c>
      <c r="N182">
        <v>12.88063063063063</v>
      </c>
      <c r="O182">
        <v>4.44</v>
      </c>
      <c r="P182">
        <v>1.08</v>
      </c>
      <c r="Q182">
        <v>0.2432432432432432</v>
      </c>
      <c r="R182">
        <v>3</v>
      </c>
      <c r="S182">
        <v>0.08178074106640287</v>
      </c>
      <c r="T182" t="s">
        <v>894</v>
      </c>
      <c r="U182">
        <v>-0.347030581895198</v>
      </c>
      <c r="V182" t="s">
        <v>986</v>
      </c>
      <c r="W182" t="s">
        <v>993</v>
      </c>
      <c r="X182">
        <v>29391.166696</v>
      </c>
      <c r="Y182" s="2">
        <v>44872</v>
      </c>
      <c r="Z182" t="s">
        <v>1003</v>
      </c>
    </row>
    <row r="183" spans="1:26">
      <c r="A183" s="1" t="s">
        <v>207</v>
      </c>
      <c r="B183">
        <f>HYPERLINK("https://www.suredividend.com/sure-analysis-BMO/","Bank of Montreal")</f>
        <v>0</v>
      </c>
      <c r="C183" t="s">
        <v>883</v>
      </c>
      <c r="D183">
        <v>94</v>
      </c>
      <c r="E183">
        <v>90.59999999999999</v>
      </c>
      <c r="F183">
        <v>115</v>
      </c>
      <c r="G183">
        <v>0.7878260869565217</v>
      </c>
      <c r="H183">
        <v>0.04613686534216335</v>
      </c>
      <c r="I183">
        <v>0.04885131861526038</v>
      </c>
      <c r="J183">
        <v>0.055</v>
      </c>
      <c r="K183">
        <v>0.1420463096621927</v>
      </c>
      <c r="L183" t="s">
        <v>887</v>
      </c>
      <c r="M183" t="s">
        <v>886</v>
      </c>
      <c r="N183">
        <v>8.762088974854931</v>
      </c>
      <c r="O183">
        <v>10.34</v>
      </c>
      <c r="P183">
        <v>4.18</v>
      </c>
      <c r="Q183">
        <v>0.4042553191489361</v>
      </c>
      <c r="R183">
        <v>10</v>
      </c>
      <c r="S183">
        <v>0.06990265897016879</v>
      </c>
      <c r="T183" t="s">
        <v>932</v>
      </c>
      <c r="U183">
        <v>-0.119271620131934</v>
      </c>
      <c r="V183" t="s">
        <v>986</v>
      </c>
      <c r="W183" t="s">
        <v>994</v>
      </c>
      <c r="X183">
        <v>63460.926557</v>
      </c>
      <c r="Y183" s="2">
        <v>44907</v>
      </c>
      <c r="Z183" t="s">
        <v>1014</v>
      </c>
    </row>
    <row r="184" spans="1:26">
      <c r="A184" s="1" t="s">
        <v>208</v>
      </c>
      <c r="B184">
        <f>HYPERLINK("https://www.suredividend.com/sure-analysis-NTRS/","Northern Trust Corp.")</f>
        <v>0</v>
      </c>
      <c r="C184" t="s">
        <v>883</v>
      </c>
      <c r="D184">
        <v>109</v>
      </c>
      <c r="E184">
        <v>88.48999999999999</v>
      </c>
      <c r="F184">
        <v>109</v>
      </c>
      <c r="G184">
        <v>0.8118348623853211</v>
      </c>
      <c r="H184">
        <v>0.03390213583455758</v>
      </c>
      <c r="I184">
        <v>0.04257296869143601</v>
      </c>
      <c r="J184">
        <v>0.07000000000000001</v>
      </c>
      <c r="K184">
        <v>0.1405496523514138</v>
      </c>
      <c r="L184" t="s">
        <v>887</v>
      </c>
      <c r="M184" t="s">
        <v>887</v>
      </c>
      <c r="N184">
        <v>12.20551724137931</v>
      </c>
      <c r="O184">
        <v>7.25</v>
      </c>
      <c r="P184">
        <v>3</v>
      </c>
      <c r="Q184">
        <v>0.4137931034482759</v>
      </c>
      <c r="R184">
        <v>1</v>
      </c>
      <c r="S184">
        <v>0.05975292415044642</v>
      </c>
      <c r="T184" t="s">
        <v>920</v>
      </c>
      <c r="U184">
        <v>-0.236895322113995</v>
      </c>
      <c r="V184" t="s">
        <v>986</v>
      </c>
      <c r="W184" t="s">
        <v>994</v>
      </c>
      <c r="X184">
        <v>18442.702904</v>
      </c>
      <c r="Y184" s="2">
        <v>44853</v>
      </c>
      <c r="Z184" t="s">
        <v>1004</v>
      </c>
    </row>
    <row r="185" spans="1:26">
      <c r="A185" s="1" t="s">
        <v>209</v>
      </c>
      <c r="B185">
        <f>HYPERLINK("https://www.suredividend.com/sure-analysis-BMRC/","Bank of Marin Bancorp")</f>
        <v>0</v>
      </c>
      <c r="C185" t="s">
        <v>883</v>
      </c>
      <c r="D185">
        <v>33</v>
      </c>
      <c r="E185">
        <v>32.88</v>
      </c>
      <c r="F185">
        <v>47</v>
      </c>
      <c r="G185">
        <v>0.6995744680851065</v>
      </c>
      <c r="H185">
        <v>0.03041362530413625</v>
      </c>
      <c r="I185">
        <v>0.07407154175653541</v>
      </c>
      <c r="J185">
        <v>0.04</v>
      </c>
      <c r="K185">
        <v>0.1400767899083548</v>
      </c>
      <c r="L185" t="s">
        <v>887</v>
      </c>
      <c r="M185" t="s">
        <v>887</v>
      </c>
      <c r="N185">
        <v>11.29896907216495</v>
      </c>
      <c r="O185">
        <v>2.91</v>
      </c>
      <c r="P185">
        <v>1</v>
      </c>
      <c r="Q185">
        <v>0.3436426116838488</v>
      </c>
      <c r="R185">
        <v>17</v>
      </c>
      <c r="S185">
        <v>0.06961037572506878</v>
      </c>
      <c r="T185" t="s">
        <v>911</v>
      </c>
      <c r="U185">
        <v>-0.08702424883587201</v>
      </c>
      <c r="V185" t="s">
        <v>986</v>
      </c>
      <c r="W185" t="s">
        <v>994</v>
      </c>
      <c r="X185">
        <v>527.021124</v>
      </c>
      <c r="Y185" s="2">
        <v>44922</v>
      </c>
      <c r="Z185" t="s">
        <v>1004</v>
      </c>
    </row>
    <row r="186" spans="1:26">
      <c r="A186" s="1" t="s">
        <v>210</v>
      </c>
      <c r="B186">
        <f>HYPERLINK("https://www.suredividend.com/sure-analysis-CM/","Canadian Imperial Bank Of Commerce")</f>
        <v>0</v>
      </c>
      <c r="C186" t="s">
        <v>883</v>
      </c>
      <c r="D186">
        <v>43</v>
      </c>
      <c r="E186">
        <v>40.45</v>
      </c>
      <c r="F186">
        <v>52</v>
      </c>
      <c r="G186">
        <v>0.7778846153846154</v>
      </c>
      <c r="H186">
        <v>0.06180469715698392</v>
      </c>
      <c r="I186">
        <v>0.05151861051048034</v>
      </c>
      <c r="J186">
        <v>0.04</v>
      </c>
      <c r="K186">
        <v>0.1396652838675045</v>
      </c>
      <c r="L186" t="s">
        <v>887</v>
      </c>
      <c r="M186" t="s">
        <v>886</v>
      </c>
      <c r="N186">
        <v>7.778846153846154</v>
      </c>
      <c r="O186">
        <v>5.2</v>
      </c>
      <c r="P186">
        <v>2.5</v>
      </c>
      <c r="Q186">
        <v>0.4807692307692307</v>
      </c>
      <c r="R186">
        <v>12</v>
      </c>
      <c r="S186">
        <v>0.04995366747811136</v>
      </c>
      <c r="T186" t="s">
        <v>922</v>
      </c>
      <c r="U186">
        <v>-0.263225959217871</v>
      </c>
      <c r="V186" t="s">
        <v>986</v>
      </c>
      <c r="W186" t="s">
        <v>994</v>
      </c>
      <c r="X186">
        <v>36647.861072</v>
      </c>
      <c r="Y186" s="2">
        <v>44902</v>
      </c>
      <c r="Z186" t="s">
        <v>1014</v>
      </c>
    </row>
    <row r="187" spans="1:26">
      <c r="A187" s="1" t="s">
        <v>211</v>
      </c>
      <c r="B187">
        <f>HYPERLINK("https://www.suredividend.com/sure-analysis-CBOE/","Cboe Global Markets Inc.")</f>
        <v>0</v>
      </c>
      <c r="C187" t="s">
        <v>883</v>
      </c>
      <c r="D187">
        <v>128</v>
      </c>
      <c r="E187">
        <v>125.47</v>
      </c>
      <c r="F187">
        <v>170</v>
      </c>
      <c r="G187">
        <v>0.7380588235294118</v>
      </c>
      <c r="H187">
        <v>0.01594006535426795</v>
      </c>
      <c r="I187">
        <v>0.062629344254024</v>
      </c>
      <c r="J187">
        <v>0.06</v>
      </c>
      <c r="K187">
        <v>0.1393812349451604</v>
      </c>
      <c r="L187" t="s">
        <v>887</v>
      </c>
      <c r="M187" t="s">
        <v>573</v>
      </c>
      <c r="N187">
        <v>18.4514705882353</v>
      </c>
      <c r="O187">
        <v>6.8</v>
      </c>
      <c r="P187">
        <v>2</v>
      </c>
      <c r="Q187">
        <v>0.2941176470588235</v>
      </c>
      <c r="R187">
        <v>12</v>
      </c>
      <c r="S187">
        <v>0.09993032380125255</v>
      </c>
      <c r="T187" t="s">
        <v>917</v>
      </c>
      <c r="U187">
        <v>-0.012993060980147</v>
      </c>
      <c r="V187" t="s">
        <v>986</v>
      </c>
      <c r="W187" t="s">
        <v>994</v>
      </c>
      <c r="X187">
        <v>13310.130497</v>
      </c>
      <c r="Y187" s="2">
        <v>44871</v>
      </c>
      <c r="Z187" t="s">
        <v>1004</v>
      </c>
    </row>
    <row r="188" spans="1:26">
      <c r="A188" s="1" t="s">
        <v>212</v>
      </c>
      <c r="B188">
        <f>HYPERLINK("https://www.suredividend.com/sure-analysis-TD/","Toronto Dominion Bank")</f>
        <v>0</v>
      </c>
      <c r="C188" t="s">
        <v>883</v>
      </c>
      <c r="D188">
        <v>69</v>
      </c>
      <c r="E188">
        <v>64.76000000000001</v>
      </c>
      <c r="F188">
        <v>80</v>
      </c>
      <c r="G188">
        <v>0.8095000000000001</v>
      </c>
      <c r="H188">
        <v>0.04400864731315627</v>
      </c>
      <c r="I188">
        <v>0.04317370019821176</v>
      </c>
      <c r="J188">
        <v>0.06</v>
      </c>
      <c r="K188">
        <v>0.1388766781185549</v>
      </c>
      <c r="L188" t="s">
        <v>887</v>
      </c>
      <c r="M188" t="s">
        <v>886</v>
      </c>
      <c r="N188">
        <v>9.680119581464874</v>
      </c>
      <c r="O188">
        <v>6.69</v>
      </c>
      <c r="P188">
        <v>2.85</v>
      </c>
      <c r="Q188">
        <v>0.4260089686098655</v>
      </c>
      <c r="R188">
        <v>11</v>
      </c>
      <c r="S188">
        <v>0.059780741378197</v>
      </c>
      <c r="T188" t="s">
        <v>903</v>
      </c>
      <c r="U188">
        <v>-0.117534438095912</v>
      </c>
      <c r="V188" t="s">
        <v>986</v>
      </c>
      <c r="W188" t="s">
        <v>994</v>
      </c>
      <c r="X188">
        <v>117972.211868</v>
      </c>
      <c r="Y188" s="2">
        <v>44900</v>
      </c>
      <c r="Z188" t="s">
        <v>1014</v>
      </c>
    </row>
    <row r="189" spans="1:26">
      <c r="A189" s="1" t="s">
        <v>213</v>
      </c>
      <c r="B189">
        <f>HYPERLINK("https://www.suredividend.com/sure-analysis-BR/","Broadridge Financial Solutions, Inc.")</f>
        <v>0</v>
      </c>
      <c r="C189" t="s">
        <v>883</v>
      </c>
      <c r="D189">
        <v>132</v>
      </c>
      <c r="E189">
        <v>134.13</v>
      </c>
      <c r="F189">
        <v>161</v>
      </c>
      <c r="G189">
        <v>0.8331055900621118</v>
      </c>
      <c r="H189">
        <v>0.02162081562663088</v>
      </c>
      <c r="I189">
        <v>0.03719398688333109</v>
      </c>
      <c r="J189">
        <v>0.08</v>
      </c>
      <c r="K189">
        <v>0.1380332710354573</v>
      </c>
      <c r="L189" t="s">
        <v>887</v>
      </c>
      <c r="M189" t="s">
        <v>573</v>
      </c>
      <c r="N189">
        <v>19.18884120171674</v>
      </c>
      <c r="O189">
        <v>6.99</v>
      </c>
      <c r="P189">
        <v>2.9</v>
      </c>
      <c r="Q189">
        <v>0.4148783977110157</v>
      </c>
      <c r="R189">
        <v>16</v>
      </c>
      <c r="S189">
        <v>0.09997743607811183</v>
      </c>
      <c r="T189" t="s">
        <v>901</v>
      </c>
      <c r="U189">
        <v>-0.252832585033255</v>
      </c>
      <c r="V189" t="s">
        <v>986</v>
      </c>
      <c r="W189" t="s">
        <v>993</v>
      </c>
      <c r="X189">
        <v>15781.108474</v>
      </c>
      <c r="Y189" s="2">
        <v>44874</v>
      </c>
      <c r="Z189" t="s">
        <v>1008</v>
      </c>
    </row>
    <row r="190" spans="1:26">
      <c r="A190" s="1" t="s">
        <v>214</v>
      </c>
      <c r="B190">
        <f>HYPERLINK("https://www.suredividend.com/sure-analysis-T/","AT&amp;T, Inc.")</f>
        <v>0</v>
      </c>
      <c r="C190" t="s">
        <v>883</v>
      </c>
      <c r="D190">
        <v>17</v>
      </c>
      <c r="E190">
        <v>18.41</v>
      </c>
      <c r="F190">
        <v>26</v>
      </c>
      <c r="G190">
        <v>0.708076923076923</v>
      </c>
      <c r="H190">
        <v>0.06029331884845193</v>
      </c>
      <c r="I190">
        <v>0.07147961236036871</v>
      </c>
      <c r="J190">
        <v>0.02</v>
      </c>
      <c r="K190">
        <v>0.1345731702473538</v>
      </c>
      <c r="L190" t="s">
        <v>887</v>
      </c>
      <c r="M190" t="s">
        <v>886</v>
      </c>
      <c r="N190">
        <v>7.219607843137256</v>
      </c>
      <c r="O190">
        <v>2.55</v>
      </c>
      <c r="P190">
        <v>1.11</v>
      </c>
      <c r="Q190">
        <v>0.4352941176470589</v>
      </c>
      <c r="R190">
        <v>0</v>
      </c>
      <c r="S190">
        <v>0.02074303809479527</v>
      </c>
      <c r="T190" t="s">
        <v>903</v>
      </c>
      <c r="U190">
        <v>0.045137923008362</v>
      </c>
      <c r="V190" t="s">
        <v>986</v>
      </c>
      <c r="W190" t="s">
        <v>995</v>
      </c>
      <c r="X190">
        <v>131263.3</v>
      </c>
      <c r="Y190" s="2">
        <v>44855</v>
      </c>
      <c r="Z190" t="s">
        <v>1003</v>
      </c>
    </row>
    <row r="191" spans="1:26">
      <c r="A191" s="1" t="s">
        <v>215</v>
      </c>
      <c r="B191">
        <f>HYPERLINK("https://www.suredividend.com/sure-analysis-SWKS/","Skyworks Solutions, Inc.")</f>
        <v>0</v>
      </c>
      <c r="C191" t="s">
        <v>883</v>
      </c>
      <c r="D191">
        <v>95</v>
      </c>
      <c r="E191">
        <v>91.13</v>
      </c>
      <c r="F191">
        <v>119</v>
      </c>
      <c r="G191">
        <v>0.765798319327731</v>
      </c>
      <c r="H191">
        <v>0.02721387029518271</v>
      </c>
      <c r="I191">
        <v>0.05481699446662547</v>
      </c>
      <c r="J191">
        <v>0.05</v>
      </c>
      <c r="K191">
        <v>0.1302227960135189</v>
      </c>
      <c r="L191" t="s">
        <v>887</v>
      </c>
      <c r="M191" t="s">
        <v>887</v>
      </c>
      <c r="N191">
        <v>9.18649193548387</v>
      </c>
      <c r="O191">
        <v>9.92</v>
      </c>
      <c r="P191">
        <v>2.48</v>
      </c>
      <c r="Q191">
        <v>0.25</v>
      </c>
      <c r="R191">
        <v>9</v>
      </c>
      <c r="S191">
        <v>0.09024056365188593</v>
      </c>
      <c r="T191" t="s">
        <v>906</v>
      </c>
      <c r="U191">
        <v>-0.402006261446563</v>
      </c>
      <c r="V191" t="s">
        <v>986</v>
      </c>
      <c r="W191" t="s">
        <v>993</v>
      </c>
      <c r="X191">
        <v>14595.477762</v>
      </c>
      <c r="Y191" s="2">
        <v>44890</v>
      </c>
      <c r="Z191" t="s">
        <v>1006</v>
      </c>
    </row>
    <row r="192" spans="1:26">
      <c r="A192" s="1" t="s">
        <v>216</v>
      </c>
      <c r="B192">
        <f>HYPERLINK("https://www.suredividend.com/sure-analysis-WU/","Western Union Company")</f>
        <v>0</v>
      </c>
      <c r="C192" t="s">
        <v>884</v>
      </c>
      <c r="D192">
        <v>14</v>
      </c>
      <c r="E192">
        <v>13.77</v>
      </c>
      <c r="F192">
        <v>18</v>
      </c>
      <c r="G192">
        <v>0.765</v>
      </c>
      <c r="H192">
        <v>0.07116920842411038</v>
      </c>
      <c r="I192">
        <v>0.05503705446947205</v>
      </c>
      <c r="J192">
        <v>0.02</v>
      </c>
      <c r="K192">
        <v>0.1301498254334035</v>
      </c>
      <c r="L192" t="s">
        <v>887</v>
      </c>
      <c r="M192" t="s">
        <v>886</v>
      </c>
      <c r="N192">
        <v>7.649999999999999</v>
      </c>
      <c r="O192">
        <v>1.8</v>
      </c>
      <c r="P192">
        <v>0.98</v>
      </c>
      <c r="Q192">
        <v>0.5444444444444444</v>
      </c>
      <c r="R192">
        <v>7</v>
      </c>
      <c r="S192">
        <v>0.03959498820755258</v>
      </c>
      <c r="T192" t="s">
        <v>904</v>
      </c>
      <c r="U192">
        <v>-0.187869351357089</v>
      </c>
      <c r="V192" t="s">
        <v>986</v>
      </c>
      <c r="W192" t="s">
        <v>993</v>
      </c>
      <c r="X192">
        <v>5317.572026</v>
      </c>
      <c r="Y192" s="2">
        <v>44882</v>
      </c>
      <c r="Z192" t="s">
        <v>1015</v>
      </c>
    </row>
    <row r="193" spans="1:26">
      <c r="A193" s="1" t="s">
        <v>217</v>
      </c>
      <c r="B193">
        <f>HYPERLINK("https://www.suredividend.com/sure-analysis-ESS/","Essex Property Trust, Inc.")</f>
        <v>0</v>
      </c>
      <c r="C193" t="s">
        <v>883</v>
      </c>
      <c r="D193">
        <v>216</v>
      </c>
      <c r="E193">
        <v>211.92</v>
      </c>
      <c r="F193">
        <v>261</v>
      </c>
      <c r="G193">
        <v>0.8119540229885057</v>
      </c>
      <c r="H193">
        <v>0.04152510381275954</v>
      </c>
      <c r="I193">
        <v>0.04254236574746617</v>
      </c>
      <c r="J193">
        <v>0.053</v>
      </c>
      <c r="K193">
        <v>0.1294889624700934</v>
      </c>
      <c r="L193" t="s">
        <v>887</v>
      </c>
      <c r="M193" t="s">
        <v>886</v>
      </c>
      <c r="N193">
        <v>14.6353591160221</v>
      </c>
      <c r="O193">
        <v>14.48</v>
      </c>
      <c r="P193">
        <v>8.800000000000001</v>
      </c>
      <c r="Q193">
        <v>0.6077348066298343</v>
      </c>
      <c r="R193">
        <v>27</v>
      </c>
      <c r="S193">
        <v>0.05405813137258941</v>
      </c>
      <c r="T193" t="s">
        <v>898</v>
      </c>
      <c r="U193">
        <v>-0.374704938155037</v>
      </c>
      <c r="V193" t="s">
        <v>987</v>
      </c>
      <c r="W193" t="s">
        <v>1000</v>
      </c>
      <c r="X193">
        <v>13722.627839</v>
      </c>
      <c r="Y193" s="2">
        <v>44871</v>
      </c>
      <c r="Z193" t="s">
        <v>1009</v>
      </c>
    </row>
    <row r="194" spans="1:26">
      <c r="A194" s="1" t="s">
        <v>218</v>
      </c>
      <c r="B194">
        <f>HYPERLINK("https://www.suredividend.com/sure-analysis-LAD/","Lithia Motors, Inc.")</f>
        <v>0</v>
      </c>
      <c r="C194" t="s">
        <v>883</v>
      </c>
      <c r="D194">
        <v>194</v>
      </c>
      <c r="E194">
        <v>204.74</v>
      </c>
      <c r="F194">
        <v>313</v>
      </c>
      <c r="G194">
        <v>0.6541214057507988</v>
      </c>
      <c r="H194">
        <v>0.008205528963563543</v>
      </c>
      <c r="I194">
        <v>0.08859999433029153</v>
      </c>
      <c r="J194">
        <v>0.03</v>
      </c>
      <c r="K194">
        <v>0.1281525047635399</v>
      </c>
      <c r="L194" t="s">
        <v>887</v>
      </c>
      <c r="M194" t="s">
        <v>631</v>
      </c>
      <c r="N194">
        <v>4.54472807991121</v>
      </c>
      <c r="O194">
        <v>45.05</v>
      </c>
      <c r="P194">
        <v>1.68</v>
      </c>
      <c r="Q194">
        <v>0.03729189789123197</v>
      </c>
      <c r="R194">
        <v>10</v>
      </c>
      <c r="S194">
        <v>0.1003529239440031</v>
      </c>
      <c r="T194" t="s">
        <v>890</v>
      </c>
      <c r="U194">
        <v>-0.305389221556886</v>
      </c>
      <c r="V194" t="s">
        <v>986</v>
      </c>
      <c r="W194" t="s">
        <v>992</v>
      </c>
      <c r="X194">
        <v>5597.266268</v>
      </c>
      <c r="Y194" s="2">
        <v>44861</v>
      </c>
      <c r="Z194" t="s">
        <v>1008</v>
      </c>
    </row>
    <row r="195" spans="1:26">
      <c r="A195" s="1" t="s">
        <v>219</v>
      </c>
      <c r="B195">
        <f>HYPERLINK("https://www.suredividend.com/sure-analysis-NTIOF/","National Bank Of Canada")</f>
        <v>0</v>
      </c>
      <c r="C195" t="s">
        <v>883</v>
      </c>
      <c r="D195">
        <v>71</v>
      </c>
      <c r="E195">
        <v>67.5</v>
      </c>
      <c r="F195">
        <v>79</v>
      </c>
      <c r="G195">
        <v>0.8544303797468354</v>
      </c>
      <c r="H195">
        <v>0.04266666666666667</v>
      </c>
      <c r="I195">
        <v>0.03196427676010716</v>
      </c>
      <c r="J195">
        <v>0.06</v>
      </c>
      <c r="K195">
        <v>0.1273580926680198</v>
      </c>
      <c r="L195" t="s">
        <v>887</v>
      </c>
      <c r="M195" t="s">
        <v>886</v>
      </c>
      <c r="N195">
        <v>9.427374301675977</v>
      </c>
      <c r="O195">
        <v>7.16</v>
      </c>
      <c r="P195">
        <v>2.88</v>
      </c>
      <c r="Q195">
        <v>0.4022346368715083</v>
      </c>
      <c r="R195">
        <v>11</v>
      </c>
      <c r="S195">
        <v>0.05977494636326108</v>
      </c>
      <c r="T195" t="s">
        <v>941</v>
      </c>
      <c r="U195">
        <v>-0.113009198423127</v>
      </c>
      <c r="V195" t="s">
        <v>986</v>
      </c>
      <c r="W195" t="s">
        <v>994</v>
      </c>
      <c r="X195">
        <v>22729.805348</v>
      </c>
      <c r="Y195" s="2">
        <v>44901</v>
      </c>
      <c r="Z195" t="s">
        <v>1014</v>
      </c>
    </row>
    <row r="196" spans="1:26">
      <c r="A196" s="1" t="s">
        <v>220</v>
      </c>
      <c r="B196">
        <f>HYPERLINK("https://www.suredividend.com/sure-analysis-RY/","Royal Bank Of Canada")</f>
        <v>0</v>
      </c>
      <c r="C196" t="s">
        <v>883</v>
      </c>
      <c r="D196">
        <v>100</v>
      </c>
      <c r="E196">
        <v>94.02</v>
      </c>
      <c r="F196">
        <v>107</v>
      </c>
      <c r="G196">
        <v>0.8786915887850467</v>
      </c>
      <c r="H196">
        <v>0.04169325675388216</v>
      </c>
      <c r="I196">
        <v>0.02620164422765758</v>
      </c>
      <c r="J196">
        <v>0.065</v>
      </c>
      <c r="K196">
        <v>0.1262454916911837</v>
      </c>
      <c r="L196" t="s">
        <v>887</v>
      </c>
      <c r="M196" t="s">
        <v>886</v>
      </c>
      <c r="N196">
        <v>10.76975945017182</v>
      </c>
      <c r="O196">
        <v>8.73</v>
      </c>
      <c r="P196">
        <v>3.92</v>
      </c>
      <c r="Q196">
        <v>0.4490263459335624</v>
      </c>
      <c r="R196">
        <v>11</v>
      </c>
      <c r="S196">
        <v>0.06497066155225384</v>
      </c>
      <c r="T196" t="s">
        <v>937</v>
      </c>
      <c r="U196">
        <v>-0.07436578008458801</v>
      </c>
      <c r="V196" t="s">
        <v>986</v>
      </c>
      <c r="W196" t="s">
        <v>994</v>
      </c>
      <c r="X196">
        <v>130273.289043</v>
      </c>
      <c r="Y196" s="2">
        <v>44899</v>
      </c>
      <c r="Z196" t="s">
        <v>1014</v>
      </c>
    </row>
    <row r="197" spans="1:26">
      <c r="A197" s="1" t="s">
        <v>221</v>
      </c>
      <c r="B197">
        <f>HYPERLINK("https://www.suredividend.com/sure-analysis-CASS/","Cass Information Systems Inc")</f>
        <v>0</v>
      </c>
      <c r="C197" t="s">
        <v>883</v>
      </c>
      <c r="D197">
        <v>44</v>
      </c>
      <c r="E197">
        <v>45.82</v>
      </c>
      <c r="F197">
        <v>63</v>
      </c>
      <c r="G197">
        <v>0.7273015873015873</v>
      </c>
      <c r="H197">
        <v>0.02531645569620253</v>
      </c>
      <c r="I197">
        <v>0.0657542984022832</v>
      </c>
      <c r="J197">
        <v>0.04</v>
      </c>
      <c r="K197">
        <v>0.1251601694754225</v>
      </c>
      <c r="L197" t="s">
        <v>887</v>
      </c>
      <c r="M197" t="s">
        <v>887</v>
      </c>
      <c r="N197">
        <v>18.18253968253968</v>
      </c>
      <c r="O197">
        <v>2.52</v>
      </c>
      <c r="P197">
        <v>1.16</v>
      </c>
      <c r="Q197">
        <v>0.4603174603174603</v>
      </c>
      <c r="R197">
        <v>21</v>
      </c>
      <c r="S197">
        <v>0.01013720758985226</v>
      </c>
      <c r="T197" t="s">
        <v>902</v>
      </c>
      <c r="U197">
        <v>0.182524853152195</v>
      </c>
      <c r="V197" t="s">
        <v>986</v>
      </c>
      <c r="W197" t="s">
        <v>994</v>
      </c>
      <c r="X197">
        <v>625.963194</v>
      </c>
      <c r="Y197" s="2">
        <v>44892</v>
      </c>
      <c r="Z197" t="s">
        <v>1010</v>
      </c>
    </row>
    <row r="198" spans="1:26">
      <c r="A198" s="1" t="s">
        <v>222</v>
      </c>
      <c r="B198">
        <f>HYPERLINK("https://www.suredividend.com/sure-analysis-SLF/","Sun Life Financial, Inc.")</f>
        <v>0</v>
      </c>
      <c r="C198" t="s">
        <v>883</v>
      </c>
      <c r="D198">
        <v>46</v>
      </c>
      <c r="E198">
        <v>46.42</v>
      </c>
      <c r="F198">
        <v>50</v>
      </c>
      <c r="G198">
        <v>0.9284</v>
      </c>
      <c r="H198">
        <v>0.04545454545454545</v>
      </c>
      <c r="I198">
        <v>0.01496945750849776</v>
      </c>
      <c r="J198">
        <v>0.07000000000000001</v>
      </c>
      <c r="K198">
        <v>0.1245835360156675</v>
      </c>
      <c r="L198" t="s">
        <v>887</v>
      </c>
      <c r="M198" t="s">
        <v>886</v>
      </c>
      <c r="N198">
        <v>10.2021978021978</v>
      </c>
      <c r="O198">
        <v>4.55</v>
      </c>
      <c r="P198">
        <v>2.11</v>
      </c>
      <c r="Q198">
        <v>0.4637362637362638</v>
      </c>
      <c r="R198">
        <v>8</v>
      </c>
      <c r="S198">
        <v>0.07998033517668901</v>
      </c>
      <c r="T198" t="s">
        <v>924</v>
      </c>
      <c r="U198">
        <v>-0.130037144902602</v>
      </c>
      <c r="V198" t="s">
        <v>986</v>
      </c>
      <c r="W198" t="s">
        <v>994</v>
      </c>
      <c r="X198">
        <v>27217.722041</v>
      </c>
      <c r="Y198" s="2">
        <v>44888</v>
      </c>
      <c r="Z198" t="s">
        <v>1007</v>
      </c>
    </row>
    <row r="199" spans="1:26">
      <c r="A199" s="1" t="s">
        <v>223</v>
      </c>
      <c r="B199">
        <f>HYPERLINK("https://www.suredividend.com/sure-analysis-MMS/","Maximus Inc.")</f>
        <v>0</v>
      </c>
      <c r="C199" t="s">
        <v>883</v>
      </c>
      <c r="D199">
        <v>70</v>
      </c>
      <c r="E199">
        <v>73.33</v>
      </c>
      <c r="F199">
        <v>77</v>
      </c>
      <c r="G199">
        <v>0.9523376623376623</v>
      </c>
      <c r="H199">
        <v>0.01527342151915996</v>
      </c>
      <c r="I199">
        <v>0.009814977976564832</v>
      </c>
      <c r="J199">
        <v>0.1</v>
      </c>
      <c r="K199">
        <v>0.1239383690172087</v>
      </c>
      <c r="L199" t="s">
        <v>887</v>
      </c>
      <c r="M199" t="s">
        <v>572</v>
      </c>
      <c r="N199">
        <v>19.04675324675324</v>
      </c>
      <c r="O199">
        <v>3.85</v>
      </c>
      <c r="P199">
        <v>1.12</v>
      </c>
      <c r="Q199">
        <v>0.290909090909091</v>
      </c>
      <c r="R199">
        <v>0</v>
      </c>
      <c r="S199">
        <v>0.09953965407958165</v>
      </c>
      <c r="T199" t="s">
        <v>907</v>
      </c>
      <c r="U199">
        <v>-0.06945993652582301</v>
      </c>
      <c r="V199" t="s">
        <v>986</v>
      </c>
      <c r="W199" t="s">
        <v>993</v>
      </c>
      <c r="X199">
        <v>4456.503009</v>
      </c>
      <c r="Y199" s="2">
        <v>44888</v>
      </c>
      <c r="Z199" t="s">
        <v>1004</v>
      </c>
    </row>
    <row r="200" spans="1:26">
      <c r="A200" s="1" t="s">
        <v>224</v>
      </c>
      <c r="B200">
        <f>HYPERLINK("https://www.suredividend.com/sure-analysis-DPZ/","Dominos Pizza Inc")</f>
        <v>0</v>
      </c>
      <c r="C200" t="s">
        <v>883</v>
      </c>
      <c r="D200">
        <v>323</v>
      </c>
      <c r="E200">
        <v>346.4</v>
      </c>
      <c r="F200">
        <v>333</v>
      </c>
      <c r="G200">
        <v>1.04024024024024</v>
      </c>
      <c r="H200">
        <v>0.01270207852193996</v>
      </c>
      <c r="I200">
        <v>-0.007859290340652469</v>
      </c>
      <c r="J200">
        <v>0.12</v>
      </c>
      <c r="K200">
        <v>0.1237811535722031</v>
      </c>
      <c r="L200" t="s">
        <v>887</v>
      </c>
      <c r="M200" t="s">
        <v>572</v>
      </c>
      <c r="N200">
        <v>27.712</v>
      </c>
      <c r="O200">
        <v>12.5</v>
      </c>
      <c r="P200">
        <v>4.4</v>
      </c>
      <c r="Q200">
        <v>0.352</v>
      </c>
      <c r="R200">
        <v>9</v>
      </c>
      <c r="S200">
        <v>0.1486983549970351</v>
      </c>
      <c r="T200" t="s">
        <v>901</v>
      </c>
      <c r="U200">
        <v>-0.371093618088974</v>
      </c>
      <c r="V200" t="s">
        <v>986</v>
      </c>
      <c r="W200" t="s">
        <v>992</v>
      </c>
      <c r="X200">
        <v>12262.344886</v>
      </c>
      <c r="Y200" s="2">
        <v>44847</v>
      </c>
      <c r="Z200" t="s">
        <v>1003</v>
      </c>
    </row>
    <row r="201" spans="1:26">
      <c r="A201" s="1" t="s">
        <v>225</v>
      </c>
      <c r="B201">
        <f>HYPERLINK("https://www.suredividend.com/sure-analysis-ICE/","Intercontinental Exchange Inc")</f>
        <v>0</v>
      </c>
      <c r="C201" t="s">
        <v>884</v>
      </c>
      <c r="D201">
        <v>110</v>
      </c>
      <c r="E201">
        <v>102.59</v>
      </c>
      <c r="F201">
        <v>112</v>
      </c>
      <c r="G201">
        <v>0.9159821428571429</v>
      </c>
      <c r="H201">
        <v>0.01481625889462911</v>
      </c>
      <c r="I201">
        <v>0.01770661774129545</v>
      </c>
      <c r="J201">
        <v>0.09</v>
      </c>
      <c r="K201">
        <v>0.1228910713050282</v>
      </c>
      <c r="L201" t="s">
        <v>887</v>
      </c>
      <c r="M201" t="s">
        <v>572</v>
      </c>
      <c r="N201">
        <v>19.17570093457944</v>
      </c>
      <c r="O201">
        <v>5.35</v>
      </c>
      <c r="P201">
        <v>1.52</v>
      </c>
      <c r="Q201">
        <v>0.2841121495327103</v>
      </c>
      <c r="R201">
        <v>10</v>
      </c>
      <c r="S201">
        <v>0.1201037242237235</v>
      </c>
      <c r="T201" t="s">
        <v>901</v>
      </c>
      <c r="U201">
        <v>-0.239202820415082</v>
      </c>
      <c r="V201" t="s">
        <v>986</v>
      </c>
      <c r="W201" t="s">
        <v>994</v>
      </c>
      <c r="X201">
        <v>57301.811209</v>
      </c>
      <c r="Y201" s="2">
        <v>44889</v>
      </c>
      <c r="Z201" t="s">
        <v>1015</v>
      </c>
    </row>
    <row r="202" spans="1:26">
      <c r="A202" s="1" t="s">
        <v>226</v>
      </c>
      <c r="B202">
        <f>HYPERLINK("https://www.suredividend.com/sure-analysis-EMN/","Eastman Chemical Co")</f>
        <v>0</v>
      </c>
      <c r="C202" t="s">
        <v>883</v>
      </c>
      <c r="D202">
        <v>75</v>
      </c>
      <c r="E202">
        <v>81.44</v>
      </c>
      <c r="F202">
        <v>90</v>
      </c>
      <c r="G202">
        <v>0.9048888888888889</v>
      </c>
      <c r="H202">
        <v>0.0388015717092338</v>
      </c>
      <c r="I202">
        <v>0.02018973377795419</v>
      </c>
      <c r="J202">
        <v>0.07000000000000001</v>
      </c>
      <c r="K202">
        <v>0.1225994683173772</v>
      </c>
      <c r="L202" t="s">
        <v>887</v>
      </c>
      <c r="M202" t="s">
        <v>886</v>
      </c>
      <c r="N202">
        <v>9.931707317073171</v>
      </c>
      <c r="O202">
        <v>8.199999999999999</v>
      </c>
      <c r="P202">
        <v>3.16</v>
      </c>
      <c r="Q202">
        <v>0.3853658536585367</v>
      </c>
      <c r="R202">
        <v>13</v>
      </c>
      <c r="S202">
        <v>0.06155989616418589</v>
      </c>
      <c r="T202" t="s">
        <v>901</v>
      </c>
      <c r="U202">
        <v>-0.296720302106298</v>
      </c>
      <c r="V202" t="s">
        <v>986</v>
      </c>
      <c r="W202" t="s">
        <v>990</v>
      </c>
      <c r="X202">
        <v>9772.015244</v>
      </c>
      <c r="Y202" s="2">
        <v>44862</v>
      </c>
      <c r="Z202" t="s">
        <v>1011</v>
      </c>
    </row>
    <row r="203" spans="1:26">
      <c r="A203" s="1" t="s">
        <v>227</v>
      </c>
      <c r="B203">
        <f>HYPERLINK("https://www.suredividend.com/sure-analysis-NC/","Nacco Industries Inc.")</f>
        <v>0</v>
      </c>
      <c r="C203" t="s">
        <v>885</v>
      </c>
      <c r="D203">
        <v>55</v>
      </c>
      <c r="E203">
        <v>38</v>
      </c>
      <c r="F203">
        <v>81</v>
      </c>
      <c r="G203">
        <v>0.4691358024691358</v>
      </c>
      <c r="H203">
        <v>0.0218421052631579</v>
      </c>
      <c r="I203">
        <v>0.1634300702005214</v>
      </c>
      <c r="J203">
        <v>-0.05</v>
      </c>
      <c r="K203">
        <v>0.1217498653422435</v>
      </c>
      <c r="L203" t="s">
        <v>887</v>
      </c>
      <c r="M203" t="s">
        <v>573</v>
      </c>
      <c r="N203">
        <v>4.222222222222222</v>
      </c>
      <c r="O203">
        <v>9</v>
      </c>
      <c r="P203">
        <v>0.83</v>
      </c>
      <c r="Q203">
        <v>0.09222222222222222</v>
      </c>
      <c r="R203">
        <v>37</v>
      </c>
      <c r="S203">
        <v>0.05013601855760697</v>
      </c>
      <c r="T203" t="s">
        <v>917</v>
      </c>
      <c r="U203">
        <v>0.09544812476577501</v>
      </c>
      <c r="V203" t="s">
        <v>986</v>
      </c>
      <c r="W203" t="s">
        <v>999</v>
      </c>
      <c r="X203">
        <v>219.486252</v>
      </c>
      <c r="Y203" s="2">
        <v>44873</v>
      </c>
      <c r="Z203" t="s">
        <v>1001</v>
      </c>
    </row>
    <row r="204" spans="1:26">
      <c r="A204" s="1" t="s">
        <v>228</v>
      </c>
      <c r="B204">
        <f>HYPERLINK("https://www.suredividend.com/sure-analysis-ENB/","Enbridge Inc")</f>
        <v>0</v>
      </c>
      <c r="C204" t="s">
        <v>883</v>
      </c>
      <c r="D204">
        <v>39</v>
      </c>
      <c r="E204">
        <v>39.1</v>
      </c>
      <c r="F204">
        <v>44</v>
      </c>
      <c r="G204">
        <v>0.8886363636363637</v>
      </c>
      <c r="H204">
        <v>0.06854219948849105</v>
      </c>
      <c r="I204">
        <v>0.02389443797196478</v>
      </c>
      <c r="J204">
        <v>0.04</v>
      </c>
      <c r="K204">
        <v>0.1198279704576817</v>
      </c>
      <c r="L204" t="s">
        <v>887</v>
      </c>
      <c r="M204" t="s">
        <v>886</v>
      </c>
      <c r="N204">
        <v>9.873737373737374</v>
      </c>
      <c r="O204">
        <v>3.96</v>
      </c>
      <c r="P204">
        <v>2.68</v>
      </c>
      <c r="Q204">
        <v>0.6767676767676768</v>
      </c>
      <c r="R204">
        <v>27</v>
      </c>
      <c r="S204">
        <v>0.04501454344603295</v>
      </c>
      <c r="T204" t="s">
        <v>907</v>
      </c>
      <c r="U204">
        <v>0.076399594767211</v>
      </c>
      <c r="V204" t="s">
        <v>986</v>
      </c>
      <c r="W204" t="s">
        <v>999</v>
      </c>
      <c r="X204">
        <v>79170.74211200001</v>
      </c>
      <c r="Y204" s="2">
        <v>44877</v>
      </c>
      <c r="Z204" t="s">
        <v>1007</v>
      </c>
    </row>
    <row r="205" spans="1:26">
      <c r="A205" s="1" t="s">
        <v>229</v>
      </c>
      <c r="B205">
        <f>HYPERLINK("https://www.suredividend.com/sure-analysis-TGT/","Target Corp")</f>
        <v>0</v>
      </c>
      <c r="C205" t="s">
        <v>884</v>
      </c>
      <c r="D205">
        <v>163</v>
      </c>
      <c r="E205">
        <v>149.04</v>
      </c>
      <c r="F205">
        <v>94</v>
      </c>
      <c r="G205">
        <v>1.585531914893617</v>
      </c>
      <c r="H205">
        <v>0.02898550724637682</v>
      </c>
      <c r="I205">
        <v>-0.08806265215381359</v>
      </c>
      <c r="J205">
        <v>0.2</v>
      </c>
      <c r="K205">
        <v>0.1195151279491946</v>
      </c>
      <c r="L205" t="s">
        <v>887</v>
      </c>
      <c r="M205" t="s">
        <v>887</v>
      </c>
      <c r="N205">
        <v>27.09818181818182</v>
      </c>
      <c r="O205">
        <v>5.5</v>
      </c>
      <c r="P205">
        <v>4.32</v>
      </c>
      <c r="Q205">
        <v>0.7854545454545455</v>
      </c>
      <c r="R205">
        <v>54</v>
      </c>
      <c r="S205">
        <v>0.09010311259986525</v>
      </c>
      <c r="T205" t="s">
        <v>895</v>
      </c>
      <c r="U205">
        <v>-0.339424655894939</v>
      </c>
      <c r="V205" t="s">
        <v>986</v>
      </c>
      <c r="W205" t="s">
        <v>996</v>
      </c>
      <c r="X205">
        <v>68597.542375</v>
      </c>
      <c r="Y205" s="2">
        <v>44900</v>
      </c>
      <c r="Z205" t="s">
        <v>1005</v>
      </c>
    </row>
    <row r="206" spans="1:26">
      <c r="A206" s="1" t="s">
        <v>230</v>
      </c>
      <c r="B206">
        <f>HYPERLINK("https://www.suredividend.com/sure-analysis-HRB/","H&amp;R Block Inc.")</f>
        <v>0</v>
      </c>
      <c r="C206" t="s">
        <v>884</v>
      </c>
      <c r="D206">
        <v>40.4</v>
      </c>
      <c r="E206">
        <v>36.51</v>
      </c>
      <c r="F206">
        <v>55</v>
      </c>
      <c r="G206">
        <v>0.6638181818181818</v>
      </c>
      <c r="H206">
        <v>0.03177211722815667</v>
      </c>
      <c r="I206">
        <v>0.08540088488987929</v>
      </c>
      <c r="J206">
        <v>0.01</v>
      </c>
      <c r="K206">
        <v>0.1174205129994235</v>
      </c>
      <c r="L206" t="s">
        <v>887</v>
      </c>
      <c r="M206" t="s">
        <v>887</v>
      </c>
      <c r="N206">
        <v>9.633245382585752</v>
      </c>
      <c r="O206">
        <v>3.79</v>
      </c>
      <c r="P206">
        <v>1.16</v>
      </c>
      <c r="Q206">
        <v>0.3060686015831134</v>
      </c>
      <c r="R206">
        <v>6</v>
      </c>
      <c r="S206">
        <v>0</v>
      </c>
      <c r="T206" t="s">
        <v>942</v>
      </c>
      <c r="U206">
        <v>0.595298435724897</v>
      </c>
      <c r="V206" t="s">
        <v>986</v>
      </c>
      <c r="W206" t="s">
        <v>992</v>
      </c>
      <c r="X206">
        <v>5676.142339</v>
      </c>
      <c r="Y206" s="2">
        <v>44882</v>
      </c>
      <c r="Z206" t="s">
        <v>1009</v>
      </c>
    </row>
    <row r="207" spans="1:26">
      <c r="A207" s="1" t="s">
        <v>231</v>
      </c>
      <c r="B207">
        <f>HYPERLINK("https://www.suredividend.com/sure-analysis-RBGLY/","Reckitt Benckiser Group Plc")</f>
        <v>0</v>
      </c>
      <c r="C207" t="s">
        <v>883</v>
      </c>
      <c r="D207">
        <v>13.2</v>
      </c>
      <c r="E207">
        <v>14.09</v>
      </c>
      <c r="F207">
        <v>18</v>
      </c>
      <c r="G207">
        <v>0.7827777777777778</v>
      </c>
      <c r="H207">
        <v>0.03335699077359829</v>
      </c>
      <c r="I207">
        <v>0.0502006975173348</v>
      </c>
      <c r="J207">
        <v>0.04</v>
      </c>
      <c r="K207">
        <v>0.1173775388875797</v>
      </c>
      <c r="L207" t="s">
        <v>887</v>
      </c>
      <c r="M207" t="s">
        <v>887</v>
      </c>
      <c r="N207">
        <v>11.74166666666667</v>
      </c>
      <c r="O207">
        <v>1.2</v>
      </c>
      <c r="P207">
        <v>0.47</v>
      </c>
      <c r="Q207">
        <v>0.3916666666666667</v>
      </c>
      <c r="R207">
        <v>0</v>
      </c>
      <c r="S207">
        <v>0.03933463380769542</v>
      </c>
      <c r="T207" t="s">
        <v>943</v>
      </c>
      <c r="U207">
        <v>-0.193474527761877</v>
      </c>
      <c r="V207" t="s">
        <v>986</v>
      </c>
      <c r="W207" t="s">
        <v>996</v>
      </c>
      <c r="X207">
        <v>50413.59575</v>
      </c>
      <c r="Y207" s="2">
        <v>44864</v>
      </c>
      <c r="Z207" t="s">
        <v>1012</v>
      </c>
    </row>
    <row r="208" spans="1:26">
      <c r="A208" s="1" t="s">
        <v>232</v>
      </c>
      <c r="B208">
        <f>HYPERLINK("https://www.suredividend.com/sure-analysis-FMS/","Fresenius Medical Care AG &amp; Co. KGaA")</f>
        <v>0</v>
      </c>
      <c r="C208" t="s">
        <v>883</v>
      </c>
      <c r="D208">
        <v>14</v>
      </c>
      <c r="E208">
        <v>16.34</v>
      </c>
      <c r="F208">
        <v>21</v>
      </c>
      <c r="G208">
        <v>0.7780952380952381</v>
      </c>
      <c r="H208">
        <v>0.04345165238678091</v>
      </c>
      <c r="I208">
        <v>0.05146167720119732</v>
      </c>
      <c r="J208">
        <v>0.03</v>
      </c>
      <c r="K208">
        <v>0.1154654637781267</v>
      </c>
      <c r="L208" t="s">
        <v>887</v>
      </c>
      <c r="M208" t="s">
        <v>886</v>
      </c>
      <c r="N208">
        <v>10.34177215189873</v>
      </c>
      <c r="O208">
        <v>1.58</v>
      </c>
      <c r="P208">
        <v>0.71</v>
      </c>
      <c r="Q208">
        <v>0.4493670886075949</v>
      </c>
      <c r="R208">
        <v>24</v>
      </c>
      <c r="S208">
        <v>0.02922683428943285</v>
      </c>
      <c r="T208" t="s">
        <v>944</v>
      </c>
      <c r="U208">
        <v>-0.4819753415190101</v>
      </c>
      <c r="V208" t="s">
        <v>986</v>
      </c>
      <c r="W208" t="s">
        <v>998</v>
      </c>
      <c r="X208">
        <v>9588.751512999999</v>
      </c>
      <c r="Y208" s="2">
        <v>44866</v>
      </c>
      <c r="Z208" t="s">
        <v>1001</v>
      </c>
    </row>
    <row r="209" spans="1:26">
      <c r="A209" s="1" t="s">
        <v>233</v>
      </c>
      <c r="B209">
        <f>HYPERLINK("https://www.suredividend.com/sure-analysis-TXN/","Texas Instruments Inc.")</f>
        <v>0</v>
      </c>
      <c r="C209" t="s">
        <v>883</v>
      </c>
      <c r="D209">
        <v>160</v>
      </c>
      <c r="E209">
        <v>165.22</v>
      </c>
      <c r="F209">
        <v>179</v>
      </c>
      <c r="G209">
        <v>0.9230167597765363</v>
      </c>
      <c r="H209">
        <v>0.0300205786224428</v>
      </c>
      <c r="I209">
        <v>0.01615061099807047</v>
      </c>
      <c r="J209">
        <v>0.07000000000000001</v>
      </c>
      <c r="K209">
        <v>0.1139609792950753</v>
      </c>
      <c r="L209" t="s">
        <v>887</v>
      </c>
      <c r="M209" t="s">
        <v>887</v>
      </c>
      <c r="N209">
        <v>17.57659574468085</v>
      </c>
      <c r="O209">
        <v>9.4</v>
      </c>
      <c r="P209">
        <v>4.96</v>
      </c>
      <c r="Q209">
        <v>0.5276595744680851</v>
      </c>
      <c r="R209">
        <v>19</v>
      </c>
      <c r="S209">
        <v>0.08995501081970847</v>
      </c>
      <c r="T209" t="s">
        <v>926</v>
      </c>
      <c r="U209">
        <v>-0.103047964838524</v>
      </c>
      <c r="V209" t="s">
        <v>986</v>
      </c>
      <c r="W209" t="s">
        <v>993</v>
      </c>
      <c r="X209">
        <v>149948.998257</v>
      </c>
      <c r="Y209" s="2">
        <v>44864</v>
      </c>
      <c r="Z209" t="s">
        <v>1007</v>
      </c>
    </row>
    <row r="210" spans="1:26">
      <c r="A210" s="1" t="s">
        <v>234</v>
      </c>
      <c r="B210">
        <f>HYPERLINK("https://www.suredividend.com/sure-analysis-BALL/","Ball Corp.")</f>
        <v>0</v>
      </c>
      <c r="C210" t="s">
        <v>884</v>
      </c>
      <c r="D210">
        <v>56</v>
      </c>
      <c r="E210">
        <v>51.14</v>
      </c>
      <c r="F210">
        <v>56</v>
      </c>
      <c r="G210">
        <v>0.9132142857142858</v>
      </c>
      <c r="H210">
        <v>0.01564333202972233</v>
      </c>
      <c r="I210">
        <v>0.0183227836776334</v>
      </c>
      <c r="J210">
        <v>0.08</v>
      </c>
      <c r="K210">
        <v>0.1130477879768443</v>
      </c>
      <c r="L210" t="s">
        <v>887</v>
      </c>
      <c r="M210" t="s">
        <v>573</v>
      </c>
      <c r="N210">
        <v>13.63733333333333</v>
      </c>
      <c r="O210">
        <v>3.75</v>
      </c>
      <c r="P210">
        <v>0.8</v>
      </c>
      <c r="Q210">
        <v>0.2133333333333333</v>
      </c>
      <c r="R210">
        <v>4</v>
      </c>
      <c r="S210">
        <v>0.08083252207959757</v>
      </c>
      <c r="T210" t="s">
        <v>891</v>
      </c>
      <c r="U210">
        <v>-0.463040175388676</v>
      </c>
      <c r="V210" t="s">
        <v>986</v>
      </c>
      <c r="W210" t="s">
        <v>992</v>
      </c>
      <c r="X210">
        <v>16053.876471</v>
      </c>
      <c r="Y210" s="2">
        <v>44894</v>
      </c>
      <c r="Z210" t="s">
        <v>1013</v>
      </c>
    </row>
    <row r="211" spans="1:26">
      <c r="A211" s="1" t="s">
        <v>235</v>
      </c>
      <c r="B211">
        <f>HYPERLINK("https://www.suredividend.com/sure-analysis-WFG/","West Fraser Timber Co., Ltd.")</f>
        <v>0</v>
      </c>
      <c r="C211" t="s">
        <v>884</v>
      </c>
      <c r="D211">
        <v>77</v>
      </c>
      <c r="E211">
        <v>72.29000000000001</v>
      </c>
      <c r="F211">
        <v>197</v>
      </c>
      <c r="G211">
        <v>0.3669543147208122</v>
      </c>
      <c r="H211">
        <v>0.01659980633559275</v>
      </c>
      <c r="I211">
        <v>0.222017992366466</v>
      </c>
      <c r="J211">
        <v>-0.1</v>
      </c>
      <c r="K211">
        <v>0.1126691485834195</v>
      </c>
      <c r="L211" t="s">
        <v>887</v>
      </c>
      <c r="M211" t="s">
        <v>572</v>
      </c>
      <c r="N211">
        <v>3.115948275862069</v>
      </c>
      <c r="O211">
        <v>23.2</v>
      </c>
      <c r="P211">
        <v>1.2</v>
      </c>
      <c r="Q211">
        <v>0.05172413793103448</v>
      </c>
      <c r="R211">
        <v>7</v>
      </c>
      <c r="S211">
        <v>0.04978904632428516</v>
      </c>
      <c r="T211" t="s">
        <v>905</v>
      </c>
      <c r="U211">
        <v>-0.234732495127758</v>
      </c>
      <c r="V211" t="s">
        <v>986</v>
      </c>
      <c r="W211" t="s">
        <v>991</v>
      </c>
      <c r="X211">
        <v>5896.490936</v>
      </c>
      <c r="Y211" s="2">
        <v>44864</v>
      </c>
      <c r="Z211" t="s">
        <v>1010</v>
      </c>
    </row>
    <row r="212" spans="1:26">
      <c r="A212" s="1" t="s">
        <v>236</v>
      </c>
      <c r="B212">
        <f>HYPERLINK("https://www.suredividend.com/sure-analysis-SBAC/","SBA Communications Corp")</f>
        <v>0</v>
      </c>
      <c r="C212" t="s">
        <v>883</v>
      </c>
      <c r="D212">
        <v>277</v>
      </c>
      <c r="E212">
        <v>280.31</v>
      </c>
      <c r="F212">
        <v>281</v>
      </c>
      <c r="G212">
        <v>0.9975444839857651</v>
      </c>
      <c r="H212">
        <v>0.01013163997003318</v>
      </c>
      <c r="I212">
        <v>0.0004918280553789511</v>
      </c>
      <c r="J212">
        <v>0.1</v>
      </c>
      <c r="K212">
        <v>0.1126118300912922</v>
      </c>
      <c r="L212" t="s">
        <v>887</v>
      </c>
      <c r="M212" t="s">
        <v>572</v>
      </c>
      <c r="N212">
        <v>22.9198691741619</v>
      </c>
      <c r="O212">
        <v>12.23</v>
      </c>
      <c r="P212">
        <v>2.84</v>
      </c>
      <c r="Q212">
        <v>0.23221586263287</v>
      </c>
      <c r="R212">
        <v>3</v>
      </c>
      <c r="S212">
        <v>0.2001076793346364</v>
      </c>
      <c r="T212" t="s">
        <v>897</v>
      </c>
      <c r="U212">
        <v>-0.272136277817463</v>
      </c>
      <c r="V212" t="s">
        <v>986</v>
      </c>
      <c r="W212" t="s">
        <v>993</v>
      </c>
      <c r="X212">
        <v>30263.819957</v>
      </c>
      <c r="Y212" s="2">
        <v>44866</v>
      </c>
      <c r="Z212" t="s">
        <v>1011</v>
      </c>
    </row>
    <row r="213" spans="1:26">
      <c r="A213" s="1" t="s">
        <v>237</v>
      </c>
      <c r="B213">
        <f>HYPERLINK("https://www.suredividend.com/sure-analysis-PDCO/","Patterson Companies Inc.")</f>
        <v>0</v>
      </c>
      <c r="C213" t="s">
        <v>883</v>
      </c>
      <c r="D213">
        <v>29</v>
      </c>
      <c r="E213">
        <v>28.03</v>
      </c>
      <c r="F213">
        <v>35</v>
      </c>
      <c r="G213">
        <v>0.8008571428571429</v>
      </c>
      <c r="H213">
        <v>0.03710310381733856</v>
      </c>
      <c r="I213">
        <v>0.04541563090196488</v>
      </c>
      <c r="J213">
        <v>0.04</v>
      </c>
      <c r="K213">
        <v>0.1125762714290075</v>
      </c>
      <c r="L213" t="s">
        <v>887</v>
      </c>
      <c r="M213" t="s">
        <v>887</v>
      </c>
      <c r="N213">
        <v>12.18695652173913</v>
      </c>
      <c r="O213">
        <v>2.3</v>
      </c>
      <c r="P213">
        <v>1.04</v>
      </c>
      <c r="Q213">
        <v>0.4521739130434783</v>
      </c>
      <c r="R213">
        <v>0</v>
      </c>
      <c r="S213">
        <v>0</v>
      </c>
      <c r="T213" t="s">
        <v>892</v>
      </c>
      <c r="U213">
        <v>-0.024907813260975</v>
      </c>
      <c r="V213" t="s">
        <v>986</v>
      </c>
      <c r="W213" t="s">
        <v>998</v>
      </c>
      <c r="X213">
        <v>2720.81604</v>
      </c>
      <c r="Y213" s="2">
        <v>44901</v>
      </c>
      <c r="Z213" t="s">
        <v>1015</v>
      </c>
    </row>
    <row r="214" spans="1:26">
      <c r="A214" s="1" t="s">
        <v>238</v>
      </c>
      <c r="B214">
        <f>HYPERLINK("https://www.suredividend.com/sure-analysis-PNGAY/","Ping AN Insurance (Group) Co. of China, Ltd.")</f>
        <v>0</v>
      </c>
      <c r="C214" t="s">
        <v>883</v>
      </c>
      <c r="D214">
        <v>11.09</v>
      </c>
      <c r="E214">
        <v>13.15</v>
      </c>
      <c r="F214">
        <v>15</v>
      </c>
      <c r="G214">
        <v>0.8766666666666667</v>
      </c>
      <c r="H214">
        <v>0.05551330798479087</v>
      </c>
      <c r="I214">
        <v>0.02667527035245243</v>
      </c>
      <c r="J214">
        <v>0.04</v>
      </c>
      <c r="K214">
        <v>0.1120821206011746</v>
      </c>
      <c r="L214" t="s">
        <v>887</v>
      </c>
      <c r="M214" t="s">
        <v>886</v>
      </c>
      <c r="N214">
        <v>5.26</v>
      </c>
      <c r="O214">
        <v>2.5</v>
      </c>
      <c r="P214">
        <v>0.73</v>
      </c>
      <c r="Q214">
        <v>0.292</v>
      </c>
      <c r="R214">
        <v>12</v>
      </c>
      <c r="S214">
        <v>0.04043134889410194</v>
      </c>
      <c r="T214" t="s">
        <v>945</v>
      </c>
      <c r="U214">
        <v>-0.09761537141876801</v>
      </c>
      <c r="V214" t="s">
        <v>986</v>
      </c>
      <c r="W214" t="s">
        <v>994</v>
      </c>
      <c r="X214">
        <v>48967.818196</v>
      </c>
      <c r="Y214" s="2">
        <v>44893</v>
      </c>
      <c r="Z214" t="s">
        <v>1011</v>
      </c>
    </row>
    <row r="215" spans="1:26">
      <c r="A215" s="1" t="s">
        <v>239</v>
      </c>
      <c r="B215">
        <f>HYPERLINK("https://www.suredividend.com/sure-analysis-SWK/","Stanley Black &amp; Decker Inc")</f>
        <v>0</v>
      </c>
      <c r="C215" t="s">
        <v>883</v>
      </c>
      <c r="D215">
        <v>78</v>
      </c>
      <c r="E215">
        <v>75.12</v>
      </c>
      <c r="F215">
        <v>73</v>
      </c>
      <c r="G215">
        <v>1.029041095890411</v>
      </c>
      <c r="H215">
        <v>0.04259850905218317</v>
      </c>
      <c r="I215">
        <v>-0.005709119433394472</v>
      </c>
      <c r="J215">
        <v>0.08</v>
      </c>
      <c r="K215">
        <v>0.1116599592186334</v>
      </c>
      <c r="L215" t="s">
        <v>887</v>
      </c>
      <c r="M215" t="s">
        <v>886</v>
      </c>
      <c r="N215">
        <v>17.07272727272727</v>
      </c>
      <c r="O215">
        <v>4.4</v>
      </c>
      <c r="P215">
        <v>3.2</v>
      </c>
      <c r="Q215">
        <v>0.7272727272727273</v>
      </c>
      <c r="R215">
        <v>55</v>
      </c>
      <c r="S215">
        <v>0.0799150058822331</v>
      </c>
      <c r="T215" t="s">
        <v>891</v>
      </c>
      <c r="U215">
        <v>-0.5850528433436381</v>
      </c>
      <c r="V215" t="s">
        <v>986</v>
      </c>
      <c r="W215" t="s">
        <v>991</v>
      </c>
      <c r="X215">
        <v>11113.386964</v>
      </c>
      <c r="Y215" s="2">
        <v>44864</v>
      </c>
      <c r="Z215" t="s">
        <v>1001</v>
      </c>
    </row>
    <row r="216" spans="1:26">
      <c r="A216" s="1" t="s">
        <v>240</v>
      </c>
      <c r="B216">
        <f>HYPERLINK("https://www.suredividend.com/sure-analysis-EPD/","Enterprise Products Partners L P")</f>
        <v>0</v>
      </c>
      <c r="C216" t="s">
        <v>883</v>
      </c>
      <c r="D216">
        <v>25</v>
      </c>
      <c r="E216">
        <v>24.12</v>
      </c>
      <c r="F216">
        <v>27.7</v>
      </c>
      <c r="G216">
        <v>0.8707581227436824</v>
      </c>
      <c r="H216">
        <v>0.07877280265339966</v>
      </c>
      <c r="I216">
        <v>0.02806480843121739</v>
      </c>
      <c r="J216">
        <v>0.019</v>
      </c>
      <c r="K216">
        <v>0.1103083163812892</v>
      </c>
      <c r="L216" t="s">
        <v>887</v>
      </c>
      <c r="M216" t="s">
        <v>886</v>
      </c>
      <c r="N216">
        <v>6.971098265895954</v>
      </c>
      <c r="O216">
        <v>3.46</v>
      </c>
      <c r="P216">
        <v>1.9</v>
      </c>
      <c r="Q216">
        <v>0.5491329479768786</v>
      </c>
      <c r="R216">
        <v>24</v>
      </c>
      <c r="S216">
        <v>0.02598268163158246</v>
      </c>
      <c r="T216" t="s">
        <v>926</v>
      </c>
      <c r="U216">
        <v>0.197361040095709</v>
      </c>
      <c r="V216" t="s">
        <v>988</v>
      </c>
      <c r="W216" t="s">
        <v>999</v>
      </c>
      <c r="X216">
        <v>52474.740923</v>
      </c>
      <c r="Y216" s="2">
        <v>44882</v>
      </c>
      <c r="Z216" t="s">
        <v>1009</v>
      </c>
    </row>
    <row r="217" spans="1:26">
      <c r="A217" s="1" t="s">
        <v>241</v>
      </c>
      <c r="B217">
        <f>HYPERLINK("https://www.suredividend.com/sure-analysis-FTS/","Fortis Inc.")</f>
        <v>0</v>
      </c>
      <c r="C217" t="s">
        <v>883</v>
      </c>
      <c r="D217">
        <v>40</v>
      </c>
      <c r="E217">
        <v>40.04</v>
      </c>
      <c r="F217">
        <v>43</v>
      </c>
      <c r="G217">
        <v>0.9311627906976744</v>
      </c>
      <c r="H217">
        <v>0.04120879120879121</v>
      </c>
      <c r="I217">
        <v>0.0143664518599449</v>
      </c>
      <c r="J217">
        <v>0.06</v>
      </c>
      <c r="K217">
        <v>0.1088749530617821</v>
      </c>
      <c r="L217" t="s">
        <v>887</v>
      </c>
      <c r="M217" t="s">
        <v>886</v>
      </c>
      <c r="N217">
        <v>18.53703703703703</v>
      </c>
      <c r="O217">
        <v>2.16</v>
      </c>
      <c r="P217">
        <v>1.65</v>
      </c>
      <c r="Q217">
        <v>0.7638888888888888</v>
      </c>
      <c r="R217">
        <v>49</v>
      </c>
      <c r="S217">
        <v>0.05041206696855571</v>
      </c>
      <c r="T217" t="s">
        <v>897</v>
      </c>
      <c r="U217">
        <v>-0.133569632524463</v>
      </c>
      <c r="V217" t="s">
        <v>986</v>
      </c>
      <c r="W217" t="s">
        <v>997</v>
      </c>
      <c r="X217">
        <v>19231.551619</v>
      </c>
      <c r="Y217" s="2">
        <v>44877</v>
      </c>
      <c r="Z217" t="s">
        <v>1014</v>
      </c>
    </row>
    <row r="218" spans="1:26">
      <c r="A218" s="1" t="s">
        <v>242</v>
      </c>
      <c r="B218">
        <f>HYPERLINK("https://www.suredividend.com/sure-analysis-OGN/","Organon &amp; Co.")</f>
        <v>0</v>
      </c>
      <c r="C218" t="s">
        <v>884</v>
      </c>
      <c r="D218">
        <v>24</v>
      </c>
      <c r="E218">
        <v>27.93</v>
      </c>
      <c r="F218">
        <v>35</v>
      </c>
      <c r="G218">
        <v>0.798</v>
      </c>
      <c r="H218">
        <v>0.04010025062656642</v>
      </c>
      <c r="I218">
        <v>0.04616315803786919</v>
      </c>
      <c r="J218">
        <v>0.03</v>
      </c>
      <c r="K218">
        <v>0.1082975660904801</v>
      </c>
      <c r="L218" t="s">
        <v>887</v>
      </c>
      <c r="M218" t="s">
        <v>886</v>
      </c>
      <c r="N218">
        <v>5.665314401622719</v>
      </c>
      <c r="O218">
        <v>4.93</v>
      </c>
      <c r="P218">
        <v>1.12</v>
      </c>
      <c r="Q218">
        <v>0.2271805273833672</v>
      </c>
      <c r="R218">
        <v>1</v>
      </c>
      <c r="S218">
        <v>0.03025579475561258</v>
      </c>
      <c r="T218" t="s">
        <v>914</v>
      </c>
      <c r="U218">
        <v>-0.046425718168099</v>
      </c>
      <c r="V218" t="s">
        <v>986</v>
      </c>
      <c r="W218" t="s">
        <v>998</v>
      </c>
      <c r="X218">
        <v>7104.397943</v>
      </c>
      <c r="Y218" s="2">
        <v>44873</v>
      </c>
      <c r="Z218" t="s">
        <v>1001</v>
      </c>
    </row>
    <row r="219" spans="1:26">
      <c r="A219" s="1" t="s">
        <v>243</v>
      </c>
      <c r="B219">
        <f>HYPERLINK("https://www.suredividend.com/sure-analysis-HD/","Home Depot, Inc.")</f>
        <v>0</v>
      </c>
      <c r="C219" t="s">
        <v>883</v>
      </c>
      <c r="D219">
        <v>319</v>
      </c>
      <c r="E219">
        <v>315.86</v>
      </c>
      <c r="F219">
        <v>340</v>
      </c>
      <c r="G219">
        <v>0.929</v>
      </c>
      <c r="H219">
        <v>0.0240612929779016</v>
      </c>
      <c r="I219">
        <v>0.01483831885161369</v>
      </c>
      <c r="J219">
        <v>0.07000000000000001</v>
      </c>
      <c r="K219">
        <v>0.1075672147047388</v>
      </c>
      <c r="L219" t="s">
        <v>887</v>
      </c>
      <c r="M219" t="s">
        <v>573</v>
      </c>
      <c r="N219">
        <v>19.02771084337349</v>
      </c>
      <c r="O219">
        <v>16.6</v>
      </c>
      <c r="P219">
        <v>7.6</v>
      </c>
      <c r="Q219">
        <v>0.4578313253012047</v>
      </c>
      <c r="R219">
        <v>13</v>
      </c>
      <c r="S219">
        <v>0.08993395824381678</v>
      </c>
      <c r="T219" t="s">
        <v>891</v>
      </c>
      <c r="U219">
        <v>-0.210112243785379</v>
      </c>
      <c r="V219" t="s">
        <v>986</v>
      </c>
      <c r="W219" t="s">
        <v>992</v>
      </c>
      <c r="X219">
        <v>323354.234286</v>
      </c>
      <c r="Y219" s="2">
        <v>44895</v>
      </c>
      <c r="Z219" t="s">
        <v>1008</v>
      </c>
    </row>
    <row r="220" spans="1:26">
      <c r="A220" s="1" t="s">
        <v>244</v>
      </c>
      <c r="B220">
        <f>HYPERLINK("https://www.suredividend.com/sure-analysis-EQIX/","Equinix Inc")</f>
        <v>0</v>
      </c>
      <c r="C220" t="s">
        <v>883</v>
      </c>
      <c r="D220">
        <v>586</v>
      </c>
      <c r="E220">
        <v>655.03</v>
      </c>
      <c r="F220">
        <v>672</v>
      </c>
      <c r="G220">
        <v>0.9747470238095237</v>
      </c>
      <c r="H220">
        <v>0.01893043066729768</v>
      </c>
      <c r="I220">
        <v>0.005128567190765265</v>
      </c>
      <c r="J220">
        <v>0.08500000000000001</v>
      </c>
      <c r="K220">
        <v>0.1074918344313074</v>
      </c>
      <c r="L220" t="s">
        <v>887</v>
      </c>
      <c r="M220" t="s">
        <v>572</v>
      </c>
      <c r="N220">
        <v>22.42485450188292</v>
      </c>
      <c r="O220">
        <v>29.21</v>
      </c>
      <c r="P220">
        <v>12.4</v>
      </c>
      <c r="Q220">
        <v>0.4245121533721328</v>
      </c>
      <c r="R220">
        <v>5</v>
      </c>
      <c r="S220">
        <v>0.09001214532811175</v>
      </c>
      <c r="T220" t="s">
        <v>895</v>
      </c>
      <c r="U220">
        <v>-0.210936331140037</v>
      </c>
      <c r="V220" t="s">
        <v>987</v>
      </c>
      <c r="W220" t="s">
        <v>1000</v>
      </c>
      <c r="X220">
        <v>60615.241468</v>
      </c>
      <c r="Y220" s="2">
        <v>44872</v>
      </c>
      <c r="Z220" t="s">
        <v>1008</v>
      </c>
    </row>
    <row r="221" spans="1:26">
      <c r="A221" s="1" t="s">
        <v>245</v>
      </c>
      <c r="B221">
        <f>HYPERLINK("https://www.suredividend.com/sure-analysis-KDP/","Keurig Dr Pepper Inc")</f>
        <v>0</v>
      </c>
      <c r="C221" t="s">
        <v>884</v>
      </c>
      <c r="D221">
        <v>37</v>
      </c>
      <c r="E221">
        <v>35.66</v>
      </c>
      <c r="F221">
        <v>34</v>
      </c>
      <c r="G221">
        <v>1.048823529411765</v>
      </c>
      <c r="H221">
        <v>0.02243409983174426</v>
      </c>
      <c r="I221">
        <v>-0.009488514808806081</v>
      </c>
      <c r="J221">
        <v>0.1</v>
      </c>
      <c r="K221">
        <v>0.1074270986849684</v>
      </c>
      <c r="L221" t="s">
        <v>887</v>
      </c>
      <c r="M221" t="s">
        <v>573</v>
      </c>
      <c r="N221">
        <v>20.85380116959064</v>
      </c>
      <c r="O221">
        <v>1.71</v>
      </c>
      <c r="P221">
        <v>0.8</v>
      </c>
      <c r="Q221">
        <v>0.4678362573099416</v>
      </c>
      <c r="R221">
        <v>2</v>
      </c>
      <c r="S221">
        <v>0.04978904632428516</v>
      </c>
      <c r="T221" t="s">
        <v>946</v>
      </c>
      <c r="U221">
        <v>-0.007448312717799</v>
      </c>
      <c r="V221" t="s">
        <v>986</v>
      </c>
      <c r="W221" t="s">
        <v>996</v>
      </c>
      <c r="X221">
        <v>50503.521608</v>
      </c>
      <c r="Y221" s="2">
        <v>44873</v>
      </c>
      <c r="Z221" t="s">
        <v>1015</v>
      </c>
    </row>
    <row r="222" spans="1:26">
      <c r="A222" s="1" t="s">
        <v>246</v>
      </c>
      <c r="B222">
        <f>HYPERLINK("https://www.suredividend.com/sure-analysis-EBAY/","EBay Inc.")</f>
        <v>0</v>
      </c>
      <c r="C222" t="s">
        <v>884</v>
      </c>
      <c r="D222">
        <v>46.5</v>
      </c>
      <c r="E222">
        <v>41.47</v>
      </c>
      <c r="F222">
        <v>49.2</v>
      </c>
      <c r="G222">
        <v>0.8428861788617885</v>
      </c>
      <c r="H222">
        <v>0.02122015915119364</v>
      </c>
      <c r="I222">
        <v>0.03477568095246086</v>
      </c>
      <c r="J222">
        <v>0.051</v>
      </c>
      <c r="K222">
        <v>0.1065351153469001</v>
      </c>
      <c r="L222" t="s">
        <v>887</v>
      </c>
      <c r="M222" t="s">
        <v>573</v>
      </c>
      <c r="N222">
        <v>10.11463414634146</v>
      </c>
      <c r="O222">
        <v>4.1</v>
      </c>
      <c r="P222">
        <v>0.88</v>
      </c>
      <c r="Q222">
        <v>0.2146341463414634</v>
      </c>
      <c r="R222">
        <v>3</v>
      </c>
      <c r="S222">
        <v>0.08773831161894674</v>
      </c>
      <c r="T222" t="s">
        <v>891</v>
      </c>
      <c r="U222">
        <v>-0.37016460467843</v>
      </c>
      <c r="V222" t="s">
        <v>986</v>
      </c>
      <c r="W222" t="s">
        <v>992</v>
      </c>
      <c r="X222">
        <v>22504.072338</v>
      </c>
      <c r="Y222" s="2">
        <v>44885</v>
      </c>
      <c r="Z222" t="s">
        <v>1009</v>
      </c>
    </row>
    <row r="223" spans="1:26">
      <c r="A223" s="1" t="s">
        <v>247</v>
      </c>
      <c r="B223">
        <f>HYPERLINK("https://www.suredividend.com/sure-analysis-LEG/","Leggett &amp; Platt, Inc.")</f>
        <v>0</v>
      </c>
      <c r="C223" t="s">
        <v>884</v>
      </c>
      <c r="D223">
        <v>34</v>
      </c>
      <c r="E223">
        <v>32.23</v>
      </c>
      <c r="F223">
        <v>36</v>
      </c>
      <c r="G223">
        <v>0.8952777777777777</v>
      </c>
      <c r="H223">
        <v>0.05460750853242322</v>
      </c>
      <c r="I223">
        <v>0.02237080464448993</v>
      </c>
      <c r="J223">
        <v>0.04</v>
      </c>
      <c r="K223">
        <v>0.1063525814961539</v>
      </c>
      <c r="L223" t="s">
        <v>887</v>
      </c>
      <c r="M223" t="s">
        <v>886</v>
      </c>
      <c r="N223">
        <v>13.54201680672269</v>
      </c>
      <c r="O223">
        <v>2.38</v>
      </c>
      <c r="P223">
        <v>1.76</v>
      </c>
      <c r="Q223">
        <v>0.7394957983193278</v>
      </c>
      <c r="R223">
        <v>51</v>
      </c>
      <c r="S223">
        <v>0.02996744995959233</v>
      </c>
      <c r="T223" t="s">
        <v>901</v>
      </c>
      <c r="U223">
        <v>-0.168352496748756</v>
      </c>
      <c r="V223" t="s">
        <v>986</v>
      </c>
      <c r="W223" t="s">
        <v>992</v>
      </c>
      <c r="X223">
        <v>4272.969505</v>
      </c>
      <c r="Y223" s="2">
        <v>44885</v>
      </c>
      <c r="Z223" t="s">
        <v>1007</v>
      </c>
    </row>
    <row r="224" spans="1:26">
      <c r="A224" s="1" t="s">
        <v>248</v>
      </c>
      <c r="B224">
        <f>HYPERLINK("https://www.suredividend.com/sure-analysis-RDEIY/","Red Electrica Corporacion S.A.")</f>
        <v>0</v>
      </c>
      <c r="C224" t="s">
        <v>883</v>
      </c>
      <c r="D224">
        <v>8</v>
      </c>
      <c r="E224">
        <v>8.640000000000001</v>
      </c>
      <c r="F224">
        <v>8.699999999999999</v>
      </c>
      <c r="G224">
        <v>0.9931034482758622</v>
      </c>
      <c r="H224">
        <v>0.06134259259259259</v>
      </c>
      <c r="I224">
        <v>0.001385046861567707</v>
      </c>
      <c r="J224">
        <v>0.05</v>
      </c>
      <c r="K224">
        <v>0.1042968939353475</v>
      </c>
      <c r="L224" t="s">
        <v>887</v>
      </c>
      <c r="M224" t="s">
        <v>886</v>
      </c>
      <c r="N224">
        <v>5.958620689655173</v>
      </c>
      <c r="O224">
        <v>1.45</v>
      </c>
      <c r="P224">
        <v>0.53</v>
      </c>
      <c r="Q224">
        <v>0.3655172413793104</v>
      </c>
      <c r="R224">
        <v>5</v>
      </c>
      <c r="S224">
        <v>0.05110622618577221</v>
      </c>
      <c r="T224" t="s">
        <v>947</v>
      </c>
      <c r="U224">
        <v>-0.194029850746268</v>
      </c>
      <c r="V224" t="s">
        <v>986</v>
      </c>
      <c r="W224" t="s">
        <v>997</v>
      </c>
      <c r="X224">
        <v>9349.8624</v>
      </c>
      <c r="Y224" s="2">
        <v>44866</v>
      </c>
      <c r="Z224" t="s">
        <v>1001</v>
      </c>
    </row>
    <row r="225" spans="1:26">
      <c r="A225" s="1" t="s">
        <v>249</v>
      </c>
      <c r="B225">
        <f>HYPERLINK("https://www.suredividend.com/sure-analysis-RBA/","Ritchie Bros Auctioneers Inc")</f>
        <v>0</v>
      </c>
      <c r="C225" t="s">
        <v>884</v>
      </c>
      <c r="D225">
        <v>68</v>
      </c>
      <c r="E225">
        <v>57.83</v>
      </c>
      <c r="F225">
        <v>54</v>
      </c>
      <c r="G225">
        <v>1.070925925925926</v>
      </c>
      <c r="H225">
        <v>0.01729206294310911</v>
      </c>
      <c r="I225">
        <v>-0.01361124291244187</v>
      </c>
      <c r="J225">
        <v>0.1</v>
      </c>
      <c r="K225">
        <v>0.1020911805189042</v>
      </c>
      <c r="L225" t="s">
        <v>887</v>
      </c>
      <c r="M225" t="s">
        <v>573</v>
      </c>
      <c r="N225">
        <v>25.58849557522124</v>
      </c>
      <c r="O225">
        <v>2.26</v>
      </c>
      <c r="P225">
        <v>1</v>
      </c>
      <c r="Q225">
        <v>0.4424778761061947</v>
      </c>
      <c r="R225">
        <v>18</v>
      </c>
      <c r="S225">
        <v>0.1171457808697174</v>
      </c>
      <c r="T225" t="s">
        <v>924</v>
      </c>
      <c r="U225">
        <v>-0.03946610061106701</v>
      </c>
      <c r="V225" t="s">
        <v>986</v>
      </c>
      <c r="W225" t="s">
        <v>991</v>
      </c>
      <c r="X225">
        <v>6414.160379</v>
      </c>
      <c r="Y225" s="2">
        <v>44875</v>
      </c>
      <c r="Z225" t="s">
        <v>1011</v>
      </c>
    </row>
    <row r="226" spans="1:26">
      <c r="A226" s="1" t="s">
        <v>250</v>
      </c>
      <c r="B226">
        <f>HYPERLINK("https://www.suredividend.com/sure-analysis-AMT/","American Tower Corp.")</f>
        <v>0</v>
      </c>
      <c r="C226" t="s">
        <v>883</v>
      </c>
      <c r="D226">
        <v>205</v>
      </c>
      <c r="E226">
        <v>211.86</v>
      </c>
      <c r="F226">
        <v>231</v>
      </c>
      <c r="G226">
        <v>0.9171428571428571</v>
      </c>
      <c r="H226">
        <v>0.02775417728688756</v>
      </c>
      <c r="I226">
        <v>0.01744889015864426</v>
      </c>
      <c r="J226">
        <v>0.06</v>
      </c>
      <c r="K226">
        <v>0.1019696722480334</v>
      </c>
      <c r="L226" t="s">
        <v>887</v>
      </c>
      <c r="M226" t="s">
        <v>573</v>
      </c>
      <c r="N226">
        <v>20.17714285714286</v>
      </c>
      <c r="O226">
        <v>10.5</v>
      </c>
      <c r="P226">
        <v>5.88</v>
      </c>
      <c r="Q226">
        <v>0.5599999999999999</v>
      </c>
      <c r="R226">
        <v>10</v>
      </c>
      <c r="S226">
        <v>0.0600332336195335</v>
      </c>
      <c r="T226" t="s">
        <v>922</v>
      </c>
      <c r="U226">
        <v>-0.258693192196019</v>
      </c>
      <c r="V226" t="s">
        <v>987</v>
      </c>
      <c r="W226" t="s">
        <v>1000</v>
      </c>
      <c r="X226">
        <v>98643.203052</v>
      </c>
      <c r="Y226" s="2">
        <v>44865</v>
      </c>
      <c r="Z226" t="s">
        <v>1003</v>
      </c>
    </row>
    <row r="227" spans="1:26">
      <c r="A227" s="1" t="s">
        <v>251</v>
      </c>
      <c r="B227">
        <f>HYPERLINK("https://www.suredividend.com/sure-analysis-FDX/","Fedex Corp")</f>
        <v>0</v>
      </c>
      <c r="C227" t="s">
        <v>883</v>
      </c>
      <c r="D227">
        <v>170</v>
      </c>
      <c r="E227">
        <v>173.2</v>
      </c>
      <c r="F227">
        <v>189</v>
      </c>
      <c r="G227">
        <v>0.9164021164021163</v>
      </c>
      <c r="H227">
        <v>0.02655889145496536</v>
      </c>
      <c r="I227">
        <v>0.01761332065693844</v>
      </c>
      <c r="J227">
        <v>0.06</v>
      </c>
      <c r="K227">
        <v>0.1011666510112752</v>
      </c>
      <c r="L227" t="s">
        <v>887</v>
      </c>
      <c r="M227" t="s">
        <v>887</v>
      </c>
      <c r="N227">
        <v>12.82962962962963</v>
      </c>
      <c r="O227">
        <v>13.5</v>
      </c>
      <c r="P227">
        <v>4.6</v>
      </c>
      <c r="Q227">
        <v>0.3407407407407407</v>
      </c>
      <c r="R227">
        <v>2</v>
      </c>
      <c r="S227">
        <v>0.06014330757368569</v>
      </c>
      <c r="T227" t="s">
        <v>948</v>
      </c>
      <c r="U227">
        <v>-0.316172905601854</v>
      </c>
      <c r="V227" t="s">
        <v>986</v>
      </c>
      <c r="W227" t="s">
        <v>991</v>
      </c>
      <c r="X227">
        <v>43715.184648</v>
      </c>
      <c r="Y227" s="2">
        <v>44916</v>
      </c>
      <c r="Z227" t="s">
        <v>1011</v>
      </c>
    </row>
    <row r="228" spans="1:26">
      <c r="A228" s="1" t="s">
        <v>252</v>
      </c>
      <c r="B228">
        <f>HYPERLINK("https://www.suredividend.com/sure-analysis-YUM/","Yum Brands Inc.")</f>
        <v>0</v>
      </c>
      <c r="C228" t="s">
        <v>883</v>
      </c>
      <c r="D228">
        <v>120</v>
      </c>
      <c r="E228">
        <v>128.08</v>
      </c>
      <c r="F228">
        <v>114</v>
      </c>
      <c r="G228">
        <v>1.123508771929825</v>
      </c>
      <c r="H228">
        <v>0.01780137414116177</v>
      </c>
      <c r="I228">
        <v>-0.02302217483403801</v>
      </c>
      <c r="J228">
        <v>0.11</v>
      </c>
      <c r="K228">
        <v>0.0994053175487819</v>
      </c>
      <c r="L228" t="s">
        <v>887</v>
      </c>
      <c r="M228" t="s">
        <v>572</v>
      </c>
      <c r="N228">
        <v>27.25106382978723</v>
      </c>
      <c r="O228">
        <v>4.7</v>
      </c>
      <c r="P228">
        <v>2.28</v>
      </c>
      <c r="Q228">
        <v>0.4851063829787233</v>
      </c>
      <c r="R228">
        <v>5</v>
      </c>
      <c r="S228">
        <v>0.05991978372638118</v>
      </c>
      <c r="T228" t="s">
        <v>899</v>
      </c>
      <c r="U228">
        <v>-0.05671007754450001</v>
      </c>
      <c r="V228" t="s">
        <v>986</v>
      </c>
      <c r="W228" t="s">
        <v>992</v>
      </c>
      <c r="X228">
        <v>36078.581877</v>
      </c>
      <c r="Y228" s="2">
        <v>44870</v>
      </c>
      <c r="Z228" t="s">
        <v>1003</v>
      </c>
    </row>
    <row r="229" spans="1:26">
      <c r="A229" s="1" t="s">
        <v>253</v>
      </c>
      <c r="B229">
        <f>HYPERLINK("https://www.suredividend.com/sure-analysis-RGCO/","RGC Resources, Inc.")</f>
        <v>0</v>
      </c>
      <c r="C229" t="s">
        <v>884</v>
      </c>
      <c r="D229">
        <v>24</v>
      </c>
      <c r="E229">
        <v>22.05</v>
      </c>
      <c r="F229">
        <v>24</v>
      </c>
      <c r="G229">
        <v>0.9187500000000001</v>
      </c>
      <c r="H229">
        <v>0.03582766439909297</v>
      </c>
      <c r="I229">
        <v>0.01709268203414238</v>
      </c>
      <c r="J229">
        <v>0.05</v>
      </c>
      <c r="K229">
        <v>0.09905242412750104</v>
      </c>
      <c r="L229" t="s">
        <v>887</v>
      </c>
      <c r="M229" t="s">
        <v>887</v>
      </c>
      <c r="N229">
        <v>18.375</v>
      </c>
      <c r="O229">
        <v>1.2</v>
      </c>
      <c r="P229">
        <v>0.79</v>
      </c>
      <c r="Q229">
        <v>0.6583333333333334</v>
      </c>
      <c r="R229">
        <v>18</v>
      </c>
      <c r="S229">
        <v>0.06056124915010019</v>
      </c>
      <c r="T229" t="s">
        <v>912</v>
      </c>
      <c r="U229">
        <v>-0.004424778761061001</v>
      </c>
      <c r="V229" t="s">
        <v>986</v>
      </c>
      <c r="W229" t="s">
        <v>997</v>
      </c>
      <c r="X229">
        <v>216.800231</v>
      </c>
      <c r="Y229" s="2">
        <v>44897</v>
      </c>
      <c r="Z229" t="s">
        <v>1010</v>
      </c>
    </row>
    <row r="230" spans="1:26">
      <c r="A230" s="1" t="s">
        <v>254</v>
      </c>
      <c r="B230">
        <f>HYPERLINK("https://www.suredividend.com/sure-analysis-FMC/","FMC Corp.")</f>
        <v>0</v>
      </c>
      <c r="C230" t="s">
        <v>883</v>
      </c>
      <c r="D230">
        <v>120</v>
      </c>
      <c r="E230">
        <v>124.8</v>
      </c>
      <c r="F230">
        <v>126</v>
      </c>
      <c r="G230">
        <v>0.9904761904761904</v>
      </c>
      <c r="H230">
        <v>0.01858974358974359</v>
      </c>
      <c r="I230">
        <v>0.001915722860066582</v>
      </c>
      <c r="J230">
        <v>0.08</v>
      </c>
      <c r="K230">
        <v>0.09873416820588399</v>
      </c>
      <c r="L230" t="s">
        <v>887</v>
      </c>
      <c r="M230" t="s">
        <v>573</v>
      </c>
      <c r="N230">
        <v>16.86486486486486</v>
      </c>
      <c r="O230">
        <v>7.4</v>
      </c>
      <c r="P230">
        <v>2.32</v>
      </c>
      <c r="Q230">
        <v>0.3135135135135135</v>
      </c>
      <c r="R230">
        <v>5</v>
      </c>
      <c r="S230">
        <v>0.08007342088184521</v>
      </c>
      <c r="T230" t="s">
        <v>905</v>
      </c>
      <c r="U230">
        <v>0.162240591252649</v>
      </c>
      <c r="V230" t="s">
        <v>986</v>
      </c>
      <c r="W230" t="s">
        <v>990</v>
      </c>
      <c r="X230">
        <v>15720.54719</v>
      </c>
      <c r="Y230" s="2">
        <v>44867</v>
      </c>
      <c r="Z230" t="s">
        <v>1004</v>
      </c>
    </row>
    <row r="231" spans="1:26">
      <c r="A231" s="1" t="s">
        <v>255</v>
      </c>
      <c r="B231">
        <f>HYPERLINK("https://www.suredividend.com/sure-analysis-CSCO/","Cisco Systems, Inc.")</f>
        <v>0</v>
      </c>
      <c r="C231" t="s">
        <v>883</v>
      </c>
      <c r="D231">
        <v>47</v>
      </c>
      <c r="E231">
        <v>47.64</v>
      </c>
      <c r="F231">
        <v>50</v>
      </c>
      <c r="G231">
        <v>0.9528</v>
      </c>
      <c r="H231">
        <v>0.03190596137699412</v>
      </c>
      <c r="I231">
        <v>0.009716958215531202</v>
      </c>
      <c r="J231">
        <v>0.06</v>
      </c>
      <c r="K231">
        <v>0.09786309027952811</v>
      </c>
      <c r="L231" t="s">
        <v>887</v>
      </c>
      <c r="M231" t="s">
        <v>887</v>
      </c>
      <c r="N231">
        <v>13.41971830985916</v>
      </c>
      <c r="O231">
        <v>3.55</v>
      </c>
      <c r="P231">
        <v>1.52</v>
      </c>
      <c r="Q231">
        <v>0.4281690140845071</v>
      </c>
      <c r="R231">
        <v>12</v>
      </c>
      <c r="S231">
        <v>0.0595720409403111</v>
      </c>
      <c r="T231" t="s">
        <v>940</v>
      </c>
      <c r="U231">
        <v>-0.234563537331897</v>
      </c>
      <c r="V231" t="s">
        <v>986</v>
      </c>
      <c r="W231" t="s">
        <v>993</v>
      </c>
      <c r="X231">
        <v>195745.336116</v>
      </c>
      <c r="Y231" s="2">
        <v>44885</v>
      </c>
      <c r="Z231" t="s">
        <v>1001</v>
      </c>
    </row>
    <row r="232" spans="1:26">
      <c r="A232" s="1" t="s">
        <v>256</v>
      </c>
      <c r="B232">
        <f>HYPERLINK("https://www.suredividend.com/sure-analysis-UPS/","United Parcel Service, Inc.")</f>
        <v>0</v>
      </c>
      <c r="C232" t="s">
        <v>883</v>
      </c>
      <c r="D232">
        <v>166</v>
      </c>
      <c r="E232">
        <v>173.84</v>
      </c>
      <c r="F232">
        <v>194</v>
      </c>
      <c r="G232">
        <v>0.8960824742268041</v>
      </c>
      <c r="H232">
        <v>0.0349746893695352</v>
      </c>
      <c r="I232">
        <v>0.02218711757158154</v>
      </c>
      <c r="J232">
        <v>0.045</v>
      </c>
      <c r="K232">
        <v>0.09768352476709463</v>
      </c>
      <c r="L232" t="s">
        <v>887</v>
      </c>
      <c r="M232" t="s">
        <v>887</v>
      </c>
      <c r="N232">
        <v>13.44470224284609</v>
      </c>
      <c r="O232">
        <v>12.93</v>
      </c>
      <c r="P232">
        <v>6.08</v>
      </c>
      <c r="Q232">
        <v>0.4702242846094354</v>
      </c>
      <c r="R232">
        <v>13</v>
      </c>
      <c r="S232">
        <v>0.05000563166277994</v>
      </c>
      <c r="T232" t="s">
        <v>914</v>
      </c>
      <c r="U232">
        <v>-0.152915677492037</v>
      </c>
      <c r="V232" t="s">
        <v>986</v>
      </c>
      <c r="W232" t="s">
        <v>991</v>
      </c>
      <c r="X232">
        <v>150357.372587</v>
      </c>
      <c r="Y232" s="2">
        <v>44873</v>
      </c>
      <c r="Z232" t="s">
        <v>1008</v>
      </c>
    </row>
    <row r="233" spans="1:26">
      <c r="A233" s="1" t="s">
        <v>257</v>
      </c>
      <c r="B233">
        <f>HYPERLINK("https://www.suredividend.com/sure-analysis-ATRI/","Atrion Corp.")</f>
        <v>0</v>
      </c>
      <c r="C233" t="s">
        <v>884</v>
      </c>
      <c r="D233">
        <v>635</v>
      </c>
      <c r="E233">
        <v>559.45</v>
      </c>
      <c r="F233">
        <v>677</v>
      </c>
      <c r="G233">
        <v>0.8263663220088627</v>
      </c>
      <c r="H233">
        <v>0.01537224059343998</v>
      </c>
      <c r="I233">
        <v>0.0388802214411077</v>
      </c>
      <c r="J233">
        <v>0.04</v>
      </c>
      <c r="K233">
        <v>0.09603418461216262</v>
      </c>
      <c r="L233" t="s">
        <v>887</v>
      </c>
      <c r="M233" t="s">
        <v>572</v>
      </c>
      <c r="N233">
        <v>28.91214470284238</v>
      </c>
      <c r="O233">
        <v>19.35</v>
      </c>
      <c r="P233">
        <v>8.6</v>
      </c>
      <c r="Q233">
        <v>0.4444444444444444</v>
      </c>
      <c r="R233">
        <v>18</v>
      </c>
      <c r="S233">
        <v>0.1200570655477584</v>
      </c>
      <c r="T233" t="s">
        <v>891</v>
      </c>
      <c r="U233">
        <v>-0.19005908826235</v>
      </c>
      <c r="V233" t="s">
        <v>986</v>
      </c>
      <c r="W233" t="s">
        <v>992</v>
      </c>
      <c r="X233">
        <v>991.6933780000001</v>
      </c>
      <c r="Y233" s="2">
        <v>44907</v>
      </c>
      <c r="Z233" t="s">
        <v>1010</v>
      </c>
    </row>
    <row r="234" spans="1:26">
      <c r="A234" s="1" t="s">
        <v>258</v>
      </c>
      <c r="B234">
        <f>HYPERLINK("https://www.suredividend.com/sure-analysis-R/","Ryder System, Inc.")</f>
        <v>0</v>
      </c>
      <c r="C234" t="s">
        <v>883</v>
      </c>
      <c r="D234">
        <v>82</v>
      </c>
      <c r="E234">
        <v>83.56999999999999</v>
      </c>
      <c r="F234">
        <v>190</v>
      </c>
      <c r="G234">
        <v>0.4398421052631579</v>
      </c>
      <c r="H234">
        <v>0.02967572095249492</v>
      </c>
      <c r="I234">
        <v>0.1785299934840638</v>
      </c>
      <c r="J234">
        <v>-0.09</v>
      </c>
      <c r="K234">
        <v>0.09577706003810138</v>
      </c>
      <c r="L234" t="s">
        <v>887</v>
      </c>
      <c r="M234" t="s">
        <v>573</v>
      </c>
      <c r="N234">
        <v>5.272555205047318</v>
      </c>
      <c r="O234">
        <v>15.85</v>
      </c>
      <c r="P234">
        <v>2.48</v>
      </c>
      <c r="Q234">
        <v>0.1564668769716088</v>
      </c>
      <c r="R234">
        <v>18</v>
      </c>
      <c r="S234">
        <v>0.02747989306053134</v>
      </c>
      <c r="T234" t="s">
        <v>949</v>
      </c>
      <c r="U234">
        <v>0.054959648456188</v>
      </c>
      <c r="V234" t="s">
        <v>986</v>
      </c>
      <c r="W234" t="s">
        <v>991</v>
      </c>
      <c r="X234">
        <v>4199.483758</v>
      </c>
      <c r="Y234" s="2">
        <v>44861</v>
      </c>
      <c r="Z234" t="s">
        <v>1003</v>
      </c>
    </row>
    <row r="235" spans="1:26">
      <c r="A235" s="1" t="s">
        <v>259</v>
      </c>
      <c r="B235">
        <f>HYPERLINK("https://www.suredividend.com/sure-analysis-AMGN/","AMGEN Inc.")</f>
        <v>0</v>
      </c>
      <c r="C235" t="s">
        <v>884</v>
      </c>
      <c r="D235">
        <v>273</v>
      </c>
      <c r="E235">
        <v>262.64</v>
      </c>
      <c r="F235">
        <v>235</v>
      </c>
      <c r="G235">
        <v>1.117617021276596</v>
      </c>
      <c r="H235">
        <v>0.03243984160828511</v>
      </c>
      <c r="I235">
        <v>-0.02199427170276491</v>
      </c>
      <c r="J235">
        <v>0.09</v>
      </c>
      <c r="K235">
        <v>0.09527413350780045</v>
      </c>
      <c r="L235" t="s">
        <v>887</v>
      </c>
      <c r="M235" t="s">
        <v>887</v>
      </c>
      <c r="N235">
        <v>14.96524216524216</v>
      </c>
      <c r="O235">
        <v>17.55</v>
      </c>
      <c r="P235">
        <v>8.52</v>
      </c>
      <c r="Q235">
        <v>0.4854700854700854</v>
      </c>
      <c r="R235">
        <v>12</v>
      </c>
      <c r="S235">
        <v>0.06982550252761355</v>
      </c>
      <c r="T235" t="s">
        <v>897</v>
      </c>
      <c r="U235">
        <v>0.196342464418104</v>
      </c>
      <c r="V235" t="s">
        <v>986</v>
      </c>
      <c r="W235" t="s">
        <v>998</v>
      </c>
      <c r="X235">
        <v>140139.242664</v>
      </c>
      <c r="Y235" s="2">
        <v>44873</v>
      </c>
      <c r="Z235" t="s">
        <v>1001</v>
      </c>
    </row>
    <row r="236" spans="1:26">
      <c r="A236" s="1" t="s">
        <v>260</v>
      </c>
      <c r="B236">
        <f>HYPERLINK("https://www.suredividend.com/sure-analysis-MO/","Altria Group Inc.")</f>
        <v>0</v>
      </c>
      <c r="C236" t="s">
        <v>884</v>
      </c>
      <c r="D236">
        <v>45.8</v>
      </c>
      <c r="E236">
        <v>45.71</v>
      </c>
      <c r="F236">
        <v>52.8</v>
      </c>
      <c r="G236">
        <v>0.8657196969696971</v>
      </c>
      <c r="H236">
        <v>0.08225771166046816</v>
      </c>
      <c r="I236">
        <v>0.02925868485414762</v>
      </c>
      <c r="J236">
        <v>-0.003</v>
      </c>
      <c r="K236">
        <v>0.09511596759351204</v>
      </c>
      <c r="L236" t="s">
        <v>887</v>
      </c>
      <c r="M236" t="s">
        <v>886</v>
      </c>
      <c r="N236">
        <v>9.522916666666667</v>
      </c>
      <c r="O236">
        <v>4.8</v>
      </c>
      <c r="P236">
        <v>3.76</v>
      </c>
      <c r="Q236">
        <v>0.7833333333333333</v>
      </c>
      <c r="R236">
        <v>53</v>
      </c>
      <c r="S236">
        <v>0.0204250165236175</v>
      </c>
      <c r="T236" t="s">
        <v>950</v>
      </c>
      <c r="U236">
        <v>0.046819464292257</v>
      </c>
      <c r="V236" t="s">
        <v>986</v>
      </c>
      <c r="W236" t="s">
        <v>996</v>
      </c>
      <c r="X236">
        <v>81920.21036899999</v>
      </c>
      <c r="Y236" s="2">
        <v>44875</v>
      </c>
      <c r="Z236" t="s">
        <v>1009</v>
      </c>
    </row>
    <row r="237" spans="1:26">
      <c r="A237" s="1" t="s">
        <v>261</v>
      </c>
      <c r="B237">
        <f>HYPERLINK("https://www.suredividend.com/sure-analysis-OMC/","Omnicom Group, Inc.")</f>
        <v>0</v>
      </c>
      <c r="C237" t="s">
        <v>883</v>
      </c>
      <c r="D237">
        <v>71</v>
      </c>
      <c r="E237">
        <v>81.56999999999999</v>
      </c>
      <c r="F237">
        <v>92</v>
      </c>
      <c r="G237">
        <v>0.8866304347826086</v>
      </c>
      <c r="H237">
        <v>0.03432634547014834</v>
      </c>
      <c r="I237">
        <v>0.02435731476015679</v>
      </c>
      <c r="J237">
        <v>0.04</v>
      </c>
      <c r="K237">
        <v>0.09458468029838185</v>
      </c>
      <c r="L237" t="s">
        <v>887</v>
      </c>
      <c r="M237" t="s">
        <v>887</v>
      </c>
      <c r="N237">
        <v>11.4887323943662</v>
      </c>
      <c r="O237">
        <v>7.1</v>
      </c>
      <c r="P237">
        <v>2.8</v>
      </c>
      <c r="Q237">
        <v>0.3943661971830986</v>
      </c>
      <c r="R237">
        <v>1</v>
      </c>
      <c r="S237">
        <v>0.04978904632428516</v>
      </c>
      <c r="T237" t="s">
        <v>909</v>
      </c>
      <c r="U237">
        <v>0.149486838749134</v>
      </c>
      <c r="V237" t="s">
        <v>986</v>
      </c>
      <c r="W237" t="s">
        <v>995</v>
      </c>
      <c r="X237">
        <v>16633.438561</v>
      </c>
      <c r="Y237" s="2">
        <v>44859</v>
      </c>
      <c r="Z237" t="s">
        <v>1007</v>
      </c>
    </row>
    <row r="238" spans="1:26">
      <c r="A238" s="1" t="s">
        <v>262</v>
      </c>
      <c r="B238">
        <f>HYPERLINK("https://www.suredividend.com/sure-analysis-AVNT/","Avient Corp")</f>
        <v>0</v>
      </c>
      <c r="C238" t="s">
        <v>883</v>
      </c>
      <c r="D238">
        <v>28</v>
      </c>
      <c r="E238">
        <v>33.76</v>
      </c>
      <c r="F238">
        <v>43</v>
      </c>
      <c r="G238">
        <v>0.7851162790697674</v>
      </c>
      <c r="H238">
        <v>0.02932464454976303</v>
      </c>
      <c r="I238">
        <v>0.04957433757847785</v>
      </c>
      <c r="J238">
        <v>0.02</v>
      </c>
      <c r="K238">
        <v>0.09455883583073832</v>
      </c>
      <c r="L238" t="s">
        <v>887</v>
      </c>
      <c r="M238" t="s">
        <v>887</v>
      </c>
      <c r="N238">
        <v>13.23921568627451</v>
      </c>
      <c r="O238">
        <v>2.55</v>
      </c>
      <c r="P238">
        <v>0.99</v>
      </c>
      <c r="Q238">
        <v>0.3882352941176471</v>
      </c>
      <c r="R238">
        <v>12</v>
      </c>
      <c r="S238">
        <v>0.03922410156720635</v>
      </c>
      <c r="T238" t="s">
        <v>888</v>
      </c>
      <c r="U238">
        <v>-0.379813062136264</v>
      </c>
      <c r="V238" t="s">
        <v>986</v>
      </c>
      <c r="W238" t="s">
        <v>990</v>
      </c>
      <c r="X238">
        <v>3070.253607</v>
      </c>
      <c r="Y238" s="2">
        <v>44867</v>
      </c>
      <c r="Z238" t="s">
        <v>1017</v>
      </c>
    </row>
    <row r="239" spans="1:26">
      <c r="A239" s="1" t="s">
        <v>263</v>
      </c>
      <c r="B239">
        <f>HYPERLINK("https://www.suredividend.com/sure-analysis-IPG/","Interpublic Group Of Cos., Inc.")</f>
        <v>0</v>
      </c>
      <c r="C239" t="s">
        <v>883</v>
      </c>
      <c r="D239">
        <v>28</v>
      </c>
      <c r="E239">
        <v>33.31</v>
      </c>
      <c r="F239">
        <v>32</v>
      </c>
      <c r="G239">
        <v>1.0409375</v>
      </c>
      <c r="H239">
        <v>0.03482437706394476</v>
      </c>
      <c r="I239">
        <v>-0.007992240728091127</v>
      </c>
      <c r="J239">
        <v>0.07000000000000001</v>
      </c>
      <c r="K239">
        <v>0.09281803142607425</v>
      </c>
      <c r="L239" t="s">
        <v>887</v>
      </c>
      <c r="M239" t="s">
        <v>887</v>
      </c>
      <c r="N239">
        <v>12.33703703703704</v>
      </c>
      <c r="O239">
        <v>2.7</v>
      </c>
      <c r="P239">
        <v>1.16</v>
      </c>
      <c r="Q239">
        <v>0.4296296296296296</v>
      </c>
      <c r="R239">
        <v>11</v>
      </c>
      <c r="S239">
        <v>0.06509372738446295</v>
      </c>
      <c r="T239" t="s">
        <v>891</v>
      </c>
      <c r="U239">
        <v>-0.08603256917863601</v>
      </c>
      <c r="V239" t="s">
        <v>986</v>
      </c>
      <c r="W239" t="s">
        <v>995</v>
      </c>
      <c r="X239">
        <v>12941.758357</v>
      </c>
      <c r="Y239" s="2">
        <v>44855</v>
      </c>
      <c r="Z239" t="s">
        <v>1011</v>
      </c>
    </row>
    <row r="240" spans="1:26">
      <c r="A240" s="1" t="s">
        <v>264</v>
      </c>
      <c r="B240">
        <f>HYPERLINK("https://www.suredividend.com/sure-analysis-SUN/","Sunoco LP")</f>
        <v>0</v>
      </c>
      <c r="C240" t="s">
        <v>884</v>
      </c>
      <c r="D240">
        <v>43</v>
      </c>
      <c r="E240">
        <v>43.1</v>
      </c>
      <c r="F240">
        <v>47</v>
      </c>
      <c r="G240">
        <v>0.9170212765957447</v>
      </c>
      <c r="H240">
        <v>0.0765661252900232</v>
      </c>
      <c r="I240">
        <v>0.01747586781688137</v>
      </c>
      <c r="J240">
        <v>0.015</v>
      </c>
      <c r="K240">
        <v>0.09267476588983437</v>
      </c>
      <c r="L240" t="s">
        <v>887</v>
      </c>
      <c r="M240" t="s">
        <v>886</v>
      </c>
      <c r="N240">
        <v>5.986111111111112</v>
      </c>
      <c r="O240">
        <v>7.2</v>
      </c>
      <c r="P240">
        <v>3.3</v>
      </c>
      <c r="Q240">
        <v>0.4583333333333333</v>
      </c>
      <c r="R240">
        <v>0</v>
      </c>
      <c r="S240">
        <v>0</v>
      </c>
      <c r="T240" t="s">
        <v>927</v>
      </c>
      <c r="U240">
        <v>0.149348657982106</v>
      </c>
      <c r="V240" t="s">
        <v>988</v>
      </c>
      <c r="W240" t="s">
        <v>999</v>
      </c>
      <c r="X240">
        <v>3610.19823</v>
      </c>
      <c r="Y240" s="2">
        <v>44888</v>
      </c>
      <c r="Z240" t="s">
        <v>1007</v>
      </c>
    </row>
    <row r="241" spans="1:26">
      <c r="A241" s="1" t="s">
        <v>265</v>
      </c>
      <c r="B241">
        <f>HYPERLINK("https://www.suredividend.com/sure-analysis-MTB/","M &amp; T Bank Corp")</f>
        <v>0</v>
      </c>
      <c r="C241" t="s">
        <v>884</v>
      </c>
      <c r="D241">
        <v>166</v>
      </c>
      <c r="E241">
        <v>145.06</v>
      </c>
      <c r="F241">
        <v>150</v>
      </c>
      <c r="G241">
        <v>0.9670666666666666</v>
      </c>
      <c r="H241">
        <v>0.03308975596304977</v>
      </c>
      <c r="I241">
        <v>0.006720047702901466</v>
      </c>
      <c r="J241">
        <v>0.06</v>
      </c>
      <c r="K241">
        <v>0.09256651861477527</v>
      </c>
      <c r="L241" t="s">
        <v>887</v>
      </c>
      <c r="M241" t="s">
        <v>887</v>
      </c>
      <c r="N241">
        <v>9.690046760187041</v>
      </c>
      <c r="O241">
        <v>14.97</v>
      </c>
      <c r="P241">
        <v>4.8</v>
      </c>
      <c r="Q241">
        <v>0.3206412825651302</v>
      </c>
      <c r="R241">
        <v>5</v>
      </c>
      <c r="S241">
        <v>0.01496218345645683</v>
      </c>
      <c r="T241" t="s">
        <v>891</v>
      </c>
      <c r="U241">
        <v>-0.033362520374287</v>
      </c>
      <c r="V241" t="s">
        <v>986</v>
      </c>
      <c r="W241" t="s">
        <v>994</v>
      </c>
      <c r="X241">
        <v>25039.291536</v>
      </c>
      <c r="Y241" s="2">
        <v>44854</v>
      </c>
      <c r="Z241" t="s">
        <v>1001</v>
      </c>
    </row>
    <row r="242" spans="1:26">
      <c r="A242" s="1" t="s">
        <v>266</v>
      </c>
      <c r="B242">
        <f>HYPERLINK("https://www.suredividend.com/sure-analysis-UNH/","Unitedhealth Group Inc")</f>
        <v>0</v>
      </c>
      <c r="C242" t="s">
        <v>884</v>
      </c>
      <c r="D242">
        <v>513</v>
      </c>
      <c r="E242">
        <v>530.1799999999999</v>
      </c>
      <c r="F242">
        <v>439</v>
      </c>
      <c r="G242">
        <v>1.207699316628702</v>
      </c>
      <c r="H242">
        <v>0.01244860236146215</v>
      </c>
      <c r="I242">
        <v>-0.03704002578816523</v>
      </c>
      <c r="J242">
        <v>0.12</v>
      </c>
      <c r="K242">
        <v>0.0920395549089752</v>
      </c>
      <c r="L242" t="s">
        <v>887</v>
      </c>
      <c r="M242" t="s">
        <v>572</v>
      </c>
      <c r="N242">
        <v>24.15398633257403</v>
      </c>
      <c r="O242">
        <v>21.95</v>
      </c>
      <c r="P242">
        <v>6.6</v>
      </c>
      <c r="Q242">
        <v>0.3006833712984054</v>
      </c>
      <c r="R242">
        <v>13</v>
      </c>
      <c r="S242">
        <v>0.1400406130266392</v>
      </c>
      <c r="T242" t="s">
        <v>902</v>
      </c>
      <c r="U242">
        <v>0.06450817545812501</v>
      </c>
      <c r="V242" t="s">
        <v>986</v>
      </c>
      <c r="W242" t="s">
        <v>998</v>
      </c>
      <c r="X242">
        <v>495373.191523</v>
      </c>
      <c r="Y242" s="2">
        <v>44851</v>
      </c>
      <c r="Z242" t="s">
        <v>1005</v>
      </c>
    </row>
    <row r="243" spans="1:26">
      <c r="A243" s="1" t="s">
        <v>267</v>
      </c>
      <c r="B243">
        <f>HYPERLINK("https://www.suredividend.com/sure-analysis-PB/","Prosperity Bancshares Inc.")</f>
        <v>0</v>
      </c>
      <c r="C243" t="s">
        <v>884</v>
      </c>
      <c r="D243">
        <v>72</v>
      </c>
      <c r="E243">
        <v>72.68000000000001</v>
      </c>
      <c r="F243">
        <v>82</v>
      </c>
      <c r="G243">
        <v>0.8863414634146343</v>
      </c>
      <c r="H243">
        <v>0.03026967528893781</v>
      </c>
      <c r="I243">
        <v>0.02442409970735815</v>
      </c>
      <c r="J243">
        <v>0.04</v>
      </c>
      <c r="K243">
        <v>0.09197525226694925</v>
      </c>
      <c r="L243" t="s">
        <v>887</v>
      </c>
      <c r="M243" t="s">
        <v>887</v>
      </c>
      <c r="N243">
        <v>12.75087719298246</v>
      </c>
      <c r="O243">
        <v>5.7</v>
      </c>
      <c r="P243">
        <v>2.2</v>
      </c>
      <c r="Q243">
        <v>0.3859649122807018</v>
      </c>
      <c r="R243">
        <v>19</v>
      </c>
      <c r="S243">
        <v>0.05825915471090526</v>
      </c>
      <c r="T243" t="s">
        <v>901</v>
      </c>
      <c r="U243">
        <v>0.035659577499911</v>
      </c>
      <c r="V243" t="s">
        <v>986</v>
      </c>
      <c r="W243" t="s">
        <v>994</v>
      </c>
      <c r="X243">
        <v>6636.305123</v>
      </c>
      <c r="Y243" s="2">
        <v>44861</v>
      </c>
      <c r="Z243" t="s">
        <v>1003</v>
      </c>
    </row>
    <row r="244" spans="1:26">
      <c r="A244" s="1" t="s">
        <v>268</v>
      </c>
      <c r="B244">
        <f>HYPERLINK("https://www.suredividend.com/sure-analysis-SR/","Spire Inc.")</f>
        <v>0</v>
      </c>
      <c r="C244" t="s">
        <v>884</v>
      </c>
      <c r="D244">
        <v>75</v>
      </c>
      <c r="E244">
        <v>68.86</v>
      </c>
      <c r="F244">
        <v>69</v>
      </c>
      <c r="G244">
        <v>0.9979710144927536</v>
      </c>
      <c r="H244">
        <v>0.04182399070577984</v>
      </c>
      <c r="I244">
        <v>0.0004062918515614911</v>
      </c>
      <c r="J244">
        <v>0.055</v>
      </c>
      <c r="K244">
        <v>0.09195229950408113</v>
      </c>
      <c r="L244" t="s">
        <v>887</v>
      </c>
      <c r="M244" t="s">
        <v>887</v>
      </c>
      <c r="N244">
        <v>16.05128205128205</v>
      </c>
      <c r="O244">
        <v>4.29</v>
      </c>
      <c r="P244">
        <v>2.88</v>
      </c>
      <c r="Q244">
        <v>0.6713286713286712</v>
      </c>
      <c r="R244">
        <v>20</v>
      </c>
      <c r="S244">
        <v>0.05024607263868264</v>
      </c>
      <c r="T244" t="s">
        <v>948</v>
      </c>
      <c r="U244">
        <v>0.10235791893523</v>
      </c>
      <c r="V244" t="s">
        <v>986</v>
      </c>
      <c r="W244" t="s">
        <v>997</v>
      </c>
      <c r="X244">
        <v>3617.915486</v>
      </c>
      <c r="Y244" s="2">
        <v>44895</v>
      </c>
      <c r="Z244" t="s">
        <v>1006</v>
      </c>
    </row>
    <row r="245" spans="1:26">
      <c r="A245" s="1" t="s">
        <v>269</v>
      </c>
      <c r="B245">
        <f>HYPERLINK("https://www.suredividend.com/sure-analysis-ES/","Eversource Energy")</f>
        <v>0</v>
      </c>
      <c r="C245" t="s">
        <v>883</v>
      </c>
      <c r="D245">
        <v>77</v>
      </c>
      <c r="E245">
        <v>83.84</v>
      </c>
      <c r="F245">
        <v>90</v>
      </c>
      <c r="G245">
        <v>0.9315555555555556</v>
      </c>
      <c r="H245">
        <v>0.03041507633587786</v>
      </c>
      <c r="I245">
        <v>0.01428090147039085</v>
      </c>
      <c r="J245">
        <v>0.05</v>
      </c>
      <c r="K245">
        <v>0.091848068562844</v>
      </c>
      <c r="L245" t="s">
        <v>887</v>
      </c>
      <c r="M245" t="s">
        <v>887</v>
      </c>
      <c r="N245">
        <v>20.44878048780488</v>
      </c>
      <c r="O245">
        <v>4.1</v>
      </c>
      <c r="P245">
        <v>2.55</v>
      </c>
      <c r="Q245">
        <v>0.6219512195121951</v>
      </c>
      <c r="R245">
        <v>24</v>
      </c>
      <c r="S245">
        <v>0.05984618216052806</v>
      </c>
      <c r="T245" t="s">
        <v>888</v>
      </c>
      <c r="U245">
        <v>-0.0522848480875</v>
      </c>
      <c r="V245" t="s">
        <v>986</v>
      </c>
      <c r="W245" t="s">
        <v>997</v>
      </c>
      <c r="X245">
        <v>29202.093757</v>
      </c>
      <c r="Y245" s="2">
        <v>44871</v>
      </c>
      <c r="Z245" t="s">
        <v>1004</v>
      </c>
    </row>
    <row r="246" spans="1:26">
      <c r="A246" s="1" t="s">
        <v>270</v>
      </c>
      <c r="B246">
        <f>HYPERLINK("https://www.suredividend.com/sure-analysis-WHR/","Whirlpool Corp.")</f>
        <v>0</v>
      </c>
      <c r="C246" t="s">
        <v>883</v>
      </c>
      <c r="D246">
        <v>133</v>
      </c>
      <c r="E246">
        <v>141.46</v>
      </c>
      <c r="F246">
        <v>171</v>
      </c>
      <c r="G246">
        <v>0.8272514619883041</v>
      </c>
      <c r="H246">
        <v>0.04948395306093595</v>
      </c>
      <c r="I246">
        <v>0.03865781065701723</v>
      </c>
      <c r="J246">
        <v>0.01</v>
      </c>
      <c r="K246">
        <v>0.0915078022799154</v>
      </c>
      <c r="L246" t="s">
        <v>887</v>
      </c>
      <c r="M246" t="s">
        <v>886</v>
      </c>
      <c r="N246">
        <v>7.445263157894737</v>
      </c>
      <c r="O246">
        <v>19</v>
      </c>
      <c r="P246">
        <v>7</v>
      </c>
      <c r="Q246">
        <v>0.3684210526315789</v>
      </c>
      <c r="R246">
        <v>12</v>
      </c>
      <c r="S246">
        <v>0.04008374958398786</v>
      </c>
      <c r="T246" t="s">
        <v>894</v>
      </c>
      <c r="U246">
        <v>-0.36595644166472</v>
      </c>
      <c r="V246" t="s">
        <v>986</v>
      </c>
      <c r="W246" t="s">
        <v>992</v>
      </c>
      <c r="X246">
        <v>7706.507957</v>
      </c>
      <c r="Y246" s="2">
        <v>44861</v>
      </c>
      <c r="Z246" t="s">
        <v>1008</v>
      </c>
    </row>
    <row r="247" spans="1:26">
      <c r="A247" s="1" t="s">
        <v>271</v>
      </c>
      <c r="B247">
        <f>HYPERLINK("https://www.suredividend.com/sure-analysis-APH/","Amphenol Corp.")</f>
        <v>0</v>
      </c>
      <c r="C247" t="s">
        <v>884</v>
      </c>
      <c r="D247">
        <v>76</v>
      </c>
      <c r="E247">
        <v>76.14</v>
      </c>
      <c r="F247">
        <v>68</v>
      </c>
      <c r="G247">
        <v>1.119705882352941</v>
      </c>
      <c r="H247">
        <v>0.01103230890464933</v>
      </c>
      <c r="I247">
        <v>-0.02235944693331449</v>
      </c>
      <c r="J247">
        <v>0.105</v>
      </c>
      <c r="K247">
        <v>0.09064788075230235</v>
      </c>
      <c r="L247" t="s">
        <v>887</v>
      </c>
      <c r="M247" t="s">
        <v>572</v>
      </c>
      <c r="N247">
        <v>25.63636363636363</v>
      </c>
      <c r="O247">
        <v>2.97</v>
      </c>
      <c r="P247">
        <v>0.84</v>
      </c>
      <c r="Q247">
        <v>0.2828282828282828</v>
      </c>
      <c r="R247">
        <v>12</v>
      </c>
      <c r="S247">
        <v>0.08958743119932766</v>
      </c>
      <c r="T247" t="s">
        <v>936</v>
      </c>
      <c r="U247">
        <v>-0.115106985587656</v>
      </c>
      <c r="V247" t="s">
        <v>986</v>
      </c>
      <c r="W247" t="s">
        <v>993</v>
      </c>
      <c r="X247">
        <v>45310.498276</v>
      </c>
      <c r="Y247" s="2">
        <v>44863</v>
      </c>
      <c r="Z247" t="s">
        <v>1017</v>
      </c>
    </row>
    <row r="248" spans="1:26">
      <c r="A248" s="1" t="s">
        <v>272</v>
      </c>
      <c r="B248">
        <f>HYPERLINK("https://www.suredividend.com/sure-analysis-LNT/","Alliant Energy Corp.")</f>
        <v>0</v>
      </c>
      <c r="C248" t="s">
        <v>884</v>
      </c>
      <c r="D248">
        <v>56</v>
      </c>
      <c r="E248">
        <v>55.21</v>
      </c>
      <c r="F248">
        <v>56</v>
      </c>
      <c r="G248">
        <v>0.9858928571428571</v>
      </c>
      <c r="H248">
        <v>0.0309726498822677</v>
      </c>
      <c r="I248">
        <v>0.002845559829198097</v>
      </c>
      <c r="J248">
        <v>0.06</v>
      </c>
      <c r="K248">
        <v>0.0905525941792833</v>
      </c>
      <c r="L248" t="s">
        <v>887</v>
      </c>
      <c r="M248" t="s">
        <v>887</v>
      </c>
      <c r="N248">
        <v>19.71785714285715</v>
      </c>
      <c r="O248">
        <v>2.8</v>
      </c>
      <c r="P248">
        <v>1.71</v>
      </c>
      <c r="Q248">
        <v>0.6107142857142858</v>
      </c>
      <c r="R248">
        <v>19</v>
      </c>
      <c r="S248">
        <v>0.06015135896887758</v>
      </c>
      <c r="T248" t="s">
        <v>926</v>
      </c>
      <c r="U248">
        <v>-0.074109788677005</v>
      </c>
      <c r="V248" t="s">
        <v>986</v>
      </c>
      <c r="W248" t="s">
        <v>997</v>
      </c>
      <c r="X248">
        <v>13858.915234</v>
      </c>
      <c r="Y248" s="2">
        <v>44895</v>
      </c>
      <c r="Z248" t="s">
        <v>1006</v>
      </c>
    </row>
    <row r="249" spans="1:26">
      <c r="A249" s="1" t="s">
        <v>273</v>
      </c>
      <c r="B249">
        <f>HYPERLINK("https://www.suredividend.com/sure-analysis-DEO/","Diageo plc")</f>
        <v>0</v>
      </c>
      <c r="C249" t="s">
        <v>884</v>
      </c>
      <c r="D249">
        <v>190</v>
      </c>
      <c r="E249">
        <v>178.19</v>
      </c>
      <c r="F249">
        <v>171</v>
      </c>
      <c r="G249">
        <v>1.042046783625731</v>
      </c>
      <c r="H249">
        <v>0.02244794881867669</v>
      </c>
      <c r="I249">
        <v>-0.008203533896347426</v>
      </c>
      <c r="J249">
        <v>0.08</v>
      </c>
      <c r="K249">
        <v>0.09024564442821537</v>
      </c>
      <c r="L249" t="s">
        <v>887</v>
      </c>
      <c r="M249" t="s">
        <v>573</v>
      </c>
      <c r="N249">
        <v>20.86533957845434</v>
      </c>
      <c r="O249">
        <v>8.539999999999999</v>
      </c>
      <c r="P249">
        <v>4</v>
      </c>
      <c r="Q249">
        <v>0.468384074941452</v>
      </c>
      <c r="R249">
        <v>9</v>
      </c>
      <c r="S249">
        <v>0.05020040579475671</v>
      </c>
      <c r="T249" t="s">
        <v>951</v>
      </c>
      <c r="U249">
        <v>-0.170300491934188</v>
      </c>
      <c r="V249" t="s">
        <v>986</v>
      </c>
      <c r="W249" t="s">
        <v>996</v>
      </c>
      <c r="X249">
        <v>101290.143628</v>
      </c>
      <c r="Y249" s="2">
        <v>44775</v>
      </c>
      <c r="Z249" t="s">
        <v>1001</v>
      </c>
    </row>
    <row r="250" spans="1:26">
      <c r="A250" s="1" t="s">
        <v>274</v>
      </c>
      <c r="B250">
        <f>HYPERLINK("https://www.suredividend.com/sure-analysis-ALRS/","Alerus Financial Corp")</f>
        <v>0</v>
      </c>
      <c r="C250" t="s">
        <v>884</v>
      </c>
      <c r="D250">
        <v>24</v>
      </c>
      <c r="E250">
        <v>23.35</v>
      </c>
      <c r="F250">
        <v>26</v>
      </c>
      <c r="G250">
        <v>0.8980769230769231</v>
      </c>
      <c r="H250">
        <v>0.03083511777301927</v>
      </c>
      <c r="I250">
        <v>0.0217326991797302</v>
      </c>
      <c r="J250">
        <v>0.04</v>
      </c>
      <c r="K250">
        <v>0.08999106900204579</v>
      </c>
      <c r="L250" t="s">
        <v>887</v>
      </c>
      <c r="M250" t="s">
        <v>887</v>
      </c>
      <c r="N250">
        <v>10.86046511627907</v>
      </c>
      <c r="O250">
        <v>2.15</v>
      </c>
      <c r="P250">
        <v>0.72</v>
      </c>
      <c r="Q250">
        <v>0.3348837209302326</v>
      </c>
      <c r="R250">
        <v>17</v>
      </c>
      <c r="S250">
        <v>0.05922384104881218</v>
      </c>
      <c r="T250" t="s">
        <v>941</v>
      </c>
      <c r="U250">
        <v>-0.174310628938379</v>
      </c>
      <c r="V250" t="s">
        <v>986</v>
      </c>
      <c r="W250" t="s">
        <v>994</v>
      </c>
      <c r="X250">
        <v>466.702848</v>
      </c>
      <c r="Y250" s="2">
        <v>44897</v>
      </c>
      <c r="Z250" t="s">
        <v>1003</v>
      </c>
    </row>
    <row r="251" spans="1:26">
      <c r="A251" s="1" t="s">
        <v>275</v>
      </c>
      <c r="B251">
        <f>HYPERLINK("https://www.suredividend.com/sure-analysis-RELX/","RELX Plc")</f>
        <v>0</v>
      </c>
      <c r="C251" t="s">
        <v>884</v>
      </c>
      <c r="D251">
        <v>29</v>
      </c>
      <c r="E251">
        <v>27.72</v>
      </c>
      <c r="F251">
        <v>29</v>
      </c>
      <c r="G251">
        <v>0.9558620689655172</v>
      </c>
      <c r="H251">
        <v>0.02417027417027417</v>
      </c>
      <c r="I251">
        <v>0.009069209442838178</v>
      </c>
      <c r="J251">
        <v>0.06</v>
      </c>
      <c r="K251">
        <v>0.08986805137066622</v>
      </c>
      <c r="L251" t="s">
        <v>887</v>
      </c>
      <c r="M251" t="s">
        <v>573</v>
      </c>
      <c r="N251">
        <v>22.72131147540983</v>
      </c>
      <c r="O251">
        <v>1.22</v>
      </c>
      <c r="P251">
        <v>0.67</v>
      </c>
      <c r="Q251">
        <v>0.5491803278688525</v>
      </c>
      <c r="R251">
        <v>10</v>
      </c>
      <c r="S251">
        <v>0.04376002056809547</v>
      </c>
      <c r="T251" t="s">
        <v>952</v>
      </c>
      <c r="U251">
        <v>-0.127371632022816</v>
      </c>
      <c r="V251" t="s">
        <v>986</v>
      </c>
      <c r="W251" t="s">
        <v>995</v>
      </c>
      <c r="X251">
        <v>53096.128137</v>
      </c>
      <c r="Y251" s="2">
        <v>44771</v>
      </c>
      <c r="Z251" t="s">
        <v>1011</v>
      </c>
    </row>
    <row r="252" spans="1:26">
      <c r="A252" s="1" t="s">
        <v>276</v>
      </c>
      <c r="B252">
        <f>HYPERLINK("https://www.suredividend.com/sure-analysis-TSN/","Tyson Foods, Inc.")</f>
        <v>0</v>
      </c>
      <c r="C252" t="s">
        <v>884</v>
      </c>
      <c r="D252">
        <v>65</v>
      </c>
      <c r="E252">
        <v>62.25</v>
      </c>
      <c r="F252">
        <v>66</v>
      </c>
      <c r="G252">
        <v>0.9431818181818182</v>
      </c>
      <c r="H252">
        <v>0.0308433734939759</v>
      </c>
      <c r="I252">
        <v>0.01176794512623491</v>
      </c>
      <c r="J252">
        <v>0.05</v>
      </c>
      <c r="K252">
        <v>0.0898395868128683</v>
      </c>
      <c r="L252" t="s">
        <v>887</v>
      </c>
      <c r="M252" t="s">
        <v>887</v>
      </c>
      <c r="N252">
        <v>9.431818181818182</v>
      </c>
      <c r="O252">
        <v>6.6</v>
      </c>
      <c r="P252">
        <v>1.92</v>
      </c>
      <c r="Q252">
        <v>0.2909090909090909</v>
      </c>
      <c r="R252">
        <v>12</v>
      </c>
      <c r="S252">
        <v>0.06005006969898052</v>
      </c>
      <c r="T252" t="s">
        <v>891</v>
      </c>
      <c r="U252">
        <v>-0.265600243502184</v>
      </c>
      <c r="V252" t="s">
        <v>986</v>
      </c>
      <c r="W252" t="s">
        <v>996</v>
      </c>
      <c r="X252">
        <v>22386.9675</v>
      </c>
      <c r="Y252" s="2">
        <v>44882</v>
      </c>
      <c r="Z252" t="s">
        <v>1011</v>
      </c>
    </row>
    <row r="253" spans="1:26">
      <c r="A253" s="1" t="s">
        <v>277</v>
      </c>
      <c r="B253">
        <f>HYPERLINK("https://www.suredividend.com/sure-analysis-CI/","Cigna Corp.")</f>
        <v>0</v>
      </c>
      <c r="C253" t="s">
        <v>884</v>
      </c>
      <c r="D253">
        <v>325</v>
      </c>
      <c r="E253">
        <v>331.34</v>
      </c>
      <c r="F253">
        <v>300</v>
      </c>
      <c r="G253">
        <v>1.104466666666666</v>
      </c>
      <c r="H253">
        <v>0.01352085471117282</v>
      </c>
      <c r="I253">
        <v>-0.01967635591443673</v>
      </c>
      <c r="J253">
        <v>0.1</v>
      </c>
      <c r="K253">
        <v>0.08971945681823001</v>
      </c>
      <c r="L253" t="s">
        <v>887</v>
      </c>
      <c r="M253" t="s">
        <v>572</v>
      </c>
      <c r="N253">
        <v>14.34372294372294</v>
      </c>
      <c r="O253">
        <v>23.1</v>
      </c>
      <c r="P253">
        <v>4.48</v>
      </c>
      <c r="Q253">
        <v>0.1939393939393939</v>
      </c>
      <c r="R253">
        <v>2</v>
      </c>
      <c r="S253">
        <v>0.05008294028029181</v>
      </c>
      <c r="T253" t="s">
        <v>942</v>
      </c>
      <c r="U253">
        <v>0.453978980626192</v>
      </c>
      <c r="V253" t="s">
        <v>986</v>
      </c>
      <c r="W253" t="s">
        <v>998</v>
      </c>
      <c r="X253">
        <v>101303.561585</v>
      </c>
      <c r="Y253" s="2">
        <v>44873</v>
      </c>
      <c r="Z253" t="s">
        <v>1001</v>
      </c>
    </row>
    <row r="254" spans="1:26">
      <c r="A254" s="1" t="s">
        <v>278</v>
      </c>
      <c r="B254">
        <f>HYPERLINK("https://www.suredividend.com/sure-analysis-AMX/","America Movil S.A.B.DE C.V.")</f>
        <v>0</v>
      </c>
      <c r="C254" t="s">
        <v>884</v>
      </c>
      <c r="D254">
        <v>17</v>
      </c>
      <c r="E254">
        <v>18.2</v>
      </c>
      <c r="F254">
        <v>19</v>
      </c>
      <c r="G254">
        <v>0.9578947368421052</v>
      </c>
      <c r="H254">
        <v>0.02417582417582418</v>
      </c>
      <c r="I254">
        <v>0.008640593291774579</v>
      </c>
      <c r="J254">
        <v>0.06</v>
      </c>
      <c r="K254">
        <v>0.08955995522981253</v>
      </c>
      <c r="L254" t="s">
        <v>887</v>
      </c>
      <c r="M254" t="s">
        <v>573</v>
      </c>
      <c r="N254">
        <v>13</v>
      </c>
      <c r="O254">
        <v>1.4</v>
      </c>
      <c r="P254">
        <v>0.44</v>
      </c>
      <c r="Q254">
        <v>0.3142857142857143</v>
      </c>
      <c r="R254">
        <v>2</v>
      </c>
      <c r="S254">
        <v>0.04563955259127317</v>
      </c>
      <c r="U254">
        <v>-0.118246958678726</v>
      </c>
      <c r="V254" t="s">
        <v>986</v>
      </c>
      <c r="W254" t="s">
        <v>995</v>
      </c>
      <c r="X254">
        <v>39008.457254</v>
      </c>
      <c r="Y254" s="2">
        <v>44854</v>
      </c>
      <c r="Z254" t="s">
        <v>1003</v>
      </c>
    </row>
    <row r="255" spans="1:26">
      <c r="A255" s="1" t="s">
        <v>279</v>
      </c>
      <c r="B255">
        <f>HYPERLINK("https://www.suredividend.com/sure-analysis-SRE/","Sempra Energy")</f>
        <v>0</v>
      </c>
      <c r="C255" t="s">
        <v>884</v>
      </c>
      <c r="D255">
        <v>150</v>
      </c>
      <c r="E255">
        <v>154.54</v>
      </c>
      <c r="F255">
        <v>165</v>
      </c>
      <c r="G255">
        <v>0.9366060606060606</v>
      </c>
      <c r="H255">
        <v>0.02963634010612139</v>
      </c>
      <c r="I255">
        <v>0.01318466344308367</v>
      </c>
      <c r="J255">
        <v>0.05</v>
      </c>
      <c r="K255">
        <v>0.089443208514558</v>
      </c>
      <c r="L255" t="s">
        <v>887</v>
      </c>
      <c r="M255" t="s">
        <v>887</v>
      </c>
      <c r="N255">
        <v>17.66171428571429</v>
      </c>
      <c r="O255">
        <v>8.75</v>
      </c>
      <c r="P255">
        <v>4.58</v>
      </c>
      <c r="Q255">
        <v>0.5234285714285715</v>
      </c>
      <c r="R255">
        <v>12</v>
      </c>
      <c r="S255">
        <v>0.05016630004480027</v>
      </c>
      <c r="T255" t="s">
        <v>950</v>
      </c>
      <c r="U255">
        <v>0.207649436263554</v>
      </c>
      <c r="V255" t="s">
        <v>986</v>
      </c>
      <c r="W255" t="s">
        <v>997</v>
      </c>
      <c r="X255">
        <v>48577.077918</v>
      </c>
      <c r="Y255" s="2">
        <v>44873</v>
      </c>
      <c r="Z255" t="s">
        <v>1003</v>
      </c>
    </row>
    <row r="256" spans="1:26">
      <c r="A256" s="1" t="s">
        <v>280</v>
      </c>
      <c r="B256">
        <f>HYPERLINK("https://www.suredividend.com/sure-analysis-GEF/","Greif Inc")</f>
        <v>0</v>
      </c>
      <c r="C256" t="s">
        <v>884</v>
      </c>
      <c r="D256">
        <v>67</v>
      </c>
      <c r="E256">
        <v>67.06</v>
      </c>
      <c r="F256">
        <v>97</v>
      </c>
      <c r="G256">
        <v>0.691340206185567</v>
      </c>
      <c r="H256">
        <v>0.02982403817476886</v>
      </c>
      <c r="I256">
        <v>0.07661800127751639</v>
      </c>
      <c r="J256">
        <v>-0.01</v>
      </c>
      <c r="K256">
        <v>0.08927707085158909</v>
      </c>
      <c r="L256" t="s">
        <v>887</v>
      </c>
      <c r="M256" t="s">
        <v>887</v>
      </c>
      <c r="N256">
        <v>9.313888888888888</v>
      </c>
      <c r="O256">
        <v>7.2</v>
      </c>
      <c r="P256">
        <v>2</v>
      </c>
      <c r="Q256">
        <v>0.2777777777777778</v>
      </c>
      <c r="R256">
        <v>2</v>
      </c>
      <c r="S256">
        <v>0.01924487649145656</v>
      </c>
      <c r="T256" t="s">
        <v>888</v>
      </c>
      <c r="U256">
        <v>0.155850177272876</v>
      </c>
      <c r="V256" t="s">
        <v>986</v>
      </c>
      <c r="W256" t="s">
        <v>992</v>
      </c>
      <c r="X256">
        <v>3417.654929</v>
      </c>
      <c r="Y256" s="2">
        <v>44903</v>
      </c>
      <c r="Z256" t="s">
        <v>1003</v>
      </c>
    </row>
    <row r="257" spans="1:26">
      <c r="A257" s="1" t="s">
        <v>281</v>
      </c>
      <c r="B257">
        <f>HYPERLINK("https://www.suredividend.com/sure-analysis-NVS/","Novartis AG")</f>
        <v>0</v>
      </c>
      <c r="C257" t="s">
        <v>883</v>
      </c>
      <c r="D257">
        <v>78</v>
      </c>
      <c r="E257">
        <v>90.72</v>
      </c>
      <c r="F257">
        <v>98</v>
      </c>
      <c r="G257">
        <v>0.9257142857142857</v>
      </c>
      <c r="H257">
        <v>0.03670634920634921</v>
      </c>
      <c r="I257">
        <v>0.01555770813790969</v>
      </c>
      <c r="J257">
        <v>0.04</v>
      </c>
      <c r="K257">
        <v>0.08749226040813096</v>
      </c>
      <c r="L257" t="s">
        <v>887</v>
      </c>
      <c r="M257" t="s">
        <v>887</v>
      </c>
      <c r="N257">
        <v>14.87213114754098</v>
      </c>
      <c r="O257">
        <v>6.1</v>
      </c>
      <c r="P257">
        <v>3.33</v>
      </c>
      <c r="Q257">
        <v>0.5459016393442624</v>
      </c>
      <c r="R257">
        <v>26</v>
      </c>
      <c r="S257">
        <v>0.03992533304330625</v>
      </c>
      <c r="T257" t="s">
        <v>953</v>
      </c>
      <c r="U257">
        <v>0.08070760617070701</v>
      </c>
      <c r="V257" t="s">
        <v>986</v>
      </c>
      <c r="W257" t="s">
        <v>998</v>
      </c>
      <c r="X257">
        <v>218065.591981</v>
      </c>
      <c r="Y257" s="2">
        <v>44859</v>
      </c>
      <c r="Z257" t="s">
        <v>1001</v>
      </c>
    </row>
    <row r="258" spans="1:26">
      <c r="A258" s="1" t="s">
        <v>282</v>
      </c>
      <c r="B258">
        <f>HYPERLINK("https://www.suredividend.com/sure-analysis-CDUAF/","Canadian Utilities Ltd.")</f>
        <v>0</v>
      </c>
      <c r="C258" t="s">
        <v>883</v>
      </c>
      <c r="D258">
        <v>26</v>
      </c>
      <c r="E258">
        <v>27.18</v>
      </c>
      <c r="F258">
        <v>28</v>
      </c>
      <c r="G258">
        <v>0.9707142857142858</v>
      </c>
      <c r="H258">
        <v>0.04856512141280354</v>
      </c>
      <c r="I258">
        <v>0.005962324610073289</v>
      </c>
      <c r="J258">
        <v>0.04</v>
      </c>
      <c r="K258">
        <v>0.08658113188390182</v>
      </c>
      <c r="L258" t="s">
        <v>887</v>
      </c>
      <c r="M258" t="s">
        <v>886</v>
      </c>
      <c r="N258">
        <v>15.35593220338983</v>
      </c>
      <c r="O258">
        <v>1.77</v>
      </c>
      <c r="P258">
        <v>1.32</v>
      </c>
      <c r="Q258">
        <v>0.7457627118644068</v>
      </c>
      <c r="R258">
        <v>50</v>
      </c>
      <c r="S258">
        <v>0.02452478088008614</v>
      </c>
      <c r="T258" t="s">
        <v>893</v>
      </c>
      <c r="U258">
        <v>-0.055922195206668</v>
      </c>
      <c r="V258" t="s">
        <v>986</v>
      </c>
      <c r="W258" t="s">
        <v>997</v>
      </c>
      <c r="X258">
        <v>5376.564108</v>
      </c>
      <c r="Y258" s="2">
        <v>44861</v>
      </c>
      <c r="Z258" t="s">
        <v>1011</v>
      </c>
    </row>
    <row r="259" spans="1:26">
      <c r="A259" s="1" t="s">
        <v>283</v>
      </c>
      <c r="B259">
        <f>HYPERLINK("https://www.suredividend.com/sure-analysis-CVS/","CVS Health Corp")</f>
        <v>0</v>
      </c>
      <c r="C259" t="s">
        <v>884</v>
      </c>
      <c r="D259">
        <v>101</v>
      </c>
      <c r="E259">
        <v>93.19</v>
      </c>
      <c r="F259">
        <v>95</v>
      </c>
      <c r="G259">
        <v>0.9809473684210526</v>
      </c>
      <c r="H259">
        <v>0.02596845155059556</v>
      </c>
      <c r="I259">
        <v>0.003854704697745737</v>
      </c>
      <c r="J259">
        <v>0.06</v>
      </c>
      <c r="K259">
        <v>0.08596647300683835</v>
      </c>
      <c r="L259" t="s">
        <v>887</v>
      </c>
      <c r="M259" t="s">
        <v>887</v>
      </c>
      <c r="N259">
        <v>10.83604651162791</v>
      </c>
      <c r="O259">
        <v>8.6</v>
      </c>
      <c r="P259">
        <v>2.42</v>
      </c>
      <c r="Q259">
        <v>0.2813953488372093</v>
      </c>
      <c r="R259">
        <v>2</v>
      </c>
      <c r="S259">
        <v>0.03969604731203935</v>
      </c>
      <c r="T259" t="s">
        <v>892</v>
      </c>
      <c r="U259">
        <v>-0.08089214315161501</v>
      </c>
      <c r="V259" t="s">
        <v>986</v>
      </c>
      <c r="W259" t="s">
        <v>998</v>
      </c>
      <c r="X259">
        <v>122448.576529</v>
      </c>
      <c r="Y259" s="2">
        <v>44873</v>
      </c>
      <c r="Z259" t="s">
        <v>1001</v>
      </c>
    </row>
    <row r="260" spans="1:26">
      <c r="A260" s="1" t="s">
        <v>284</v>
      </c>
      <c r="B260">
        <f>HYPERLINK("https://www.suredividend.com/sure-analysis-NSC/","Norfolk Southern Corp.")</f>
        <v>0</v>
      </c>
      <c r="C260" t="s">
        <v>883</v>
      </c>
      <c r="D260">
        <v>229</v>
      </c>
      <c r="E260">
        <v>246.42</v>
      </c>
      <c r="F260">
        <v>247</v>
      </c>
      <c r="G260">
        <v>0.9976518218623481</v>
      </c>
      <c r="H260">
        <v>0.02012823634445256</v>
      </c>
      <c r="I260">
        <v>0.0004702984419417966</v>
      </c>
      <c r="J260">
        <v>0.065</v>
      </c>
      <c r="K260">
        <v>0.08459697103757557</v>
      </c>
      <c r="L260" t="s">
        <v>887</v>
      </c>
      <c r="M260" t="s">
        <v>573</v>
      </c>
      <c r="N260">
        <v>17.98686131386861</v>
      </c>
      <c r="O260">
        <v>13.7</v>
      </c>
      <c r="P260">
        <v>4.96</v>
      </c>
      <c r="Q260">
        <v>0.362043795620438</v>
      </c>
      <c r="R260">
        <v>6</v>
      </c>
      <c r="S260">
        <v>0.08006320336357708</v>
      </c>
      <c r="T260" t="s">
        <v>927</v>
      </c>
      <c r="U260">
        <v>-0.147360717764356</v>
      </c>
      <c r="V260" t="s">
        <v>986</v>
      </c>
      <c r="W260" t="s">
        <v>991</v>
      </c>
      <c r="X260">
        <v>57049.732367</v>
      </c>
      <c r="Y260" s="2">
        <v>44864</v>
      </c>
      <c r="Z260" t="s">
        <v>1007</v>
      </c>
    </row>
    <row r="261" spans="1:26">
      <c r="A261" s="1" t="s">
        <v>285</v>
      </c>
      <c r="B261">
        <f>HYPERLINK("https://www.suredividend.com/sure-analysis-UNP/","Union Pacific Corp.")</f>
        <v>0</v>
      </c>
      <c r="C261" t="s">
        <v>884</v>
      </c>
      <c r="D261">
        <v>188</v>
      </c>
      <c r="E261">
        <v>207.07</v>
      </c>
      <c r="F261">
        <v>198</v>
      </c>
      <c r="G261">
        <v>1.045808080808081</v>
      </c>
      <c r="H261">
        <v>0.02511228087120298</v>
      </c>
      <c r="I261">
        <v>-0.008917970821056276</v>
      </c>
      <c r="J261">
        <v>0.07000000000000001</v>
      </c>
      <c r="K261">
        <v>0.08383442868348645</v>
      </c>
      <c r="L261" t="s">
        <v>887</v>
      </c>
      <c r="M261" t="s">
        <v>573</v>
      </c>
      <c r="N261">
        <v>18.82454545454545</v>
      </c>
      <c r="O261">
        <v>11</v>
      </c>
      <c r="P261">
        <v>5.2</v>
      </c>
      <c r="Q261">
        <v>0.4727272727272727</v>
      </c>
      <c r="R261">
        <v>15</v>
      </c>
      <c r="S261">
        <v>0.06990406340683197</v>
      </c>
      <c r="T261" t="s">
        <v>904</v>
      </c>
      <c r="U261">
        <v>-0.151286022799325</v>
      </c>
      <c r="V261" t="s">
        <v>986</v>
      </c>
      <c r="W261" t="s">
        <v>991</v>
      </c>
      <c r="X261">
        <v>127306.801656</v>
      </c>
      <c r="Y261" s="2">
        <v>44854</v>
      </c>
      <c r="Z261" t="s">
        <v>1001</v>
      </c>
    </row>
    <row r="262" spans="1:26">
      <c r="A262" s="1" t="s">
        <v>286</v>
      </c>
      <c r="B262">
        <f>HYPERLINK("https://www.suredividend.com/sure-analysis-NKE/","Nike, Inc.")</f>
        <v>0</v>
      </c>
      <c r="C262" t="s">
        <v>884</v>
      </c>
      <c r="D262">
        <v>117</v>
      </c>
      <c r="E262">
        <v>117.01</v>
      </c>
      <c r="F262">
        <v>86</v>
      </c>
      <c r="G262">
        <v>1.360581395348837</v>
      </c>
      <c r="H262">
        <v>0.01162293821040937</v>
      </c>
      <c r="I262">
        <v>-0.05972455589252934</v>
      </c>
      <c r="J262">
        <v>0.14</v>
      </c>
      <c r="K262">
        <v>0.08351817978322562</v>
      </c>
      <c r="L262" t="s">
        <v>887</v>
      </c>
      <c r="M262" t="s">
        <v>572</v>
      </c>
      <c r="N262">
        <v>32.50277777777778</v>
      </c>
      <c r="O262">
        <v>3.6</v>
      </c>
      <c r="P262">
        <v>1.36</v>
      </c>
      <c r="Q262">
        <v>0.3777777777777778</v>
      </c>
      <c r="R262">
        <v>21</v>
      </c>
      <c r="S262">
        <v>0.1009732178211216</v>
      </c>
      <c r="T262" t="s">
        <v>902</v>
      </c>
      <c r="U262">
        <v>-0.293885206409284</v>
      </c>
      <c r="V262" t="s">
        <v>986</v>
      </c>
      <c r="W262" t="s">
        <v>992</v>
      </c>
      <c r="X262">
        <v>182535.6</v>
      </c>
      <c r="Y262" s="2">
        <v>44921</v>
      </c>
      <c r="Z262" t="s">
        <v>1003</v>
      </c>
    </row>
    <row r="263" spans="1:26">
      <c r="A263" s="1" t="s">
        <v>287</v>
      </c>
      <c r="B263">
        <f>HYPERLINK("https://www.suredividend.com/sure-analysis-CMI/","Cummins Inc.")</f>
        <v>0</v>
      </c>
      <c r="C263" t="s">
        <v>884</v>
      </c>
      <c r="D263">
        <v>238</v>
      </c>
      <c r="E263">
        <v>242.29</v>
      </c>
      <c r="F263">
        <v>219</v>
      </c>
      <c r="G263">
        <v>1.10634703196347</v>
      </c>
      <c r="H263">
        <v>0.02591935284163606</v>
      </c>
      <c r="I263">
        <v>-0.02000981747621167</v>
      </c>
      <c r="J263">
        <v>0.08</v>
      </c>
      <c r="K263">
        <v>0.08134922380598764</v>
      </c>
      <c r="L263" t="s">
        <v>887</v>
      </c>
      <c r="M263" t="s">
        <v>887</v>
      </c>
      <c r="N263">
        <v>14.41344437834622</v>
      </c>
      <c r="O263">
        <v>16.81</v>
      </c>
      <c r="P263">
        <v>6.28</v>
      </c>
      <c r="Q263">
        <v>0.3735871505056514</v>
      </c>
      <c r="R263">
        <v>17</v>
      </c>
      <c r="S263">
        <v>0.05012970832663055</v>
      </c>
      <c r="T263" t="s">
        <v>894</v>
      </c>
      <c r="U263">
        <v>0.142431163677582</v>
      </c>
      <c r="V263" t="s">
        <v>986</v>
      </c>
      <c r="W263" t="s">
        <v>991</v>
      </c>
      <c r="X263">
        <v>34168.332318</v>
      </c>
      <c r="Y263" s="2">
        <v>44873</v>
      </c>
      <c r="Z263" t="s">
        <v>1001</v>
      </c>
    </row>
    <row r="264" spans="1:26">
      <c r="A264" s="1" t="s">
        <v>288</v>
      </c>
      <c r="B264">
        <f>HYPERLINK("https://www.suredividend.com/sure-analysis-GRC/","Gorman-Rupp Co.")</f>
        <v>0</v>
      </c>
      <c r="C264" t="s">
        <v>884</v>
      </c>
      <c r="D264">
        <v>28</v>
      </c>
      <c r="E264">
        <v>25.62</v>
      </c>
      <c r="F264">
        <v>23</v>
      </c>
      <c r="G264">
        <v>1.113913043478261</v>
      </c>
      <c r="H264">
        <v>0.0273224043715847</v>
      </c>
      <c r="I264">
        <v>-0.02134472317767144</v>
      </c>
      <c r="J264">
        <v>0.08</v>
      </c>
      <c r="K264">
        <v>0.08115731454120034</v>
      </c>
      <c r="L264" t="s">
        <v>887</v>
      </c>
      <c r="M264" t="s">
        <v>887</v>
      </c>
      <c r="N264">
        <v>25.62</v>
      </c>
      <c r="O264">
        <v>1</v>
      </c>
      <c r="P264">
        <v>0.7</v>
      </c>
      <c r="Q264">
        <v>0.7</v>
      </c>
      <c r="R264">
        <v>50</v>
      </c>
      <c r="S264">
        <v>0.04920026914708719</v>
      </c>
      <c r="T264" t="s">
        <v>907</v>
      </c>
      <c r="U264">
        <v>-0.407177730985491</v>
      </c>
      <c r="V264" t="s">
        <v>986</v>
      </c>
      <c r="W264" t="s">
        <v>991</v>
      </c>
      <c r="X264">
        <v>668.550441</v>
      </c>
      <c r="Y264" s="2">
        <v>44878</v>
      </c>
      <c r="Z264" t="s">
        <v>1005</v>
      </c>
    </row>
    <row r="265" spans="1:26">
      <c r="A265" s="1" t="s">
        <v>289</v>
      </c>
      <c r="B265">
        <f>HYPERLINK("https://www.suredividend.com/sure-analysis-IFF/","International Flavors &amp; Fragrances Inc.")</f>
        <v>0</v>
      </c>
      <c r="C265" t="s">
        <v>884</v>
      </c>
      <c r="D265">
        <v>101</v>
      </c>
      <c r="E265">
        <v>104.84</v>
      </c>
      <c r="F265">
        <v>111</v>
      </c>
      <c r="G265">
        <v>0.9445045045045045</v>
      </c>
      <c r="H265">
        <v>0.0309042350247997</v>
      </c>
      <c r="I265">
        <v>0.01148440981578536</v>
      </c>
      <c r="J265">
        <v>0.04</v>
      </c>
      <c r="K265">
        <v>0.07894543197438542</v>
      </c>
      <c r="L265" t="s">
        <v>887</v>
      </c>
      <c r="M265" t="s">
        <v>887</v>
      </c>
      <c r="N265">
        <v>18.85611510791367</v>
      </c>
      <c r="O265">
        <v>5.56</v>
      </c>
      <c r="P265">
        <v>3.24</v>
      </c>
      <c r="Q265">
        <v>0.5827338129496403</v>
      </c>
      <c r="R265">
        <v>20</v>
      </c>
      <c r="S265">
        <v>0.03989680129027162</v>
      </c>
      <c r="T265" t="s">
        <v>922</v>
      </c>
      <c r="U265">
        <v>-0.273408224126256</v>
      </c>
      <c r="V265" t="s">
        <v>986</v>
      </c>
      <c r="W265" t="s">
        <v>990</v>
      </c>
      <c r="X265">
        <v>26730.242605</v>
      </c>
      <c r="Y265" s="2">
        <v>44894</v>
      </c>
      <c r="Z265" t="s">
        <v>1015</v>
      </c>
    </row>
    <row r="266" spans="1:26">
      <c r="A266" s="1" t="s">
        <v>290</v>
      </c>
      <c r="B266">
        <f>HYPERLINK("https://www.suredividend.com/sure-analysis-RSG/","Republic Services, Inc.")</f>
        <v>0</v>
      </c>
      <c r="C266" t="s">
        <v>884</v>
      </c>
      <c r="D266">
        <v>130</v>
      </c>
      <c r="E266">
        <v>128.99</v>
      </c>
      <c r="F266">
        <v>120</v>
      </c>
      <c r="G266">
        <v>1.074916666666667</v>
      </c>
      <c r="H266">
        <v>0.01535002713388635</v>
      </c>
      <c r="I266">
        <v>-0.01434474732788527</v>
      </c>
      <c r="J266">
        <v>0.08</v>
      </c>
      <c r="K266">
        <v>0.07861660789624447</v>
      </c>
      <c r="L266" t="s">
        <v>887</v>
      </c>
      <c r="M266" t="s">
        <v>572</v>
      </c>
      <c r="N266">
        <v>26.92901878914405</v>
      </c>
      <c r="O266">
        <v>4.79</v>
      </c>
      <c r="P266">
        <v>1.98</v>
      </c>
      <c r="Q266">
        <v>0.4133611691022964</v>
      </c>
      <c r="R266">
        <v>18</v>
      </c>
      <c r="S266">
        <v>0.06478229245750722</v>
      </c>
      <c r="T266" t="s">
        <v>898</v>
      </c>
      <c r="U266">
        <v>-0.052593231318848</v>
      </c>
      <c r="V266" t="s">
        <v>986</v>
      </c>
      <c r="W266" t="s">
        <v>991</v>
      </c>
      <c r="X266">
        <v>40760.960735</v>
      </c>
      <c r="Y266" s="2">
        <v>44862</v>
      </c>
      <c r="Z266" t="s">
        <v>1011</v>
      </c>
    </row>
    <row r="267" spans="1:26">
      <c r="A267" s="1" t="s">
        <v>291</v>
      </c>
      <c r="B267">
        <f>HYPERLINK("https://www.suredividend.com/sure-analysis-MCO/","Moody`s Corp.")</f>
        <v>0</v>
      </c>
      <c r="C267" t="s">
        <v>884</v>
      </c>
      <c r="D267">
        <v>259</v>
      </c>
      <c r="E267">
        <v>278.62</v>
      </c>
      <c r="F267">
        <v>210</v>
      </c>
      <c r="G267">
        <v>1.326761904761905</v>
      </c>
      <c r="H267">
        <v>0.01004952982556888</v>
      </c>
      <c r="I267">
        <v>-0.05497912625389001</v>
      </c>
      <c r="J267">
        <v>0.13</v>
      </c>
      <c r="K267">
        <v>0.07835304720843217</v>
      </c>
      <c r="L267" t="s">
        <v>887</v>
      </c>
      <c r="M267" t="s">
        <v>572</v>
      </c>
      <c r="N267">
        <v>33.16904761904762</v>
      </c>
      <c r="O267">
        <v>8.4</v>
      </c>
      <c r="P267">
        <v>2.8</v>
      </c>
      <c r="Q267">
        <v>0.3333333333333333</v>
      </c>
      <c r="R267">
        <v>13</v>
      </c>
      <c r="S267">
        <v>0.1100864292512076</v>
      </c>
      <c r="T267" t="s">
        <v>924</v>
      </c>
      <c r="U267">
        <v>-0.278927775799385</v>
      </c>
      <c r="V267" t="s">
        <v>986</v>
      </c>
      <c r="W267" t="s">
        <v>994</v>
      </c>
      <c r="X267">
        <v>51043.184</v>
      </c>
      <c r="Y267" s="2">
        <v>44871</v>
      </c>
      <c r="Z267" t="s">
        <v>1005</v>
      </c>
    </row>
    <row r="268" spans="1:26">
      <c r="A268" s="1" t="s">
        <v>292</v>
      </c>
      <c r="B268">
        <f>HYPERLINK("https://www.suredividend.com/sure-analysis-FAST/","Fastenal Co.")</f>
        <v>0</v>
      </c>
      <c r="C268" t="s">
        <v>884</v>
      </c>
      <c r="D268">
        <v>47</v>
      </c>
      <c r="E268">
        <v>47.32</v>
      </c>
      <c r="F268">
        <v>46</v>
      </c>
      <c r="G268">
        <v>1.028695652173913</v>
      </c>
      <c r="H268">
        <v>0.02620456466610313</v>
      </c>
      <c r="I268">
        <v>-0.005642350334195245</v>
      </c>
      <c r="J268">
        <v>0.06</v>
      </c>
      <c r="K268">
        <v>0.07825727087135492</v>
      </c>
      <c r="L268" t="s">
        <v>887</v>
      </c>
      <c r="M268" t="s">
        <v>573</v>
      </c>
      <c r="N268">
        <v>24.90526315789474</v>
      </c>
      <c r="O268">
        <v>1.9</v>
      </c>
      <c r="P268">
        <v>1.24</v>
      </c>
      <c r="Q268">
        <v>0.6526315789473685</v>
      </c>
      <c r="R268">
        <v>23</v>
      </c>
      <c r="S268">
        <v>0.06007667938522787</v>
      </c>
      <c r="T268" t="s">
        <v>954</v>
      </c>
      <c r="U268">
        <v>-0.240432369266725</v>
      </c>
      <c r="V268" t="s">
        <v>986</v>
      </c>
      <c r="W268" t="s">
        <v>991</v>
      </c>
      <c r="X268">
        <v>27102.997522</v>
      </c>
      <c r="Y268" s="2">
        <v>44848</v>
      </c>
      <c r="Z268" t="s">
        <v>1003</v>
      </c>
    </row>
    <row r="269" spans="1:26">
      <c r="A269" s="1" t="s">
        <v>293</v>
      </c>
      <c r="B269">
        <f>HYPERLINK("https://www.suredividend.com/sure-analysis-MDLZ/","Mondelez International Inc.")</f>
        <v>0</v>
      </c>
      <c r="C269" t="s">
        <v>884</v>
      </c>
      <c r="D269">
        <v>63</v>
      </c>
      <c r="E269">
        <v>66.65000000000001</v>
      </c>
      <c r="F269">
        <v>62</v>
      </c>
      <c r="G269">
        <v>1.075</v>
      </c>
      <c r="H269">
        <v>0.02310577644411103</v>
      </c>
      <c r="I269">
        <v>-0.01436002927853708</v>
      </c>
      <c r="J269">
        <v>0.07000000000000001</v>
      </c>
      <c r="K269">
        <v>0.07667945873374271</v>
      </c>
      <c r="L269" t="s">
        <v>887</v>
      </c>
      <c r="M269" t="s">
        <v>573</v>
      </c>
      <c r="N269">
        <v>21.63961038961039</v>
      </c>
      <c r="O269">
        <v>3.08</v>
      </c>
      <c r="P269">
        <v>1.54</v>
      </c>
      <c r="Q269">
        <v>0.5</v>
      </c>
      <c r="R269">
        <v>8</v>
      </c>
      <c r="S269">
        <v>0.07000696848360421</v>
      </c>
      <c r="T269" t="s">
        <v>905</v>
      </c>
      <c r="U269">
        <v>0.03797283049662301</v>
      </c>
      <c r="V269" t="s">
        <v>986</v>
      </c>
      <c r="W269" t="s">
        <v>996</v>
      </c>
      <c r="X269">
        <v>91018.473558</v>
      </c>
      <c r="Y269" s="2">
        <v>44874</v>
      </c>
      <c r="Z269" t="s">
        <v>1014</v>
      </c>
    </row>
    <row r="270" spans="1:26">
      <c r="A270" s="1" t="s">
        <v>294</v>
      </c>
      <c r="B270">
        <f>HYPERLINK("https://www.suredividend.com/sure-analysis-BLK/","Blackrock Inc.")</f>
        <v>0</v>
      </c>
      <c r="C270" t="s">
        <v>883</v>
      </c>
      <c r="D270">
        <v>551</v>
      </c>
      <c r="E270">
        <v>708.63</v>
      </c>
      <c r="F270">
        <v>612</v>
      </c>
      <c r="G270">
        <v>1.157892156862745</v>
      </c>
      <c r="H270">
        <v>0.02754611009976998</v>
      </c>
      <c r="I270">
        <v>-0.02889458107524012</v>
      </c>
      <c r="J270">
        <v>0.08</v>
      </c>
      <c r="K270">
        <v>0.07468935958520717</v>
      </c>
      <c r="L270" t="s">
        <v>887</v>
      </c>
      <c r="M270" t="s">
        <v>573</v>
      </c>
      <c r="N270">
        <v>20.84205882352941</v>
      </c>
      <c r="O270">
        <v>34</v>
      </c>
      <c r="P270">
        <v>19.52</v>
      </c>
      <c r="Q270">
        <v>0.5741176470588235</v>
      </c>
      <c r="R270">
        <v>12</v>
      </c>
      <c r="S270">
        <v>0.05998244289972532</v>
      </c>
      <c r="T270" t="s">
        <v>915</v>
      </c>
      <c r="U270">
        <v>-0.208316193572014</v>
      </c>
      <c r="V270" t="s">
        <v>986</v>
      </c>
      <c r="W270" t="s">
        <v>994</v>
      </c>
      <c r="X270">
        <v>106433.09173</v>
      </c>
      <c r="Y270" s="2">
        <v>44854</v>
      </c>
      <c r="Z270" t="s">
        <v>1014</v>
      </c>
    </row>
    <row r="271" spans="1:26">
      <c r="A271" s="1" t="s">
        <v>295</v>
      </c>
      <c r="B271">
        <f>HYPERLINK("https://www.suredividend.com/sure-analysis-TROW/","T. Rowe Price Group Inc.")</f>
        <v>0</v>
      </c>
      <c r="C271" t="s">
        <v>884</v>
      </c>
      <c r="D271">
        <v>103</v>
      </c>
      <c r="E271">
        <v>109.06</v>
      </c>
      <c r="F271">
        <v>111</v>
      </c>
      <c r="G271">
        <v>0.9825225225225226</v>
      </c>
      <c r="H271">
        <v>0.04401247019988996</v>
      </c>
      <c r="I271">
        <v>0.003532627434915003</v>
      </c>
      <c r="J271">
        <v>0.03</v>
      </c>
      <c r="K271">
        <v>0.07445383759151136</v>
      </c>
      <c r="L271" t="s">
        <v>887</v>
      </c>
      <c r="M271" t="s">
        <v>886</v>
      </c>
      <c r="N271">
        <v>13.80506329113924</v>
      </c>
      <c r="O271">
        <v>7.9</v>
      </c>
      <c r="P271">
        <v>4.8</v>
      </c>
      <c r="Q271">
        <v>0.6075949367088607</v>
      </c>
      <c r="R271">
        <v>36</v>
      </c>
      <c r="S271">
        <v>0.04563955259127317</v>
      </c>
      <c r="T271" t="s">
        <v>888</v>
      </c>
      <c r="U271">
        <v>-0.4267865092475741</v>
      </c>
      <c r="V271" t="s">
        <v>986</v>
      </c>
      <c r="W271" t="s">
        <v>994</v>
      </c>
      <c r="X271">
        <v>24371.072397</v>
      </c>
      <c r="Y271" s="2">
        <v>44871</v>
      </c>
      <c r="Z271" t="s">
        <v>1001</v>
      </c>
    </row>
    <row r="272" spans="1:26">
      <c r="A272" s="1" t="s">
        <v>296</v>
      </c>
      <c r="B272">
        <f>HYPERLINK("https://www.suredividend.com/sure-analysis-NJR/","New Jersey Resources Corporation")</f>
        <v>0</v>
      </c>
      <c r="C272" t="s">
        <v>884</v>
      </c>
      <c r="D272">
        <v>49</v>
      </c>
      <c r="E272">
        <v>49.62</v>
      </c>
      <c r="F272">
        <v>46</v>
      </c>
      <c r="G272">
        <v>1.078695652173913</v>
      </c>
      <c r="H272">
        <v>0.03143893591293834</v>
      </c>
      <c r="I272">
        <v>-0.01503632469688576</v>
      </c>
      <c r="J272">
        <v>0.055</v>
      </c>
      <c r="K272">
        <v>0.07214771259290775</v>
      </c>
      <c r="L272" t="s">
        <v>887</v>
      </c>
      <c r="M272" t="s">
        <v>887</v>
      </c>
      <c r="N272">
        <v>20.08906882591093</v>
      </c>
      <c r="O272">
        <v>2.47</v>
      </c>
      <c r="P272">
        <v>1.56</v>
      </c>
      <c r="Q272">
        <v>0.631578947368421</v>
      </c>
      <c r="R272">
        <v>26</v>
      </c>
      <c r="S272">
        <v>0.08997698704834534</v>
      </c>
      <c r="T272" t="s">
        <v>955</v>
      </c>
      <c r="U272">
        <v>0.252047003489683</v>
      </c>
      <c r="V272" t="s">
        <v>986</v>
      </c>
      <c r="W272" t="s">
        <v>997</v>
      </c>
      <c r="X272">
        <v>4784.875505</v>
      </c>
      <c r="Y272" s="2">
        <v>44895</v>
      </c>
      <c r="Z272" t="s">
        <v>1008</v>
      </c>
    </row>
    <row r="273" spans="1:26">
      <c r="A273" s="1" t="s">
        <v>297</v>
      </c>
      <c r="B273">
        <f>HYPERLINK("https://www.suredividend.com/sure-analysis-SXT/","Sensient Technologies Corp.")</f>
        <v>0</v>
      </c>
      <c r="C273" t="s">
        <v>884</v>
      </c>
      <c r="D273">
        <v>69</v>
      </c>
      <c r="E273">
        <v>72.92</v>
      </c>
      <c r="F273">
        <v>70</v>
      </c>
      <c r="G273">
        <v>1.041714285714286</v>
      </c>
      <c r="H273">
        <v>0.02249040043883708</v>
      </c>
      <c r="I273">
        <v>-0.008140228983807618</v>
      </c>
      <c r="J273">
        <v>0.06</v>
      </c>
      <c r="K273">
        <v>0.07189344929962083</v>
      </c>
      <c r="L273" t="s">
        <v>887</v>
      </c>
      <c r="M273" t="s">
        <v>573</v>
      </c>
      <c r="N273">
        <v>22.03021148036254</v>
      </c>
      <c r="O273">
        <v>3.31</v>
      </c>
      <c r="P273">
        <v>1.64</v>
      </c>
      <c r="Q273">
        <v>0.4954682779456193</v>
      </c>
      <c r="R273">
        <v>16</v>
      </c>
      <c r="S273">
        <v>0.04968861687192305</v>
      </c>
      <c r="T273" t="s">
        <v>911</v>
      </c>
      <c r="U273">
        <v>-0.252602362317711</v>
      </c>
      <c r="V273" t="s">
        <v>986</v>
      </c>
      <c r="W273" t="s">
        <v>996</v>
      </c>
      <c r="X273">
        <v>3065.38799</v>
      </c>
      <c r="Y273" s="2">
        <v>44856</v>
      </c>
      <c r="Z273" t="s">
        <v>1017</v>
      </c>
    </row>
    <row r="274" spans="1:26">
      <c r="A274" s="1" t="s">
        <v>298</v>
      </c>
      <c r="B274">
        <f>HYPERLINK("https://www.suredividend.com/sure-analysis-EIX/","Edison International")</f>
        <v>0</v>
      </c>
      <c r="C274" t="s">
        <v>884</v>
      </c>
      <c r="D274">
        <v>59.8</v>
      </c>
      <c r="E274">
        <v>63.62</v>
      </c>
      <c r="F274">
        <v>57.8</v>
      </c>
      <c r="G274">
        <v>1.100692041522491</v>
      </c>
      <c r="H274">
        <v>0.04636906633134235</v>
      </c>
      <c r="I274">
        <v>-0.01900490764796003</v>
      </c>
      <c r="J274">
        <v>0.05</v>
      </c>
      <c r="K274">
        <v>0.07146657401806356</v>
      </c>
      <c r="L274" t="s">
        <v>887</v>
      </c>
      <c r="M274" t="s">
        <v>886</v>
      </c>
      <c r="N274">
        <v>13.86056644880174</v>
      </c>
      <c r="O274">
        <v>4.59</v>
      </c>
      <c r="P274">
        <v>2.95</v>
      </c>
      <c r="Q274">
        <v>0.6427015250544663</v>
      </c>
      <c r="R274">
        <v>19</v>
      </c>
      <c r="S274">
        <v>0.02880100591263357</v>
      </c>
      <c r="T274" t="s">
        <v>905</v>
      </c>
      <c r="U274">
        <v>-0.016868691239283</v>
      </c>
      <c r="V274" t="s">
        <v>986</v>
      </c>
      <c r="W274" t="s">
        <v>997</v>
      </c>
      <c r="X274">
        <v>24294.86676</v>
      </c>
      <c r="Y274" s="2">
        <v>44882</v>
      </c>
      <c r="Z274" t="s">
        <v>1009</v>
      </c>
    </row>
    <row r="275" spans="1:26">
      <c r="A275" s="1" t="s">
        <v>299</v>
      </c>
      <c r="B275">
        <f>HYPERLINK("https://www.suredividend.com/sure-analysis-MRK/","Merck &amp; Co Inc")</f>
        <v>0</v>
      </c>
      <c r="C275" t="s">
        <v>883</v>
      </c>
      <c r="D275">
        <v>101</v>
      </c>
      <c r="E275">
        <v>110.95</v>
      </c>
      <c r="F275">
        <v>110</v>
      </c>
      <c r="G275">
        <v>1.008636363636364</v>
      </c>
      <c r="H275">
        <v>0.02487607030193781</v>
      </c>
      <c r="I275">
        <v>-0.001718378611171745</v>
      </c>
      <c r="J275">
        <v>0.05</v>
      </c>
      <c r="K275">
        <v>0.0710759825841305</v>
      </c>
      <c r="L275" t="s">
        <v>887</v>
      </c>
      <c r="M275" t="s">
        <v>887</v>
      </c>
      <c r="N275">
        <v>15.0952380952381</v>
      </c>
      <c r="O275">
        <v>7.35</v>
      </c>
      <c r="P275">
        <v>2.76</v>
      </c>
      <c r="Q275">
        <v>0.3755102040816327</v>
      </c>
      <c r="R275">
        <v>11</v>
      </c>
      <c r="S275">
        <v>0.04984870359842875</v>
      </c>
      <c r="T275" t="s">
        <v>901</v>
      </c>
      <c r="U275">
        <v>0.4845291854825221</v>
      </c>
      <c r="V275" t="s">
        <v>986</v>
      </c>
      <c r="W275" t="s">
        <v>998</v>
      </c>
      <c r="X275">
        <v>281302.183315</v>
      </c>
      <c r="Y275" s="2">
        <v>44866</v>
      </c>
      <c r="Z275" t="s">
        <v>1001</v>
      </c>
    </row>
    <row r="276" spans="1:26">
      <c r="A276" s="1" t="s">
        <v>300</v>
      </c>
      <c r="B276">
        <f>HYPERLINK("https://www.suredividend.com/sure-analysis-AUBN/","Auburn National Bancorp Inc.")</f>
        <v>0</v>
      </c>
      <c r="C276" t="s">
        <v>884</v>
      </c>
      <c r="D276">
        <v>22.52</v>
      </c>
      <c r="E276">
        <v>23</v>
      </c>
      <c r="F276">
        <v>24</v>
      </c>
      <c r="G276">
        <v>0.9583333333333334</v>
      </c>
      <c r="H276">
        <v>0.04608695652173913</v>
      </c>
      <c r="I276">
        <v>0.008548252303932413</v>
      </c>
      <c r="J276">
        <v>0.02</v>
      </c>
      <c r="K276">
        <v>0.07006802373525245</v>
      </c>
      <c r="L276" t="s">
        <v>887</v>
      </c>
      <c r="M276" t="s">
        <v>886</v>
      </c>
      <c r="N276">
        <v>10.45454545454545</v>
      </c>
      <c r="O276">
        <v>2.2</v>
      </c>
      <c r="P276">
        <v>1.06</v>
      </c>
      <c r="Q276">
        <v>0.4818181818181818</v>
      </c>
      <c r="R276">
        <v>21</v>
      </c>
      <c r="S276">
        <v>0.02851538648883478</v>
      </c>
      <c r="T276" t="s">
        <v>920</v>
      </c>
      <c r="U276">
        <v>-0.257321837966999</v>
      </c>
      <c r="V276" t="s">
        <v>986</v>
      </c>
      <c r="W276" t="s">
        <v>994</v>
      </c>
      <c r="X276">
        <v>80.60166</v>
      </c>
      <c r="Y276" s="2">
        <v>44899</v>
      </c>
      <c r="Z276" t="s">
        <v>1004</v>
      </c>
    </row>
    <row r="277" spans="1:26">
      <c r="A277" s="1" t="s">
        <v>301</v>
      </c>
      <c r="B277">
        <f>HYPERLINK("https://www.suredividend.com/sure-analysis-TSCO/","Tractor Supply Co.")</f>
        <v>0</v>
      </c>
      <c r="C277" t="s">
        <v>884</v>
      </c>
      <c r="D277">
        <v>197</v>
      </c>
      <c r="E277">
        <v>224.97</v>
      </c>
      <c r="F277">
        <v>183</v>
      </c>
      <c r="G277">
        <v>1.229344262295082</v>
      </c>
      <c r="H277">
        <v>0.0163577365871005</v>
      </c>
      <c r="I277">
        <v>-0.04045511151894288</v>
      </c>
      <c r="J277">
        <v>0.093</v>
      </c>
      <c r="K277">
        <v>0.0664776246778036</v>
      </c>
      <c r="L277" t="s">
        <v>887</v>
      </c>
      <c r="M277" t="s">
        <v>572</v>
      </c>
      <c r="N277">
        <v>23.40998959417274</v>
      </c>
      <c r="O277">
        <v>9.609999999999999</v>
      </c>
      <c r="P277">
        <v>3.68</v>
      </c>
      <c r="Q277">
        <v>0.3829344432882414</v>
      </c>
      <c r="R277">
        <v>12</v>
      </c>
      <c r="S277">
        <v>0.102708408810896</v>
      </c>
      <c r="T277" t="s">
        <v>949</v>
      </c>
      <c r="U277">
        <v>-0.032097350432645</v>
      </c>
      <c r="V277" t="s">
        <v>986</v>
      </c>
      <c r="W277" t="s">
        <v>992</v>
      </c>
      <c r="X277">
        <v>24850.916228</v>
      </c>
      <c r="Y277" s="2">
        <v>44858</v>
      </c>
      <c r="Z277" t="s">
        <v>1009</v>
      </c>
    </row>
    <row r="278" spans="1:26">
      <c r="A278" s="1" t="s">
        <v>302</v>
      </c>
      <c r="B278">
        <f>HYPERLINK("https://www.suredividend.com/sure-analysis-RMD/","Resmed Inc.")</f>
        <v>0</v>
      </c>
      <c r="C278" t="s">
        <v>884</v>
      </c>
      <c r="D278">
        <v>222</v>
      </c>
      <c r="E278">
        <v>208.13</v>
      </c>
      <c r="F278">
        <v>156</v>
      </c>
      <c r="G278">
        <v>1.334166666666667</v>
      </c>
      <c r="H278">
        <v>0.008456253303223946</v>
      </c>
      <c r="I278">
        <v>-0.05603045541018081</v>
      </c>
      <c r="J278">
        <v>0.12</v>
      </c>
      <c r="K278">
        <v>0.06617511344450211</v>
      </c>
      <c r="L278" t="s">
        <v>887</v>
      </c>
      <c r="M278" t="s">
        <v>572</v>
      </c>
      <c r="N278">
        <v>32.02</v>
      </c>
      <c r="O278">
        <v>6.5</v>
      </c>
      <c r="P278">
        <v>1.76</v>
      </c>
      <c r="Q278">
        <v>0.2707692307692308</v>
      </c>
      <c r="R278">
        <v>2</v>
      </c>
      <c r="S278">
        <v>0.0996506962606063</v>
      </c>
      <c r="T278" t="s">
        <v>890</v>
      </c>
      <c r="U278">
        <v>-0.199338943949109</v>
      </c>
      <c r="V278" t="s">
        <v>986</v>
      </c>
      <c r="W278" t="s">
        <v>998</v>
      </c>
      <c r="X278">
        <v>30487.642075</v>
      </c>
      <c r="Y278" s="2">
        <v>44906</v>
      </c>
      <c r="Z278" t="s">
        <v>1007</v>
      </c>
    </row>
    <row r="279" spans="1:26">
      <c r="A279" s="1" t="s">
        <v>303</v>
      </c>
      <c r="B279">
        <f>HYPERLINK("https://www.suredividend.com/sure-analysis-INGR/","Ingredion Inc")</f>
        <v>0</v>
      </c>
      <c r="C279" t="s">
        <v>884</v>
      </c>
      <c r="D279">
        <v>93</v>
      </c>
      <c r="E279">
        <v>97.93000000000001</v>
      </c>
      <c r="F279">
        <v>103</v>
      </c>
      <c r="G279">
        <v>0.9507766990291263</v>
      </c>
      <c r="H279">
        <v>0.02900030634126417</v>
      </c>
      <c r="I279">
        <v>0.0101463386391405</v>
      </c>
      <c r="J279">
        <v>0.03</v>
      </c>
      <c r="K279">
        <v>0.06550846055970672</v>
      </c>
      <c r="L279" t="s">
        <v>887</v>
      </c>
      <c r="M279" t="s">
        <v>887</v>
      </c>
      <c r="N279">
        <v>14.254730713246</v>
      </c>
      <c r="O279">
        <v>6.87</v>
      </c>
      <c r="P279">
        <v>2.84</v>
      </c>
      <c r="Q279">
        <v>0.413391557496361</v>
      </c>
      <c r="R279">
        <v>12</v>
      </c>
      <c r="S279">
        <v>0.02028678500722947</v>
      </c>
      <c r="T279" t="s">
        <v>905</v>
      </c>
      <c r="U279">
        <v>0.053450256666222</v>
      </c>
      <c r="V279" t="s">
        <v>986</v>
      </c>
      <c r="W279" t="s">
        <v>996</v>
      </c>
      <c r="X279">
        <v>6419.832194</v>
      </c>
      <c r="Y279" s="2">
        <v>44875</v>
      </c>
      <c r="Z279" t="s">
        <v>1012</v>
      </c>
    </row>
    <row r="280" spans="1:26">
      <c r="A280" s="1" t="s">
        <v>304</v>
      </c>
      <c r="B280">
        <f>HYPERLINK("https://www.suredividend.com/sure-analysis-MWA/","Mueller Water Products Inc")</f>
        <v>0</v>
      </c>
      <c r="C280" t="s">
        <v>884</v>
      </c>
      <c r="D280">
        <v>11.43</v>
      </c>
      <c r="E280">
        <v>10.76</v>
      </c>
      <c r="F280">
        <v>10.44</v>
      </c>
      <c r="G280">
        <v>1.030651340996169</v>
      </c>
      <c r="H280">
        <v>0.02230483271375465</v>
      </c>
      <c r="I280">
        <v>-0.006020001196250457</v>
      </c>
      <c r="J280">
        <v>0.05</v>
      </c>
      <c r="K280">
        <v>0.06437648986482203</v>
      </c>
      <c r="L280" t="s">
        <v>887</v>
      </c>
      <c r="M280" t="s">
        <v>573</v>
      </c>
      <c r="N280">
        <v>18.55172413793104</v>
      </c>
      <c r="O280">
        <v>0.58</v>
      </c>
      <c r="P280">
        <v>0.24</v>
      </c>
      <c r="Q280">
        <v>0.4137931034482759</v>
      </c>
      <c r="R280">
        <v>8</v>
      </c>
      <c r="S280">
        <v>0.04563955259127317</v>
      </c>
      <c r="T280" t="s">
        <v>890</v>
      </c>
      <c r="U280">
        <v>-0.238057471427155</v>
      </c>
      <c r="V280" t="s">
        <v>986</v>
      </c>
      <c r="W280" t="s">
        <v>991</v>
      </c>
      <c r="X280">
        <v>1680.663569</v>
      </c>
      <c r="Y280" s="2">
        <v>44882</v>
      </c>
      <c r="Z280" t="s">
        <v>1011</v>
      </c>
    </row>
    <row r="281" spans="1:26">
      <c r="A281" s="1" t="s">
        <v>305</v>
      </c>
      <c r="B281">
        <f>HYPERLINK("https://www.suredividend.com/sure-analysis-BBY/","Best Buy Co. Inc.")</f>
        <v>0</v>
      </c>
      <c r="C281" t="s">
        <v>884</v>
      </c>
      <c r="D281">
        <v>72</v>
      </c>
      <c r="E281">
        <v>80.20999999999999</v>
      </c>
      <c r="F281">
        <v>72</v>
      </c>
      <c r="G281">
        <v>1.114027777777778</v>
      </c>
      <c r="H281">
        <v>0.0438848023937165</v>
      </c>
      <c r="I281">
        <v>-0.02136488245123891</v>
      </c>
      <c r="J281">
        <v>0.04</v>
      </c>
      <c r="K281">
        <v>0.0625386170426474</v>
      </c>
      <c r="L281" t="s">
        <v>887</v>
      </c>
      <c r="M281" t="s">
        <v>886</v>
      </c>
      <c r="N281">
        <v>12.24580152671756</v>
      </c>
      <c r="O281">
        <v>6.55</v>
      </c>
      <c r="P281">
        <v>3.52</v>
      </c>
      <c r="Q281">
        <v>0.5374045801526718</v>
      </c>
      <c r="R281">
        <v>19</v>
      </c>
      <c r="S281">
        <v>0.05997506438656908</v>
      </c>
      <c r="T281" t="s">
        <v>956</v>
      </c>
      <c r="U281">
        <v>-0.174529272770683</v>
      </c>
      <c r="V281" t="s">
        <v>986</v>
      </c>
      <c r="W281" t="s">
        <v>992</v>
      </c>
      <c r="X281">
        <v>17747.621855</v>
      </c>
      <c r="Y281" s="2">
        <v>44894</v>
      </c>
      <c r="Z281" t="s">
        <v>1015</v>
      </c>
    </row>
    <row r="282" spans="1:26">
      <c r="A282" s="1" t="s">
        <v>306</v>
      </c>
      <c r="B282">
        <f>HYPERLINK("https://www.suredividend.com/sure-analysis-SAP/","Sap SE")</f>
        <v>0</v>
      </c>
      <c r="C282" t="s">
        <v>884</v>
      </c>
      <c r="D282">
        <v>111</v>
      </c>
      <c r="E282">
        <v>103.19</v>
      </c>
      <c r="F282">
        <v>86</v>
      </c>
      <c r="G282">
        <v>1.199883720930232</v>
      </c>
      <c r="H282">
        <v>0.02015699195658494</v>
      </c>
      <c r="I282">
        <v>-0.03578880900966563</v>
      </c>
      <c r="J282">
        <v>0.08</v>
      </c>
      <c r="K282">
        <v>0.06252043271324093</v>
      </c>
      <c r="L282" t="s">
        <v>887</v>
      </c>
      <c r="M282" t="s">
        <v>572</v>
      </c>
      <c r="N282">
        <v>22.93111111111111</v>
      </c>
      <c r="O282">
        <v>4.5</v>
      </c>
      <c r="P282">
        <v>2.08</v>
      </c>
      <c r="Q282">
        <v>0.4622222222222223</v>
      </c>
      <c r="R282">
        <v>7</v>
      </c>
      <c r="S282">
        <v>0.08516605587111892</v>
      </c>
      <c r="T282" t="s">
        <v>933</v>
      </c>
      <c r="U282">
        <v>-0.26502849002849</v>
      </c>
      <c r="V282" t="s">
        <v>986</v>
      </c>
      <c r="W282" t="s">
        <v>993</v>
      </c>
      <c r="X282">
        <v>126769.3517</v>
      </c>
      <c r="Y282" s="2">
        <v>44882</v>
      </c>
      <c r="Z282" t="s">
        <v>1007</v>
      </c>
    </row>
    <row r="283" spans="1:26">
      <c r="A283" s="1" t="s">
        <v>307</v>
      </c>
      <c r="B283">
        <f>HYPERLINK("https://www.suredividend.com/sure-analysis-MDU/","MDU Resources Group Inc")</f>
        <v>0</v>
      </c>
      <c r="C283" t="s">
        <v>884</v>
      </c>
      <c r="D283">
        <v>31</v>
      </c>
      <c r="E283">
        <v>30.34</v>
      </c>
      <c r="F283">
        <v>27</v>
      </c>
      <c r="G283">
        <v>1.123703703703704</v>
      </c>
      <c r="H283">
        <v>0.02933421226104153</v>
      </c>
      <c r="I283">
        <v>-0.02305607295788925</v>
      </c>
      <c r="J283">
        <v>0.06</v>
      </c>
      <c r="K283">
        <v>0.06173958650821598</v>
      </c>
      <c r="L283" t="s">
        <v>887</v>
      </c>
      <c r="M283" t="s">
        <v>887</v>
      </c>
      <c r="N283">
        <v>16.85555555555555</v>
      </c>
      <c r="O283">
        <v>1.8</v>
      </c>
      <c r="P283">
        <v>0.89</v>
      </c>
      <c r="Q283">
        <v>0.4944444444444445</v>
      </c>
      <c r="R283">
        <v>32</v>
      </c>
      <c r="S283">
        <v>0.02561950939239233</v>
      </c>
      <c r="T283" t="s">
        <v>929</v>
      </c>
      <c r="U283">
        <v>0.01790902563896</v>
      </c>
      <c r="V283" t="s">
        <v>986</v>
      </c>
      <c r="W283" t="s">
        <v>990</v>
      </c>
      <c r="X283">
        <v>6169.661452</v>
      </c>
      <c r="Y283" s="2">
        <v>44898</v>
      </c>
      <c r="Z283" t="s">
        <v>1005</v>
      </c>
    </row>
    <row r="284" spans="1:26">
      <c r="A284" s="1" t="s">
        <v>308</v>
      </c>
      <c r="B284">
        <f>HYPERLINK("https://www.suredividend.com/sure-analysis-BHB/","Bar Harbor Bankshares Inc")</f>
        <v>0</v>
      </c>
      <c r="C284" t="s">
        <v>884</v>
      </c>
      <c r="D284">
        <v>30</v>
      </c>
      <c r="E284">
        <v>32.04</v>
      </c>
      <c r="F284">
        <v>29</v>
      </c>
      <c r="G284">
        <v>1.104827586206897</v>
      </c>
      <c r="H284">
        <v>0.03245942571785269</v>
      </c>
      <c r="I284">
        <v>-0.01974041372866453</v>
      </c>
      <c r="J284">
        <v>0.05</v>
      </c>
      <c r="K284">
        <v>0.06087330675984659</v>
      </c>
      <c r="L284" t="s">
        <v>887</v>
      </c>
      <c r="M284" t="s">
        <v>887</v>
      </c>
      <c r="N284">
        <v>11.04827586206897</v>
      </c>
      <c r="O284">
        <v>2.9</v>
      </c>
      <c r="P284">
        <v>1.04</v>
      </c>
      <c r="Q284">
        <v>0.3586206896551725</v>
      </c>
      <c r="R284">
        <v>19</v>
      </c>
      <c r="S284">
        <v>0.05042164036374652</v>
      </c>
      <c r="T284" t="s">
        <v>895</v>
      </c>
      <c r="U284">
        <v>0.169825511981218</v>
      </c>
      <c r="V284" t="s">
        <v>986</v>
      </c>
      <c r="W284" t="s">
        <v>994</v>
      </c>
      <c r="X284">
        <v>482.702465</v>
      </c>
      <c r="Y284" s="2">
        <v>44857</v>
      </c>
      <c r="Z284" t="s">
        <v>1004</v>
      </c>
    </row>
    <row r="285" spans="1:26">
      <c r="A285" s="1" t="s">
        <v>309</v>
      </c>
      <c r="B285">
        <f>HYPERLINK("https://www.suredividend.com/sure-analysis-SNA/","Snap-on, Inc.")</f>
        <v>0</v>
      </c>
      <c r="C285" t="s">
        <v>884</v>
      </c>
      <c r="D285">
        <v>220</v>
      </c>
      <c r="E285">
        <v>228.49</v>
      </c>
      <c r="F285">
        <v>232</v>
      </c>
      <c r="G285">
        <v>0.9848706896551724</v>
      </c>
      <c r="H285">
        <v>0.02836010328679592</v>
      </c>
      <c r="I285">
        <v>0.003053638076180754</v>
      </c>
      <c r="J285">
        <v>0.03</v>
      </c>
      <c r="K285">
        <v>0.06069310510196768</v>
      </c>
      <c r="L285" t="s">
        <v>887</v>
      </c>
      <c r="M285" t="s">
        <v>887</v>
      </c>
      <c r="N285">
        <v>13.80604229607251</v>
      </c>
      <c r="O285">
        <v>16.55</v>
      </c>
      <c r="P285">
        <v>6.48</v>
      </c>
      <c r="Q285">
        <v>0.3915407854984894</v>
      </c>
      <c r="R285">
        <v>13</v>
      </c>
      <c r="S285">
        <v>0.05201587625597326</v>
      </c>
      <c r="T285" t="s">
        <v>949</v>
      </c>
      <c r="U285">
        <v>0.087649849959633</v>
      </c>
      <c r="V285" t="s">
        <v>986</v>
      </c>
      <c r="W285" t="s">
        <v>991</v>
      </c>
      <c r="X285">
        <v>12145.303465</v>
      </c>
      <c r="Y285" s="2">
        <v>44864</v>
      </c>
      <c r="Z285" t="s">
        <v>1005</v>
      </c>
    </row>
    <row r="286" spans="1:26">
      <c r="A286" s="1" t="s">
        <v>310</v>
      </c>
      <c r="B286">
        <f>HYPERLINK("https://www.suredividend.com/sure-analysis-NUS/","Nu Skin Enterprises, Inc.")</f>
        <v>0</v>
      </c>
      <c r="C286" t="s">
        <v>884</v>
      </c>
      <c r="D286">
        <v>34</v>
      </c>
      <c r="E286">
        <v>42.16</v>
      </c>
      <c r="F286">
        <v>40</v>
      </c>
      <c r="G286">
        <v>1.054</v>
      </c>
      <c r="H286">
        <v>0.03652751423149905</v>
      </c>
      <c r="I286">
        <v>-0.01046336415723514</v>
      </c>
      <c r="J286">
        <v>0.039</v>
      </c>
      <c r="K286">
        <v>0.06003940322356272</v>
      </c>
      <c r="L286" t="s">
        <v>887</v>
      </c>
      <c r="M286" t="s">
        <v>887</v>
      </c>
      <c r="N286">
        <v>16.864</v>
      </c>
      <c r="O286">
        <v>2.5</v>
      </c>
      <c r="P286">
        <v>1.54</v>
      </c>
      <c r="Q286">
        <v>0.616</v>
      </c>
      <c r="R286">
        <v>22</v>
      </c>
      <c r="S286">
        <v>0.01266226114752955</v>
      </c>
      <c r="T286" t="s">
        <v>899</v>
      </c>
      <c r="U286">
        <v>-0.144801565970567</v>
      </c>
      <c r="V286" t="s">
        <v>986</v>
      </c>
      <c r="W286" t="s">
        <v>996</v>
      </c>
      <c r="X286">
        <v>2083.555716</v>
      </c>
      <c r="Y286" s="2">
        <v>44871</v>
      </c>
      <c r="Z286" t="s">
        <v>1010</v>
      </c>
    </row>
    <row r="287" spans="1:26">
      <c r="A287" s="1" t="s">
        <v>311</v>
      </c>
      <c r="B287">
        <f>HYPERLINK("https://www.suredividend.com/sure-analysis-PRGO/","Perrigo Company plc")</f>
        <v>0</v>
      </c>
      <c r="C287" t="s">
        <v>884</v>
      </c>
      <c r="D287">
        <v>33</v>
      </c>
      <c r="E287">
        <v>34.09</v>
      </c>
      <c r="F287">
        <v>31</v>
      </c>
      <c r="G287">
        <v>1.099677419354839</v>
      </c>
      <c r="H287">
        <v>0.03050748019947198</v>
      </c>
      <c r="I287">
        <v>-0.01882395053979546</v>
      </c>
      <c r="J287">
        <v>0.05</v>
      </c>
      <c r="K287">
        <v>0.05993547783317377</v>
      </c>
      <c r="L287" t="s">
        <v>887</v>
      </c>
      <c r="M287" t="s">
        <v>887</v>
      </c>
      <c r="N287">
        <v>16.62926829268293</v>
      </c>
      <c r="O287">
        <v>2.05</v>
      </c>
      <c r="P287">
        <v>1.04</v>
      </c>
      <c r="Q287">
        <v>0.5073170731707317</v>
      </c>
      <c r="R287">
        <v>20</v>
      </c>
      <c r="S287">
        <v>0.05042164036374652</v>
      </c>
      <c r="T287" t="s">
        <v>889</v>
      </c>
      <c r="U287">
        <v>-0.102885293529405</v>
      </c>
      <c r="V287" t="s">
        <v>986</v>
      </c>
      <c r="W287" t="s">
        <v>998</v>
      </c>
      <c r="X287">
        <v>4589.868941</v>
      </c>
      <c r="Y287" s="2">
        <v>44880</v>
      </c>
      <c r="Z287" t="s">
        <v>1001</v>
      </c>
    </row>
    <row r="288" spans="1:26">
      <c r="A288" s="1" t="s">
        <v>312</v>
      </c>
      <c r="B288">
        <f>HYPERLINK("https://www.suredividend.com/sure-analysis-ECL/","Ecolab, Inc.")</f>
        <v>0</v>
      </c>
      <c r="C288" t="s">
        <v>884</v>
      </c>
      <c r="D288">
        <v>143</v>
      </c>
      <c r="E288">
        <v>145.56</v>
      </c>
      <c r="F288">
        <v>90</v>
      </c>
      <c r="G288">
        <v>1.617333333333333</v>
      </c>
      <c r="H288">
        <v>0.01456444078043419</v>
      </c>
      <c r="I288">
        <v>-0.09167745753883727</v>
      </c>
      <c r="J288">
        <v>0.15</v>
      </c>
      <c r="K288">
        <v>0.05982428653055205</v>
      </c>
      <c r="L288" t="s">
        <v>887</v>
      </c>
      <c r="M288" t="s">
        <v>573</v>
      </c>
      <c r="N288">
        <v>32.34666666666666</v>
      </c>
      <c r="O288">
        <v>4.5</v>
      </c>
      <c r="P288">
        <v>2.12</v>
      </c>
      <c r="Q288">
        <v>0.4711111111111111</v>
      </c>
      <c r="R288">
        <v>31</v>
      </c>
      <c r="S288">
        <v>0.08447177119769855</v>
      </c>
      <c r="T288" t="s">
        <v>936</v>
      </c>
      <c r="U288">
        <v>-0.369426271479405</v>
      </c>
      <c r="V288" t="s">
        <v>986</v>
      </c>
      <c r="W288" t="s">
        <v>990</v>
      </c>
      <c r="X288">
        <v>41459.572414</v>
      </c>
      <c r="Y288" s="2">
        <v>44867</v>
      </c>
      <c r="Z288" t="s">
        <v>1003</v>
      </c>
    </row>
    <row r="289" spans="1:26">
      <c r="A289" s="1" t="s">
        <v>313</v>
      </c>
      <c r="B289">
        <f>HYPERLINK("https://www.suredividend.com/sure-analysis-AEP/","American Electric Power Company Inc.")</f>
        <v>0</v>
      </c>
      <c r="C289" t="s">
        <v>884</v>
      </c>
      <c r="D289">
        <v>88</v>
      </c>
      <c r="E289">
        <v>94.95</v>
      </c>
      <c r="F289">
        <v>85.3</v>
      </c>
      <c r="G289">
        <v>1.113130128956624</v>
      </c>
      <c r="H289">
        <v>0.03496577145866245</v>
      </c>
      <c r="I289">
        <v>-0.02120709543105748</v>
      </c>
      <c r="J289">
        <v>0.049</v>
      </c>
      <c r="K289">
        <v>0.05911815103364737</v>
      </c>
      <c r="L289" t="s">
        <v>887</v>
      </c>
      <c r="M289" t="s">
        <v>887</v>
      </c>
      <c r="N289">
        <v>18.91434262948207</v>
      </c>
      <c r="O289">
        <v>5.02</v>
      </c>
      <c r="P289">
        <v>3.32</v>
      </c>
      <c r="Q289">
        <v>0.6613545816733069</v>
      </c>
      <c r="R289">
        <v>18</v>
      </c>
      <c r="S289">
        <v>0.03059930248776666</v>
      </c>
      <c r="T289" t="s">
        <v>890</v>
      </c>
      <c r="U289">
        <v>0.107288629737609</v>
      </c>
      <c r="V289" t="s">
        <v>986</v>
      </c>
      <c r="W289" t="s">
        <v>997</v>
      </c>
      <c r="X289">
        <v>48791.356226</v>
      </c>
      <c r="Y289" s="2">
        <v>44875</v>
      </c>
      <c r="Z289" t="s">
        <v>1009</v>
      </c>
    </row>
    <row r="290" spans="1:26">
      <c r="A290" s="1" t="s">
        <v>314</v>
      </c>
      <c r="B290">
        <f>HYPERLINK("https://www.suredividend.com/sure-analysis-FLO/","Flowers Foods, Inc.")</f>
        <v>0</v>
      </c>
      <c r="C290" t="s">
        <v>884</v>
      </c>
      <c r="D290">
        <v>27</v>
      </c>
      <c r="E290">
        <v>28.74</v>
      </c>
      <c r="F290">
        <v>26</v>
      </c>
      <c r="G290">
        <v>1.105384615384615</v>
      </c>
      <c r="H290">
        <v>0.03061934585942937</v>
      </c>
      <c r="I290">
        <v>-0.01983922879819633</v>
      </c>
      <c r="J290">
        <v>0.05</v>
      </c>
      <c r="K290">
        <v>0.05900368072442208</v>
      </c>
      <c r="L290" t="s">
        <v>887</v>
      </c>
      <c r="M290" t="s">
        <v>573</v>
      </c>
      <c r="N290">
        <v>22.453125</v>
      </c>
      <c r="O290">
        <v>1.28</v>
      </c>
      <c r="P290">
        <v>0.88</v>
      </c>
      <c r="Q290">
        <v>0.6875</v>
      </c>
      <c r="R290">
        <v>20</v>
      </c>
      <c r="S290">
        <v>0.04941452284458392</v>
      </c>
      <c r="T290" t="s">
        <v>889</v>
      </c>
      <c r="U290">
        <v>0.081719912077323</v>
      </c>
      <c r="V290" t="s">
        <v>986</v>
      </c>
      <c r="W290" t="s">
        <v>996</v>
      </c>
      <c r="X290">
        <v>6067.965696</v>
      </c>
      <c r="Y290" s="2">
        <v>44880</v>
      </c>
      <c r="Z290" t="s">
        <v>1001</v>
      </c>
    </row>
    <row r="291" spans="1:26">
      <c r="A291" s="1" t="s">
        <v>315</v>
      </c>
      <c r="B291">
        <f>HYPERLINK("https://www.suredividend.com/sure-analysis-SCHW/","Charles Schwab Corp.")</f>
        <v>0</v>
      </c>
      <c r="C291" t="s">
        <v>884</v>
      </c>
      <c r="D291">
        <v>69</v>
      </c>
      <c r="E291">
        <v>83.26000000000001</v>
      </c>
      <c r="F291">
        <v>65</v>
      </c>
      <c r="G291">
        <v>1.280923076923077</v>
      </c>
      <c r="H291">
        <v>0.01056930098486668</v>
      </c>
      <c r="I291">
        <v>-0.04831025400823796</v>
      </c>
      <c r="J291">
        <v>0.1</v>
      </c>
      <c r="K291">
        <v>0.05807565736931641</v>
      </c>
      <c r="L291" t="s">
        <v>887</v>
      </c>
      <c r="M291" t="s">
        <v>572</v>
      </c>
      <c r="N291">
        <v>25.61846153846154</v>
      </c>
      <c r="O291">
        <v>3.25</v>
      </c>
      <c r="P291">
        <v>0.88</v>
      </c>
      <c r="Q291">
        <v>0.2707692307692308</v>
      </c>
      <c r="R291">
        <v>1</v>
      </c>
      <c r="S291">
        <v>0.08935697698429079</v>
      </c>
      <c r="T291" t="s">
        <v>890</v>
      </c>
      <c r="U291">
        <v>-0.00062056109766</v>
      </c>
      <c r="V291" t="s">
        <v>986</v>
      </c>
      <c r="W291" t="s">
        <v>994</v>
      </c>
      <c r="X291">
        <v>151187.311067</v>
      </c>
      <c r="Y291" s="2">
        <v>44852</v>
      </c>
      <c r="Z291" t="s">
        <v>1004</v>
      </c>
    </row>
    <row r="292" spans="1:26">
      <c r="A292" s="1" t="s">
        <v>316</v>
      </c>
      <c r="B292">
        <f>HYPERLINK("https://www.suredividend.com/sure-analysis-UMBF/","UMB Financial Corp.")</f>
        <v>0</v>
      </c>
      <c r="C292" t="s">
        <v>884</v>
      </c>
      <c r="D292">
        <v>83</v>
      </c>
      <c r="E292">
        <v>83.52</v>
      </c>
      <c r="F292">
        <v>97</v>
      </c>
      <c r="G292">
        <v>0.8610309278350515</v>
      </c>
      <c r="H292">
        <v>0.0181992337164751</v>
      </c>
      <c r="I292">
        <v>0.03037722275058896</v>
      </c>
      <c r="J292">
        <v>0.01</v>
      </c>
      <c r="K292">
        <v>0.05711126254818466</v>
      </c>
      <c r="L292" t="s">
        <v>887</v>
      </c>
      <c r="M292" t="s">
        <v>572</v>
      </c>
      <c r="N292">
        <v>10.31111111111111</v>
      </c>
      <c r="O292">
        <v>8.1</v>
      </c>
      <c r="P292">
        <v>1.52</v>
      </c>
      <c r="Q292">
        <v>0.1876543209876543</v>
      </c>
      <c r="R292">
        <v>31</v>
      </c>
      <c r="S292">
        <v>0.02975477857041309</v>
      </c>
      <c r="T292" t="s">
        <v>948</v>
      </c>
      <c r="U292">
        <v>-0.201838676229566</v>
      </c>
      <c r="V292" t="s">
        <v>986</v>
      </c>
      <c r="W292" t="s">
        <v>994</v>
      </c>
      <c r="X292">
        <v>4035.043547</v>
      </c>
      <c r="Y292" s="2">
        <v>44866</v>
      </c>
      <c r="Z292" t="s">
        <v>1005</v>
      </c>
    </row>
    <row r="293" spans="1:26">
      <c r="A293" s="1" t="s">
        <v>317</v>
      </c>
      <c r="B293">
        <f>HYPERLINK("https://www.suredividend.com/sure-analysis-ORI/","Old Republic International Corp.")</f>
        <v>0</v>
      </c>
      <c r="C293" t="s">
        <v>884</v>
      </c>
      <c r="D293">
        <v>24</v>
      </c>
      <c r="E293">
        <v>24.15</v>
      </c>
      <c r="F293">
        <v>28</v>
      </c>
      <c r="G293">
        <v>0.8624999999999999</v>
      </c>
      <c r="H293">
        <v>0.0380952380952381</v>
      </c>
      <c r="I293">
        <v>0.03002598081465924</v>
      </c>
      <c r="J293">
        <v>-0.01</v>
      </c>
      <c r="K293">
        <v>0.05665875172456358</v>
      </c>
      <c r="L293" t="s">
        <v>887</v>
      </c>
      <c r="M293" t="s">
        <v>887</v>
      </c>
      <c r="N293">
        <v>9.470588235294118</v>
      </c>
      <c r="O293">
        <v>2.55</v>
      </c>
      <c r="P293">
        <v>0.92</v>
      </c>
      <c r="Q293">
        <v>0.3607843137254902</v>
      </c>
      <c r="R293">
        <v>41</v>
      </c>
      <c r="S293">
        <v>0.04012620718096094</v>
      </c>
      <c r="T293" t="s">
        <v>902</v>
      </c>
      <c r="U293">
        <v>0.019546586735339</v>
      </c>
      <c r="V293" t="s">
        <v>986</v>
      </c>
      <c r="W293" t="s">
        <v>994</v>
      </c>
      <c r="X293">
        <v>7348.933389</v>
      </c>
      <c r="Y293" s="2">
        <v>44878</v>
      </c>
      <c r="Z293" t="s">
        <v>1005</v>
      </c>
    </row>
    <row r="294" spans="1:26">
      <c r="A294" s="1" t="s">
        <v>318</v>
      </c>
      <c r="B294">
        <f>HYPERLINK("https://www.suredividend.com/sure-analysis-DTE/","DTE Energy Co.")</f>
        <v>0</v>
      </c>
      <c r="C294" t="s">
        <v>884</v>
      </c>
      <c r="D294">
        <v>114</v>
      </c>
      <c r="E294">
        <v>117.53</v>
      </c>
      <c r="F294">
        <v>105</v>
      </c>
      <c r="G294">
        <v>1.119333333333333</v>
      </c>
      <c r="H294">
        <v>0.03011996936952268</v>
      </c>
      <c r="I294">
        <v>-0.02229437774632037</v>
      </c>
      <c r="J294">
        <v>0.05</v>
      </c>
      <c r="K294">
        <v>0.05629743762118888</v>
      </c>
      <c r="L294" t="s">
        <v>887</v>
      </c>
      <c r="M294" t="s">
        <v>573</v>
      </c>
      <c r="N294">
        <v>19.75294117647059</v>
      </c>
      <c r="O294">
        <v>5.95</v>
      </c>
      <c r="P294">
        <v>3.54</v>
      </c>
      <c r="Q294">
        <v>0.5949579831932773</v>
      </c>
      <c r="R294">
        <v>13</v>
      </c>
      <c r="S294">
        <v>0.05009123759249423</v>
      </c>
      <c r="T294" t="s">
        <v>904</v>
      </c>
      <c r="U294">
        <v>0.014215236614266</v>
      </c>
      <c r="V294" t="s">
        <v>986</v>
      </c>
      <c r="W294" t="s">
        <v>997</v>
      </c>
      <c r="X294">
        <v>22770.496202</v>
      </c>
      <c r="Y294" s="2">
        <v>44865</v>
      </c>
      <c r="Z294" t="s">
        <v>1003</v>
      </c>
    </row>
    <row r="295" spans="1:26">
      <c r="A295" s="1" t="s">
        <v>319</v>
      </c>
      <c r="B295">
        <f>HYPERLINK("https://www.suredividend.com/sure-analysis-K/","Kellogg Co")</f>
        <v>0</v>
      </c>
      <c r="C295" t="s">
        <v>884</v>
      </c>
      <c r="D295">
        <v>73</v>
      </c>
      <c r="E295">
        <v>71.23999999999999</v>
      </c>
      <c r="F295">
        <v>66</v>
      </c>
      <c r="G295">
        <v>1.079393939393939</v>
      </c>
      <c r="H295">
        <v>0.03312745648512072</v>
      </c>
      <c r="I295">
        <v>-0.01516379726635642</v>
      </c>
      <c r="J295">
        <v>0.04</v>
      </c>
      <c r="K295">
        <v>0.05524594007840133</v>
      </c>
      <c r="L295" t="s">
        <v>887</v>
      </c>
      <c r="M295" t="s">
        <v>887</v>
      </c>
      <c r="N295">
        <v>17.16626506024096</v>
      </c>
      <c r="O295">
        <v>4.15</v>
      </c>
      <c r="P295">
        <v>2.36</v>
      </c>
      <c r="Q295">
        <v>0.5686746987951806</v>
      </c>
      <c r="R295">
        <v>18</v>
      </c>
      <c r="S295">
        <v>0.0303095182681723</v>
      </c>
      <c r="T295" t="s">
        <v>891</v>
      </c>
      <c r="U295">
        <v>0.142719653526887</v>
      </c>
      <c r="V295" t="s">
        <v>986</v>
      </c>
      <c r="W295" t="s">
        <v>996</v>
      </c>
      <c r="X295">
        <v>24229.4364</v>
      </c>
      <c r="Y295" s="2">
        <v>44892</v>
      </c>
      <c r="Z295" t="s">
        <v>1005</v>
      </c>
    </row>
    <row r="296" spans="1:26">
      <c r="A296" s="1" t="s">
        <v>320</v>
      </c>
      <c r="B296">
        <f>HYPERLINK("https://www.suredividend.com/sure-analysis-NEE/","NextEra Energy Inc")</f>
        <v>0</v>
      </c>
      <c r="C296" t="s">
        <v>884</v>
      </c>
      <c r="D296">
        <v>78</v>
      </c>
      <c r="E296">
        <v>83.59999999999999</v>
      </c>
      <c r="F296">
        <v>68</v>
      </c>
      <c r="G296">
        <v>1.229411764705882</v>
      </c>
      <c r="H296">
        <v>0.02033492822966507</v>
      </c>
      <c r="I296">
        <v>-0.04046564875596892</v>
      </c>
      <c r="J296">
        <v>0.075</v>
      </c>
      <c r="K296">
        <v>0.05395952643116586</v>
      </c>
      <c r="L296" t="s">
        <v>887</v>
      </c>
      <c r="M296" t="s">
        <v>573</v>
      </c>
      <c r="N296">
        <v>29.33333333333333</v>
      </c>
      <c r="O296">
        <v>2.85</v>
      </c>
      <c r="P296">
        <v>1.7</v>
      </c>
      <c r="Q296">
        <v>0.5964912280701754</v>
      </c>
      <c r="R296">
        <v>26</v>
      </c>
      <c r="S296">
        <v>0.09036141354429028</v>
      </c>
      <c r="T296" t="s">
        <v>899</v>
      </c>
      <c r="U296">
        <v>-0.07962458371177701</v>
      </c>
      <c r="V296" t="s">
        <v>986</v>
      </c>
      <c r="W296" t="s">
        <v>997</v>
      </c>
      <c r="X296">
        <v>166126.881307</v>
      </c>
      <c r="Y296" s="2">
        <v>44867</v>
      </c>
      <c r="Z296" t="s">
        <v>1014</v>
      </c>
    </row>
    <row r="297" spans="1:26">
      <c r="A297" s="1" t="s">
        <v>321</v>
      </c>
      <c r="B297">
        <f>HYPERLINK("https://www.suredividend.com/sure-analysis-CARR/","Carrier Global Corp")</f>
        <v>0</v>
      </c>
      <c r="C297" t="s">
        <v>884</v>
      </c>
      <c r="D297">
        <v>40</v>
      </c>
      <c r="E297">
        <v>41.25</v>
      </c>
      <c r="F297">
        <v>37</v>
      </c>
      <c r="G297">
        <v>1.114864864864865</v>
      </c>
      <c r="H297">
        <v>0.01793939393939394</v>
      </c>
      <c r="I297">
        <v>-0.02151188662964043</v>
      </c>
      <c r="J297">
        <v>0.06</v>
      </c>
      <c r="K297">
        <v>0.05387256929987538</v>
      </c>
      <c r="L297" t="s">
        <v>887</v>
      </c>
      <c r="M297" t="s">
        <v>573</v>
      </c>
      <c r="N297">
        <v>17.70386266094421</v>
      </c>
      <c r="O297">
        <v>2.33</v>
      </c>
      <c r="P297">
        <v>0.74</v>
      </c>
      <c r="Q297">
        <v>0.3175965665236051</v>
      </c>
      <c r="R297">
        <v>3</v>
      </c>
      <c r="S297">
        <v>0.03526180275714541</v>
      </c>
      <c r="T297" t="s">
        <v>950</v>
      </c>
      <c r="U297">
        <v>-0.216833615589662</v>
      </c>
      <c r="V297" t="s">
        <v>986</v>
      </c>
      <c r="W297" t="s">
        <v>991</v>
      </c>
      <c r="X297">
        <v>34495.787494</v>
      </c>
      <c r="Y297" s="2">
        <v>44864</v>
      </c>
      <c r="Z297" t="s">
        <v>1011</v>
      </c>
    </row>
    <row r="298" spans="1:26">
      <c r="A298" s="1" t="s">
        <v>322</v>
      </c>
      <c r="B298">
        <f>HYPERLINK("https://www.suredividend.com/sure-analysis-ZTS/","Zoetis Inc")</f>
        <v>0</v>
      </c>
      <c r="C298" t="s">
        <v>884</v>
      </c>
      <c r="D298">
        <v>134</v>
      </c>
      <c r="E298">
        <v>146.55</v>
      </c>
      <c r="F298">
        <v>107</v>
      </c>
      <c r="G298">
        <v>1.369626168224299</v>
      </c>
      <c r="H298">
        <v>0.008870692596383487</v>
      </c>
      <c r="I298">
        <v>-0.06096973250464532</v>
      </c>
      <c r="J298">
        <v>0.11</v>
      </c>
      <c r="K298">
        <v>0.05371242310135371</v>
      </c>
      <c r="L298" t="s">
        <v>887</v>
      </c>
      <c r="M298" t="s">
        <v>572</v>
      </c>
      <c r="N298">
        <v>28.7917485265226</v>
      </c>
      <c r="O298">
        <v>5.09</v>
      </c>
      <c r="P298">
        <v>1.3</v>
      </c>
      <c r="Q298">
        <v>0.2554027504911591</v>
      </c>
      <c r="R298">
        <v>9</v>
      </c>
      <c r="S298">
        <v>0.1495806128385964</v>
      </c>
      <c r="T298" t="s">
        <v>932</v>
      </c>
      <c r="U298">
        <v>-0.397841350610417</v>
      </c>
      <c r="V298" t="s">
        <v>986</v>
      </c>
      <c r="W298" t="s">
        <v>998</v>
      </c>
      <c r="X298">
        <v>68302.850867</v>
      </c>
      <c r="Y298" s="2">
        <v>44871</v>
      </c>
      <c r="Z298" t="s">
        <v>1012</v>
      </c>
    </row>
    <row r="299" spans="1:26">
      <c r="A299" s="1" t="s">
        <v>323</v>
      </c>
      <c r="B299">
        <f>HYPERLINK("https://www.suredividend.com/sure-analysis-ETR/","Entergy Corp.")</f>
        <v>0</v>
      </c>
      <c r="C299" t="s">
        <v>884</v>
      </c>
      <c r="D299">
        <v>112</v>
      </c>
      <c r="E299">
        <v>112.5</v>
      </c>
      <c r="F299">
        <v>95</v>
      </c>
      <c r="G299">
        <v>1.184210526315789</v>
      </c>
      <c r="H299">
        <v>0.03804444444444444</v>
      </c>
      <c r="I299">
        <v>-0.03324992025671059</v>
      </c>
      <c r="J299">
        <v>0.05</v>
      </c>
      <c r="K299">
        <v>0.05155302082989421</v>
      </c>
      <c r="L299" t="s">
        <v>887</v>
      </c>
      <c r="M299" t="s">
        <v>887</v>
      </c>
      <c r="N299">
        <v>17.71653543307087</v>
      </c>
      <c r="O299">
        <v>6.35</v>
      </c>
      <c r="P299">
        <v>4.28</v>
      </c>
      <c r="Q299">
        <v>0.6740157480314961</v>
      </c>
      <c r="R299">
        <v>29</v>
      </c>
      <c r="S299">
        <v>0.02992969870596451</v>
      </c>
      <c r="T299" t="s">
        <v>914</v>
      </c>
      <c r="U299">
        <v>0.05506303649955401</v>
      </c>
      <c r="V299" t="s">
        <v>986</v>
      </c>
      <c r="W299" t="s">
        <v>997</v>
      </c>
      <c r="X299">
        <v>22891.91175</v>
      </c>
      <c r="Y299" s="2">
        <v>44886</v>
      </c>
      <c r="Z299" t="s">
        <v>1007</v>
      </c>
    </row>
    <row r="300" spans="1:26">
      <c r="A300" s="1" t="s">
        <v>324</v>
      </c>
      <c r="B300">
        <f>HYPERLINK("https://www.suredividend.com/sure-analysis-NDAQ/","Nasdaq Inc")</f>
        <v>0</v>
      </c>
      <c r="C300" t="s">
        <v>884</v>
      </c>
      <c r="D300">
        <v>56</v>
      </c>
      <c r="E300">
        <v>61.35</v>
      </c>
      <c r="F300">
        <v>50</v>
      </c>
      <c r="G300">
        <v>1.227</v>
      </c>
      <c r="H300">
        <v>0.013039934800326</v>
      </c>
      <c r="I300">
        <v>-0.04008873697905435</v>
      </c>
      <c r="J300">
        <v>0.08</v>
      </c>
      <c r="K300">
        <v>0.05145297462823795</v>
      </c>
      <c r="L300" t="s">
        <v>887</v>
      </c>
      <c r="M300" t="s">
        <v>572</v>
      </c>
      <c r="N300">
        <v>23.15094339622642</v>
      </c>
      <c r="O300">
        <v>2.65</v>
      </c>
      <c r="P300">
        <v>0.8</v>
      </c>
      <c r="Q300">
        <v>0.3018867924528302</v>
      </c>
      <c r="R300">
        <v>10</v>
      </c>
      <c r="S300">
        <v>0.100271705097241</v>
      </c>
      <c r="T300" t="s">
        <v>889</v>
      </c>
      <c r="U300">
        <v>-0.108085240010118</v>
      </c>
      <c r="V300" t="s">
        <v>986</v>
      </c>
      <c r="W300" t="s">
        <v>994</v>
      </c>
      <c r="X300">
        <v>30139.99892</v>
      </c>
      <c r="Y300" s="2">
        <v>44853</v>
      </c>
      <c r="Z300" t="s">
        <v>1004</v>
      </c>
    </row>
    <row r="301" spans="1:26">
      <c r="A301" s="1" t="s">
        <v>325</v>
      </c>
      <c r="B301">
        <f>HYPERLINK("https://www.suredividend.com/sure-analysis-MURGF/","Muenchener Rueckversicherungs-Gesellschaft AG")</f>
        <v>0</v>
      </c>
      <c r="C301" t="s">
        <v>884</v>
      </c>
      <c r="D301">
        <v>299</v>
      </c>
      <c r="E301">
        <v>322.08</v>
      </c>
      <c r="F301">
        <v>270</v>
      </c>
      <c r="G301">
        <v>1.192888888888889</v>
      </c>
      <c r="H301">
        <v>0.03598484848484849</v>
      </c>
      <c r="I301">
        <v>-0.0346606684856352</v>
      </c>
      <c r="J301">
        <v>0.05</v>
      </c>
      <c r="K301">
        <v>0.0503928203706514</v>
      </c>
      <c r="L301" t="s">
        <v>887</v>
      </c>
      <c r="M301" t="s">
        <v>887</v>
      </c>
      <c r="N301">
        <v>13.14075887392901</v>
      </c>
      <c r="O301">
        <v>24.51</v>
      </c>
      <c r="P301">
        <v>11.59</v>
      </c>
      <c r="Q301">
        <v>0.4728682170542635</v>
      </c>
      <c r="R301">
        <v>7</v>
      </c>
      <c r="S301">
        <v>0.04997013811465889</v>
      </c>
      <c r="T301" t="s">
        <v>957</v>
      </c>
      <c r="U301">
        <v>0.08663967611336</v>
      </c>
      <c r="V301" t="s">
        <v>986</v>
      </c>
      <c r="W301" t="s">
        <v>994</v>
      </c>
      <c r="X301">
        <v>45123.063696</v>
      </c>
      <c r="Y301" s="2">
        <v>44882</v>
      </c>
      <c r="Z301" t="s">
        <v>1011</v>
      </c>
    </row>
    <row r="302" spans="1:26">
      <c r="A302" s="1" t="s">
        <v>326</v>
      </c>
      <c r="B302">
        <f>HYPERLINK("https://www.suredividend.com/sure-analysis-AWK/","American Water Works Co. Inc.")</f>
        <v>0</v>
      </c>
      <c r="C302" t="s">
        <v>884</v>
      </c>
      <c r="D302">
        <v>144</v>
      </c>
      <c r="E302">
        <v>152.42</v>
      </c>
      <c r="F302">
        <v>120</v>
      </c>
      <c r="G302">
        <v>1.270166666666667</v>
      </c>
      <c r="H302">
        <v>0.01718934523028474</v>
      </c>
      <c r="I302">
        <v>-0.04670380900605009</v>
      </c>
      <c r="J302">
        <v>0.08</v>
      </c>
      <c r="K302">
        <v>0.04878430014994528</v>
      </c>
      <c r="L302" t="s">
        <v>887</v>
      </c>
      <c r="M302" t="s">
        <v>572</v>
      </c>
      <c r="N302">
        <v>34.32882882882883</v>
      </c>
      <c r="O302">
        <v>4.44</v>
      </c>
      <c r="P302">
        <v>2.62</v>
      </c>
      <c r="Q302">
        <v>0.5900900900900901</v>
      </c>
      <c r="R302">
        <v>14</v>
      </c>
      <c r="S302">
        <v>0.08993538169716486</v>
      </c>
      <c r="T302" t="s">
        <v>938</v>
      </c>
      <c r="U302">
        <v>-0.175299455790705</v>
      </c>
      <c r="V302" t="s">
        <v>986</v>
      </c>
      <c r="W302" t="s">
        <v>997</v>
      </c>
      <c r="X302">
        <v>27714.204555</v>
      </c>
      <c r="Y302" s="2">
        <v>44866</v>
      </c>
      <c r="Z302" t="s">
        <v>1011</v>
      </c>
    </row>
    <row r="303" spans="1:26">
      <c r="A303" s="1" t="s">
        <v>327</v>
      </c>
      <c r="B303">
        <f>HYPERLINK("https://www.suredividend.com/sure-analysis-UVV/","Universal Corp.")</f>
        <v>0</v>
      </c>
      <c r="C303" t="s">
        <v>884</v>
      </c>
      <c r="D303">
        <v>54</v>
      </c>
      <c r="E303">
        <v>52.81</v>
      </c>
      <c r="F303">
        <v>47</v>
      </c>
      <c r="G303">
        <v>1.123617021276596</v>
      </c>
      <c r="H303">
        <v>0.05983715205453512</v>
      </c>
      <c r="I303">
        <v>-0.02304099998265718</v>
      </c>
      <c r="J303">
        <v>0.015</v>
      </c>
      <c r="K303">
        <v>0.04846495158810948</v>
      </c>
      <c r="L303" t="s">
        <v>887</v>
      </c>
      <c r="M303" t="s">
        <v>886</v>
      </c>
      <c r="N303">
        <v>14.66944444444444</v>
      </c>
      <c r="O303">
        <v>3.6</v>
      </c>
      <c r="P303">
        <v>3.16</v>
      </c>
      <c r="Q303">
        <v>0.8777777777777778</v>
      </c>
      <c r="R303">
        <v>52</v>
      </c>
      <c r="S303">
        <v>0.00992750501674311</v>
      </c>
      <c r="T303" t="s">
        <v>903</v>
      </c>
      <c r="U303">
        <v>0.0239615931997</v>
      </c>
      <c r="V303" t="s">
        <v>986</v>
      </c>
      <c r="W303" t="s">
        <v>996</v>
      </c>
      <c r="X303">
        <v>1296.768614</v>
      </c>
      <c r="Y303" s="2">
        <v>44908</v>
      </c>
      <c r="Z303" t="s">
        <v>1007</v>
      </c>
    </row>
    <row r="304" spans="1:26">
      <c r="A304" s="1" t="s">
        <v>328</v>
      </c>
      <c r="B304">
        <f>HYPERLINK("https://www.suredividend.com/sure-analysis-IBM/","International Business Machines Corp.")</f>
        <v>0</v>
      </c>
      <c r="C304" t="s">
        <v>884</v>
      </c>
      <c r="D304">
        <v>135</v>
      </c>
      <c r="E304">
        <v>140.89</v>
      </c>
      <c r="F304">
        <v>118</v>
      </c>
      <c r="G304">
        <v>1.193983050847458</v>
      </c>
      <c r="H304">
        <v>0.04684505642699979</v>
      </c>
      <c r="I304">
        <v>-0.03483766010355016</v>
      </c>
      <c r="J304">
        <v>0.04</v>
      </c>
      <c r="K304">
        <v>0.04737427199040356</v>
      </c>
      <c r="L304" t="s">
        <v>887</v>
      </c>
      <c r="M304" t="s">
        <v>886</v>
      </c>
      <c r="N304">
        <v>14.3765306122449</v>
      </c>
      <c r="O304">
        <v>9.800000000000001</v>
      </c>
      <c r="P304">
        <v>6.6</v>
      </c>
      <c r="Q304">
        <v>0.6734693877551019</v>
      </c>
      <c r="R304">
        <v>27</v>
      </c>
      <c r="S304">
        <v>0.01009705984991127</v>
      </c>
      <c r="T304" t="s">
        <v>890</v>
      </c>
      <c r="U304">
        <v>0.104304191950939</v>
      </c>
      <c r="V304" t="s">
        <v>986</v>
      </c>
      <c r="W304" t="s">
        <v>993</v>
      </c>
      <c r="X304">
        <v>127382.363283</v>
      </c>
      <c r="Y304" s="2">
        <v>44861</v>
      </c>
      <c r="Z304" t="s">
        <v>1015</v>
      </c>
    </row>
    <row r="305" spans="1:26">
      <c r="A305" s="1" t="s">
        <v>329</v>
      </c>
      <c r="B305">
        <f>HYPERLINK("https://www.suredividend.com/sure-analysis-HII/","Huntington Ingalls Industries Inc")</f>
        <v>0</v>
      </c>
      <c r="C305" t="s">
        <v>884</v>
      </c>
      <c r="D305">
        <v>230</v>
      </c>
      <c r="E305">
        <v>230.68</v>
      </c>
      <c r="F305">
        <v>205</v>
      </c>
      <c r="G305">
        <v>1.125268292682927</v>
      </c>
      <c r="H305">
        <v>0.02150164730362407</v>
      </c>
      <c r="I305">
        <v>-0.02332789551422754</v>
      </c>
      <c r="J305">
        <v>0.05</v>
      </c>
      <c r="K305">
        <v>0.04651865831443902</v>
      </c>
      <c r="L305" t="s">
        <v>887</v>
      </c>
      <c r="M305" t="s">
        <v>573</v>
      </c>
      <c r="N305">
        <v>15.73533424283765</v>
      </c>
      <c r="O305">
        <v>14.66</v>
      </c>
      <c r="P305">
        <v>4.96</v>
      </c>
      <c r="Q305">
        <v>0.3383356070941337</v>
      </c>
      <c r="R305">
        <v>11</v>
      </c>
      <c r="S305">
        <v>0.03984145456721544</v>
      </c>
      <c r="T305" t="s">
        <v>899</v>
      </c>
      <c r="U305">
        <v>0.273578004444383</v>
      </c>
      <c r="V305" t="s">
        <v>986</v>
      </c>
      <c r="W305" t="s">
        <v>991</v>
      </c>
      <c r="X305">
        <v>9204.947684000001</v>
      </c>
      <c r="Y305" s="2">
        <v>44893</v>
      </c>
      <c r="Z305" t="s">
        <v>1015</v>
      </c>
    </row>
    <row r="306" spans="1:26">
      <c r="A306" s="1" t="s">
        <v>330</v>
      </c>
      <c r="B306">
        <f>HYPERLINK("https://www.suredividend.com/sure-analysis-MKC/","McCormick &amp; Co., Inc.")</f>
        <v>0</v>
      </c>
      <c r="C306" t="s">
        <v>884</v>
      </c>
      <c r="D306">
        <v>74</v>
      </c>
      <c r="E306">
        <v>82.89</v>
      </c>
      <c r="F306">
        <v>61</v>
      </c>
      <c r="G306">
        <v>1.358852459016394</v>
      </c>
      <c r="H306">
        <v>0.01785498853902763</v>
      </c>
      <c r="I306">
        <v>-0.0594854056262627</v>
      </c>
      <c r="J306">
        <v>0.09</v>
      </c>
      <c r="K306">
        <v>0.04598891138626482</v>
      </c>
      <c r="L306" t="s">
        <v>887</v>
      </c>
      <c r="M306" t="s">
        <v>573</v>
      </c>
      <c r="N306">
        <v>31.16165413533835</v>
      </c>
      <c r="O306">
        <v>2.66</v>
      </c>
      <c r="P306">
        <v>1.48</v>
      </c>
      <c r="Q306">
        <v>0.556390977443609</v>
      </c>
      <c r="R306">
        <v>35</v>
      </c>
      <c r="S306">
        <v>0.09967169919616548</v>
      </c>
      <c r="T306" t="s">
        <v>905</v>
      </c>
      <c r="U306">
        <v>-0.11701072604536</v>
      </c>
      <c r="V306" t="s">
        <v>986</v>
      </c>
      <c r="W306" t="s">
        <v>996</v>
      </c>
      <c r="X306">
        <v>22219.003599</v>
      </c>
      <c r="Y306" s="2">
        <v>44840</v>
      </c>
      <c r="Z306" t="s">
        <v>1001</v>
      </c>
    </row>
    <row r="307" spans="1:26">
      <c r="A307" s="1" t="s">
        <v>331</v>
      </c>
      <c r="B307">
        <f>HYPERLINK("https://www.suredividend.com/sure-analysis-ROK/","Rockwell Automation Inc")</f>
        <v>0</v>
      </c>
      <c r="C307" t="s">
        <v>884</v>
      </c>
      <c r="D307">
        <v>254</v>
      </c>
      <c r="E307">
        <v>257.57</v>
      </c>
      <c r="F307">
        <v>212</v>
      </c>
      <c r="G307">
        <v>1.214952830188679</v>
      </c>
      <c r="H307">
        <v>0.01832511550258182</v>
      </c>
      <c r="I307">
        <v>-0.03819259458393376</v>
      </c>
      <c r="J307">
        <v>0.065</v>
      </c>
      <c r="K307">
        <v>0.04403630691063865</v>
      </c>
      <c r="L307" t="s">
        <v>887</v>
      </c>
      <c r="M307" t="s">
        <v>572</v>
      </c>
      <c r="N307">
        <v>24.29905660377359</v>
      </c>
      <c r="O307">
        <v>10.6</v>
      </c>
      <c r="P307">
        <v>4.72</v>
      </c>
      <c r="Q307">
        <v>0.4452830188679245</v>
      </c>
      <c r="R307">
        <v>13</v>
      </c>
      <c r="S307">
        <v>0.06999857218918182</v>
      </c>
      <c r="T307" t="s">
        <v>914</v>
      </c>
      <c r="U307">
        <v>-0.240015260477046</v>
      </c>
      <c r="V307" t="s">
        <v>986</v>
      </c>
      <c r="W307" t="s">
        <v>991</v>
      </c>
      <c r="X307">
        <v>29580.408231</v>
      </c>
      <c r="Y307" s="2">
        <v>44877</v>
      </c>
      <c r="Z307" t="s">
        <v>1007</v>
      </c>
    </row>
    <row r="308" spans="1:26">
      <c r="A308" s="1" t="s">
        <v>332</v>
      </c>
      <c r="B308">
        <f>HYPERLINK("https://www.suredividend.com/sure-analysis-GATX/","GATX Corp.")</f>
        <v>0</v>
      </c>
      <c r="C308" t="s">
        <v>884</v>
      </c>
      <c r="D308">
        <v>109</v>
      </c>
      <c r="E308">
        <v>106.34</v>
      </c>
      <c r="F308">
        <v>99</v>
      </c>
      <c r="G308">
        <v>1.074141414141414</v>
      </c>
      <c r="H308">
        <v>0.019559902200489</v>
      </c>
      <c r="I308">
        <v>-0.01420251070860368</v>
      </c>
      <c r="J308">
        <v>0.04</v>
      </c>
      <c r="K308">
        <v>0.04338762495868731</v>
      </c>
      <c r="L308" t="s">
        <v>887</v>
      </c>
      <c r="M308" t="s">
        <v>573</v>
      </c>
      <c r="N308">
        <v>18.17777777777778</v>
      </c>
      <c r="O308">
        <v>5.85</v>
      </c>
      <c r="P308">
        <v>2.08</v>
      </c>
      <c r="Q308">
        <v>0.3555555555555556</v>
      </c>
      <c r="R308">
        <v>17</v>
      </c>
      <c r="S308">
        <v>0.02031177855938826</v>
      </c>
      <c r="T308" t="s">
        <v>901</v>
      </c>
      <c r="U308">
        <v>0.052629495007087</v>
      </c>
      <c r="V308" t="s">
        <v>986</v>
      </c>
      <c r="W308" t="s">
        <v>991</v>
      </c>
      <c r="X308">
        <v>3743.168</v>
      </c>
      <c r="Y308" s="2">
        <v>44882</v>
      </c>
      <c r="Z308" t="s">
        <v>1002</v>
      </c>
    </row>
    <row r="309" spans="1:26">
      <c r="A309" s="1" t="s">
        <v>333</v>
      </c>
      <c r="B309">
        <f>HYPERLINK("https://www.suredividend.com/sure-analysis-MET/","Metlife Inc")</f>
        <v>0</v>
      </c>
      <c r="C309" t="s">
        <v>884</v>
      </c>
      <c r="D309">
        <v>74</v>
      </c>
      <c r="E309">
        <v>72.37</v>
      </c>
      <c r="F309">
        <v>64</v>
      </c>
      <c r="G309">
        <v>1.13078125</v>
      </c>
      <c r="H309">
        <v>0.02763576067431256</v>
      </c>
      <c r="I309">
        <v>-0.02428208231040141</v>
      </c>
      <c r="J309">
        <v>0.04</v>
      </c>
      <c r="K309">
        <v>0.0425228296445177</v>
      </c>
      <c r="L309" t="s">
        <v>887</v>
      </c>
      <c r="M309" t="s">
        <v>887</v>
      </c>
      <c r="N309">
        <v>10.17862165963432</v>
      </c>
      <c r="O309">
        <v>7.11</v>
      </c>
      <c r="P309">
        <v>2</v>
      </c>
      <c r="Q309">
        <v>0.2812939521800281</v>
      </c>
      <c r="R309">
        <v>10</v>
      </c>
      <c r="S309">
        <v>0.03971726473271953</v>
      </c>
      <c r="T309" t="s">
        <v>938</v>
      </c>
      <c r="U309">
        <v>0.1906015359204</v>
      </c>
      <c r="V309" t="s">
        <v>986</v>
      </c>
      <c r="W309" t="s">
        <v>994</v>
      </c>
      <c r="X309">
        <v>56781.951056</v>
      </c>
      <c r="Y309" s="2">
        <v>44873</v>
      </c>
      <c r="Z309" t="s">
        <v>1001</v>
      </c>
    </row>
    <row r="310" spans="1:26">
      <c r="A310" s="1" t="s">
        <v>334</v>
      </c>
      <c r="B310">
        <f>HYPERLINK("https://www.suredividend.com/sure-analysis-SPTN/","SpartanNash Co")</f>
        <v>0</v>
      </c>
      <c r="C310" t="s">
        <v>885</v>
      </c>
      <c r="D310">
        <v>33</v>
      </c>
      <c r="E310">
        <v>30.24</v>
      </c>
      <c r="F310">
        <v>28</v>
      </c>
      <c r="G310">
        <v>1.08</v>
      </c>
      <c r="H310">
        <v>0.02777777777777778</v>
      </c>
      <c r="I310">
        <v>-0.01527435364574092</v>
      </c>
      <c r="J310">
        <v>0.03</v>
      </c>
      <c r="K310">
        <v>0.04221865905854227</v>
      </c>
      <c r="L310" t="s">
        <v>887</v>
      </c>
      <c r="M310" t="s">
        <v>887</v>
      </c>
      <c r="N310">
        <v>13.03448275862069</v>
      </c>
      <c r="O310">
        <v>2.32</v>
      </c>
      <c r="P310">
        <v>0.84</v>
      </c>
      <c r="Q310">
        <v>0.3620689655172414</v>
      </c>
      <c r="R310">
        <v>12</v>
      </c>
      <c r="S310">
        <v>0.03959498820755258</v>
      </c>
      <c r="T310" t="s">
        <v>920</v>
      </c>
      <c r="U310">
        <v>0.201320499120064</v>
      </c>
      <c r="V310" t="s">
        <v>986</v>
      </c>
      <c r="W310" t="s">
        <v>996</v>
      </c>
      <c r="X310">
        <v>1066.720748</v>
      </c>
      <c r="Y310" s="2">
        <v>44882</v>
      </c>
      <c r="Z310" t="s">
        <v>1008</v>
      </c>
    </row>
    <row r="311" spans="1:26">
      <c r="A311" s="1" t="s">
        <v>335</v>
      </c>
      <c r="B311">
        <f>HYPERLINK("https://www.suredividend.com/sure-analysis-BAH/","Booz Allen Hamilton Holding Corp")</f>
        <v>0</v>
      </c>
      <c r="C311" t="s">
        <v>884</v>
      </c>
      <c r="D311">
        <v>105</v>
      </c>
      <c r="E311">
        <v>104.52</v>
      </c>
      <c r="F311">
        <v>79</v>
      </c>
      <c r="G311">
        <v>1.323037974683544</v>
      </c>
      <c r="H311">
        <v>0.01645618063528511</v>
      </c>
      <c r="I311">
        <v>-0.05444773770104983</v>
      </c>
      <c r="J311">
        <v>0.08</v>
      </c>
      <c r="K311">
        <v>0.04186984934945315</v>
      </c>
      <c r="L311" t="s">
        <v>887</v>
      </c>
      <c r="M311" t="s">
        <v>572</v>
      </c>
      <c r="N311">
        <v>23.86301369863014</v>
      </c>
      <c r="O311">
        <v>4.38</v>
      </c>
      <c r="P311">
        <v>1.72</v>
      </c>
      <c r="Q311">
        <v>0.3926940639269406</v>
      </c>
      <c r="R311">
        <v>11</v>
      </c>
      <c r="S311">
        <v>0.1199092617598778</v>
      </c>
      <c r="T311" t="s">
        <v>907</v>
      </c>
      <c r="U311">
        <v>0.253969644144722</v>
      </c>
      <c r="V311" t="s">
        <v>986</v>
      </c>
      <c r="W311" t="s">
        <v>991</v>
      </c>
      <c r="X311">
        <v>13820.280647</v>
      </c>
      <c r="Y311" s="2">
        <v>44881</v>
      </c>
      <c r="Z311" t="s">
        <v>1015</v>
      </c>
    </row>
    <row r="312" spans="1:26">
      <c r="A312" s="1" t="s">
        <v>336</v>
      </c>
      <c r="B312">
        <f>HYPERLINK("https://www.suredividend.com/sure-analysis-CBU/","Community Bank System, Inc.")</f>
        <v>0</v>
      </c>
      <c r="C312" t="s">
        <v>884</v>
      </c>
      <c r="D312">
        <v>62</v>
      </c>
      <c r="E312">
        <v>62.95</v>
      </c>
      <c r="F312">
        <v>56</v>
      </c>
      <c r="G312">
        <v>1.124107142857143</v>
      </c>
      <c r="H312">
        <v>0.02795869737887212</v>
      </c>
      <c r="I312">
        <v>-0.02312620755805417</v>
      </c>
      <c r="J312">
        <v>0.04</v>
      </c>
      <c r="K312">
        <v>0.04165805462919314</v>
      </c>
      <c r="L312" t="s">
        <v>887</v>
      </c>
      <c r="M312" t="s">
        <v>887</v>
      </c>
      <c r="N312">
        <v>17.98571428571429</v>
      </c>
      <c r="O312">
        <v>3.5</v>
      </c>
      <c r="P312">
        <v>1.76</v>
      </c>
      <c r="Q312">
        <v>0.5028571428571429</v>
      </c>
      <c r="R312">
        <v>30</v>
      </c>
      <c r="S312">
        <v>0.01002427579815035</v>
      </c>
      <c r="T312" t="s">
        <v>901</v>
      </c>
      <c r="U312">
        <v>-0.131629515492032</v>
      </c>
      <c r="V312" t="s">
        <v>986</v>
      </c>
      <c r="W312" t="s">
        <v>994</v>
      </c>
      <c r="X312">
        <v>3382.580291</v>
      </c>
      <c r="Y312" s="2">
        <v>44867</v>
      </c>
      <c r="Z312" t="s">
        <v>1005</v>
      </c>
    </row>
    <row r="313" spans="1:26">
      <c r="A313" s="1" t="s">
        <v>337</v>
      </c>
      <c r="B313">
        <f>HYPERLINK("https://www.suredividend.com/sure-analysis-GILD/","Gilead Sciences, Inc.")</f>
        <v>0</v>
      </c>
      <c r="C313" t="s">
        <v>884</v>
      </c>
      <c r="D313">
        <v>85</v>
      </c>
      <c r="E313">
        <v>85.84999999999999</v>
      </c>
      <c r="F313">
        <v>71</v>
      </c>
      <c r="G313">
        <v>1.209154929577465</v>
      </c>
      <c r="H313">
        <v>0.03401281304601048</v>
      </c>
      <c r="I313">
        <v>-0.03727198488973715</v>
      </c>
      <c r="J313">
        <v>0.04</v>
      </c>
      <c r="K313">
        <v>0.03776697163453258</v>
      </c>
      <c r="L313" t="s">
        <v>887</v>
      </c>
      <c r="M313" t="s">
        <v>887</v>
      </c>
      <c r="N313">
        <v>12.17730496453901</v>
      </c>
      <c r="O313">
        <v>7.05</v>
      </c>
      <c r="P313">
        <v>2.92</v>
      </c>
      <c r="Q313">
        <v>0.4141843971631206</v>
      </c>
      <c r="R313">
        <v>7</v>
      </c>
      <c r="S313">
        <v>0.05018351330582038</v>
      </c>
      <c r="T313" t="s">
        <v>901</v>
      </c>
      <c r="U313">
        <v>0.223656116285102</v>
      </c>
      <c r="V313" t="s">
        <v>986</v>
      </c>
      <c r="W313" t="s">
        <v>998</v>
      </c>
      <c r="X313">
        <v>107676.834093</v>
      </c>
      <c r="Y313" s="2">
        <v>44888</v>
      </c>
      <c r="Z313" t="s">
        <v>1007</v>
      </c>
    </row>
    <row r="314" spans="1:26">
      <c r="A314" s="1" t="s">
        <v>338</v>
      </c>
      <c r="B314">
        <f>HYPERLINK("https://www.suredividend.com/sure-analysis-HON/","Honeywell International Inc")</f>
        <v>0</v>
      </c>
      <c r="C314" t="s">
        <v>884</v>
      </c>
      <c r="D314">
        <v>202</v>
      </c>
      <c r="E314">
        <v>214.3</v>
      </c>
      <c r="F314">
        <v>149</v>
      </c>
      <c r="G314">
        <v>1.438255033557047</v>
      </c>
      <c r="H314">
        <v>0.01922538497433504</v>
      </c>
      <c r="I314">
        <v>-0.07010734042385813</v>
      </c>
      <c r="J314">
        <v>0.09</v>
      </c>
      <c r="K314">
        <v>0.03630793648037134</v>
      </c>
      <c r="L314" t="s">
        <v>887</v>
      </c>
      <c r="M314" t="s">
        <v>572</v>
      </c>
      <c r="N314">
        <v>24.49142857142857</v>
      </c>
      <c r="O314">
        <v>8.75</v>
      </c>
      <c r="P314">
        <v>4.12</v>
      </c>
      <c r="Q314">
        <v>0.4708571428571429</v>
      </c>
      <c r="R314">
        <v>13</v>
      </c>
      <c r="S314">
        <v>0.09002989341627976</v>
      </c>
      <c r="T314" t="s">
        <v>890</v>
      </c>
      <c r="U314">
        <v>0.06135924311168901</v>
      </c>
      <c r="V314" t="s">
        <v>986</v>
      </c>
      <c r="W314" t="s">
        <v>991</v>
      </c>
      <c r="X314">
        <v>144078.654318</v>
      </c>
      <c r="Y314" s="2">
        <v>44864</v>
      </c>
      <c r="Z314" t="s">
        <v>1001</v>
      </c>
    </row>
    <row r="315" spans="1:26">
      <c r="A315" s="1" t="s">
        <v>339</v>
      </c>
      <c r="B315">
        <f>HYPERLINK("https://www.suredividend.com/sure-analysis-DDS/","Dillard`s Inc.")</f>
        <v>0</v>
      </c>
      <c r="C315" t="s">
        <v>885</v>
      </c>
      <c r="D315">
        <v>352</v>
      </c>
      <c r="E315">
        <v>323.2</v>
      </c>
      <c r="F315">
        <v>468</v>
      </c>
      <c r="G315">
        <v>0.6905982905982906</v>
      </c>
      <c r="H315">
        <v>0.002475247524752475</v>
      </c>
      <c r="I315">
        <v>0.07684922590200016</v>
      </c>
      <c r="J315">
        <v>-0.04</v>
      </c>
      <c r="K315">
        <v>0.03624611998525329</v>
      </c>
      <c r="L315" t="s">
        <v>887</v>
      </c>
      <c r="M315" t="s">
        <v>631</v>
      </c>
      <c r="N315">
        <v>7.604705882352941</v>
      </c>
      <c r="O315">
        <v>42.5</v>
      </c>
      <c r="P315">
        <v>0.8</v>
      </c>
      <c r="Q315">
        <v>0.01882352941176471</v>
      </c>
      <c r="R315">
        <v>11</v>
      </c>
      <c r="S315">
        <v>0.04563955259127317</v>
      </c>
      <c r="T315" t="s">
        <v>905</v>
      </c>
      <c r="U315">
        <v>0.353383962400045</v>
      </c>
      <c r="V315" t="s">
        <v>986</v>
      </c>
      <c r="W315" t="s">
        <v>992</v>
      </c>
      <c r="X315">
        <v>4246.421699</v>
      </c>
      <c r="Y315" s="2">
        <v>44906</v>
      </c>
      <c r="Z315" t="s">
        <v>1007</v>
      </c>
    </row>
    <row r="316" spans="1:26">
      <c r="A316" s="1" t="s">
        <v>340</v>
      </c>
      <c r="B316">
        <f>HYPERLINK("https://www.suredividend.com/sure-analysis-RTX/","Raytheon Technologies Corporation")</f>
        <v>0</v>
      </c>
      <c r="C316" t="s">
        <v>884</v>
      </c>
      <c r="D316">
        <v>89</v>
      </c>
      <c r="E316">
        <v>100.92</v>
      </c>
      <c r="F316">
        <v>76</v>
      </c>
      <c r="G316">
        <v>1.327894736842105</v>
      </c>
      <c r="H316">
        <v>0.02179944510503369</v>
      </c>
      <c r="I316">
        <v>-0.05514042148848008</v>
      </c>
      <c r="J316">
        <v>0.07000000000000001</v>
      </c>
      <c r="K316">
        <v>0.03548643927390782</v>
      </c>
      <c r="L316" t="s">
        <v>887</v>
      </c>
      <c r="M316" t="s">
        <v>573</v>
      </c>
      <c r="N316">
        <v>21.24631578947368</v>
      </c>
      <c r="O316">
        <v>4.75</v>
      </c>
      <c r="P316">
        <v>2.2</v>
      </c>
      <c r="Q316">
        <v>0.4631578947368422</v>
      </c>
      <c r="R316">
        <v>28</v>
      </c>
      <c r="S316">
        <v>0.0703040276544542</v>
      </c>
      <c r="T316" t="s">
        <v>894</v>
      </c>
      <c r="U316">
        <v>0.203775934500848</v>
      </c>
      <c r="V316" t="s">
        <v>986</v>
      </c>
      <c r="W316" t="s">
        <v>991</v>
      </c>
      <c r="X316">
        <v>148358.533413</v>
      </c>
      <c r="Y316" s="2">
        <v>44859</v>
      </c>
      <c r="Z316" t="s">
        <v>1001</v>
      </c>
    </row>
    <row r="317" spans="1:26">
      <c r="A317" s="1" t="s">
        <v>341</v>
      </c>
      <c r="B317">
        <f>HYPERLINK("https://www.suredividend.com/sure-analysis-INFY/","Infosys Ltd")</f>
        <v>0</v>
      </c>
      <c r="C317" t="s">
        <v>885</v>
      </c>
      <c r="D317">
        <v>19</v>
      </c>
      <c r="E317">
        <v>18.01</v>
      </c>
      <c r="F317">
        <v>14</v>
      </c>
      <c r="G317">
        <v>1.286428571428571</v>
      </c>
      <c r="H317">
        <v>0.02220988339811216</v>
      </c>
      <c r="I317">
        <v>-0.04912623637427171</v>
      </c>
      <c r="J317">
        <v>0.06</v>
      </c>
      <c r="K317">
        <v>0.03388924434242147</v>
      </c>
      <c r="L317" t="s">
        <v>887</v>
      </c>
      <c r="M317" t="s">
        <v>572</v>
      </c>
      <c r="N317">
        <v>25.01388888888889</v>
      </c>
      <c r="O317">
        <v>0.72</v>
      </c>
      <c r="P317">
        <v>0.4</v>
      </c>
      <c r="Q317">
        <v>0.5555555555555556</v>
      </c>
      <c r="R317">
        <v>7</v>
      </c>
      <c r="S317">
        <v>0.08083252207959757</v>
      </c>
      <c r="T317" t="s">
        <v>921</v>
      </c>
      <c r="U317">
        <v>-0.28353482673159</v>
      </c>
      <c r="V317" t="s">
        <v>986</v>
      </c>
      <c r="W317" t="s">
        <v>993</v>
      </c>
      <c r="X317">
        <v>75779.249149</v>
      </c>
      <c r="Y317" s="2">
        <v>44877</v>
      </c>
      <c r="Z317" t="s">
        <v>1007</v>
      </c>
    </row>
    <row r="318" spans="1:26">
      <c r="A318" s="1" t="s">
        <v>342</v>
      </c>
      <c r="B318">
        <f>HYPERLINK("https://www.suredividend.com/sure-analysis-GIS/","General Mills, Inc.")</f>
        <v>0</v>
      </c>
      <c r="C318" t="s">
        <v>884</v>
      </c>
      <c r="D318">
        <v>86</v>
      </c>
      <c r="E318">
        <v>83.84999999999999</v>
      </c>
      <c r="F318">
        <v>71</v>
      </c>
      <c r="G318">
        <v>1.180985915492958</v>
      </c>
      <c r="H318">
        <v>0.02576028622540251</v>
      </c>
      <c r="I318">
        <v>-0.03272256534835782</v>
      </c>
      <c r="J318">
        <v>0.04</v>
      </c>
      <c r="K318">
        <v>0.03206295207193643</v>
      </c>
      <c r="L318" t="s">
        <v>887</v>
      </c>
      <c r="M318" t="s">
        <v>573</v>
      </c>
      <c r="N318">
        <v>20.20481927710843</v>
      </c>
      <c r="O318">
        <v>4.15</v>
      </c>
      <c r="P318">
        <v>2.16</v>
      </c>
      <c r="Q318">
        <v>0.5204819277108433</v>
      </c>
      <c r="R318">
        <v>3</v>
      </c>
      <c r="S318">
        <v>0.02966808427901979</v>
      </c>
      <c r="T318" t="s">
        <v>903</v>
      </c>
      <c r="U318">
        <v>0.287227509978507</v>
      </c>
      <c r="V318" t="s">
        <v>986</v>
      </c>
      <c r="W318" t="s">
        <v>996</v>
      </c>
      <c r="X318">
        <v>49438.85862</v>
      </c>
      <c r="Y318" s="2">
        <v>44915</v>
      </c>
      <c r="Z318" t="s">
        <v>1003</v>
      </c>
    </row>
    <row r="319" spans="1:26">
      <c r="A319" s="1" t="s">
        <v>343</v>
      </c>
      <c r="B319">
        <f>HYPERLINK("https://www.suredividend.com/sure-analysis-PEP/","PepsiCo Inc")</f>
        <v>0</v>
      </c>
      <c r="C319" t="s">
        <v>884</v>
      </c>
      <c r="D319">
        <v>169</v>
      </c>
      <c r="E319">
        <v>180.66</v>
      </c>
      <c r="F319">
        <v>141</v>
      </c>
      <c r="G319">
        <v>1.281276595744681</v>
      </c>
      <c r="H319">
        <v>0.0254621941769069</v>
      </c>
      <c r="I319">
        <v>-0.04836277621552409</v>
      </c>
      <c r="J319">
        <v>0.055</v>
      </c>
      <c r="K319">
        <v>0.03188777608564286</v>
      </c>
      <c r="L319" t="s">
        <v>887</v>
      </c>
      <c r="M319" t="s">
        <v>887</v>
      </c>
      <c r="N319">
        <v>26.84398216939078</v>
      </c>
      <c r="O319">
        <v>6.73</v>
      </c>
      <c r="P319">
        <v>4.6</v>
      </c>
      <c r="Q319">
        <v>0.6835066864784546</v>
      </c>
      <c r="R319">
        <v>50</v>
      </c>
      <c r="S319">
        <v>0.05492923517031989</v>
      </c>
      <c r="T319" t="s">
        <v>889</v>
      </c>
      <c r="U319">
        <v>0.07426625105696201</v>
      </c>
      <c r="V319" t="s">
        <v>986</v>
      </c>
      <c r="W319" t="s">
        <v>996</v>
      </c>
      <c r="X319">
        <v>248896.945698</v>
      </c>
      <c r="Y319" s="2">
        <v>44847</v>
      </c>
      <c r="Z319" t="s">
        <v>1001</v>
      </c>
    </row>
    <row r="320" spans="1:26">
      <c r="A320" s="1" t="s">
        <v>344</v>
      </c>
      <c r="B320">
        <f>HYPERLINK("https://www.suredividend.com/sure-analysis-YORW/","York Water Co.")</f>
        <v>0</v>
      </c>
      <c r="C320" t="s">
        <v>885</v>
      </c>
      <c r="D320">
        <v>43</v>
      </c>
      <c r="E320">
        <v>44.98</v>
      </c>
      <c r="F320">
        <v>36</v>
      </c>
      <c r="G320">
        <v>1.249444444444444</v>
      </c>
      <c r="H320">
        <v>0.01734104046242775</v>
      </c>
      <c r="I320">
        <v>-0.0435624684223832</v>
      </c>
      <c r="J320">
        <v>0.06</v>
      </c>
      <c r="K320">
        <v>0.031687581989156</v>
      </c>
      <c r="L320" t="s">
        <v>887</v>
      </c>
      <c r="M320" t="s">
        <v>572</v>
      </c>
      <c r="N320">
        <v>33.81954887218045</v>
      </c>
      <c r="O320">
        <v>1.33</v>
      </c>
      <c r="P320">
        <v>0.78</v>
      </c>
      <c r="Q320">
        <v>0.5864661654135338</v>
      </c>
      <c r="R320">
        <v>25</v>
      </c>
      <c r="S320">
        <v>0.04022143939343281</v>
      </c>
      <c r="T320" t="s">
        <v>905</v>
      </c>
      <c r="U320">
        <v>-0.075024214294968</v>
      </c>
      <c r="V320" t="s">
        <v>986</v>
      </c>
      <c r="W320" t="s">
        <v>997</v>
      </c>
      <c r="X320">
        <v>642.148919</v>
      </c>
      <c r="Y320" s="2">
        <v>44873</v>
      </c>
      <c r="Z320" t="s">
        <v>1011</v>
      </c>
    </row>
    <row r="321" spans="1:26">
      <c r="A321" s="1" t="s">
        <v>345</v>
      </c>
      <c r="B321">
        <f>HYPERLINK("https://www.suredividend.com/sure-analysis-ARTNA/","Artesian Resources Corp.")</f>
        <v>0</v>
      </c>
      <c r="C321" t="s">
        <v>884</v>
      </c>
      <c r="D321">
        <v>55.6</v>
      </c>
      <c r="E321">
        <v>58.58</v>
      </c>
      <c r="F321">
        <v>45.8</v>
      </c>
      <c r="G321">
        <v>1.279039301310044</v>
      </c>
      <c r="H321">
        <v>0.01894844656879481</v>
      </c>
      <c r="I321">
        <v>-0.04803008830810618</v>
      </c>
      <c r="J321">
        <v>0.064</v>
      </c>
      <c r="K321">
        <v>0.03153938623238428</v>
      </c>
      <c r="L321" t="s">
        <v>887</v>
      </c>
      <c r="M321" t="s">
        <v>573</v>
      </c>
      <c r="N321">
        <v>31.32620320855615</v>
      </c>
      <c r="O321">
        <v>1.87</v>
      </c>
      <c r="P321">
        <v>1.11</v>
      </c>
      <c r="Q321">
        <v>0.5935828877005348</v>
      </c>
      <c r="R321">
        <v>27</v>
      </c>
      <c r="S321">
        <v>0.02404114574123795</v>
      </c>
      <c r="T321" t="s">
        <v>914</v>
      </c>
      <c r="U321">
        <v>0.305889879910741</v>
      </c>
      <c r="V321" t="s">
        <v>986</v>
      </c>
      <c r="W321" t="s">
        <v>997</v>
      </c>
      <c r="X321">
        <v>504.34656</v>
      </c>
      <c r="Y321" s="2">
        <v>44897</v>
      </c>
      <c r="Z321" t="s">
        <v>1009</v>
      </c>
    </row>
    <row r="322" spans="1:26">
      <c r="A322" s="1" t="s">
        <v>346</v>
      </c>
      <c r="B322">
        <f>HYPERLINK("https://www.suredividend.com/sure-analysis-PNM/","PNM Resources Inc")</f>
        <v>0</v>
      </c>
      <c r="C322" t="s">
        <v>884</v>
      </c>
      <c r="D322">
        <v>48</v>
      </c>
      <c r="E322">
        <v>48.79</v>
      </c>
      <c r="F322">
        <v>38</v>
      </c>
      <c r="G322">
        <v>1.283947368421053</v>
      </c>
      <c r="H322">
        <v>0.03012912482065997</v>
      </c>
      <c r="I322">
        <v>-0.04875901116191506</v>
      </c>
      <c r="J322">
        <v>0.05</v>
      </c>
      <c r="K322">
        <v>0.03060185959516826</v>
      </c>
      <c r="L322" t="s">
        <v>887</v>
      </c>
      <c r="M322" t="s">
        <v>573</v>
      </c>
      <c r="N322">
        <v>19.13333333333333</v>
      </c>
      <c r="O322">
        <v>2.55</v>
      </c>
      <c r="P322">
        <v>1.47</v>
      </c>
      <c r="Q322">
        <v>0.5764705882352942</v>
      </c>
      <c r="R322">
        <v>12</v>
      </c>
      <c r="S322">
        <v>0.03784186694963654</v>
      </c>
      <c r="T322" t="s">
        <v>954</v>
      </c>
      <c r="U322">
        <v>0.096197571694331</v>
      </c>
      <c r="V322" t="s">
        <v>986</v>
      </c>
      <c r="W322" t="s">
        <v>997</v>
      </c>
      <c r="X322">
        <v>1908.557413</v>
      </c>
      <c r="Y322" s="2">
        <v>44894</v>
      </c>
      <c r="Z322" t="s">
        <v>1013</v>
      </c>
    </row>
    <row r="323" spans="1:26">
      <c r="A323" s="1" t="s">
        <v>347</v>
      </c>
      <c r="B323">
        <f>HYPERLINK("https://www.suredividend.com/sure-analysis-HUBB/","Hubbell Inc.")</f>
        <v>0</v>
      </c>
      <c r="C323" t="s">
        <v>884</v>
      </c>
      <c r="D323">
        <v>237</v>
      </c>
      <c r="E323">
        <v>234.68</v>
      </c>
      <c r="F323">
        <v>185</v>
      </c>
      <c r="G323">
        <v>1.268540540540541</v>
      </c>
      <c r="H323">
        <v>0.01908982444179308</v>
      </c>
      <c r="I323">
        <v>-0.04645953055518415</v>
      </c>
      <c r="J323">
        <v>0.06</v>
      </c>
      <c r="K323">
        <v>0.03056522575024534</v>
      </c>
      <c r="L323" t="s">
        <v>887</v>
      </c>
      <c r="M323" t="s">
        <v>573</v>
      </c>
      <c r="N323">
        <v>22.78446601941748</v>
      </c>
      <c r="O323">
        <v>10.3</v>
      </c>
      <c r="P323">
        <v>4.48</v>
      </c>
      <c r="Q323">
        <v>0.4349514563106796</v>
      </c>
      <c r="R323">
        <v>16</v>
      </c>
      <c r="S323">
        <v>0.03997691152451632</v>
      </c>
      <c r="T323" t="s">
        <v>917</v>
      </c>
      <c r="U323">
        <v>0.155436998699715</v>
      </c>
      <c r="V323" t="s">
        <v>986</v>
      </c>
      <c r="W323" t="s">
        <v>991</v>
      </c>
      <c r="X323">
        <v>12603.68395</v>
      </c>
      <c r="Y323" s="2">
        <v>44870</v>
      </c>
      <c r="Z323" t="s">
        <v>1002</v>
      </c>
    </row>
    <row r="324" spans="1:26">
      <c r="A324" s="1" t="s">
        <v>348</v>
      </c>
      <c r="B324">
        <f>HYPERLINK("https://www.suredividend.com/sure-analysis-XEL/","Xcel Energy, Inc.")</f>
        <v>0</v>
      </c>
      <c r="C324" t="s">
        <v>884</v>
      </c>
      <c r="D324">
        <v>64</v>
      </c>
      <c r="E324">
        <v>70.11</v>
      </c>
      <c r="F324">
        <v>57</v>
      </c>
      <c r="G324">
        <v>1.23</v>
      </c>
      <c r="H324">
        <v>0.02781343602909713</v>
      </c>
      <c r="I324">
        <v>-0.04055744387400284</v>
      </c>
      <c r="J324">
        <v>0.04</v>
      </c>
      <c r="K324">
        <v>0.02758022871529087</v>
      </c>
      <c r="L324" t="s">
        <v>887</v>
      </c>
      <c r="M324" t="s">
        <v>573</v>
      </c>
      <c r="N324">
        <v>22.18670886075949</v>
      </c>
      <c r="O324">
        <v>3.16</v>
      </c>
      <c r="P324">
        <v>1.95</v>
      </c>
      <c r="Q324">
        <v>0.6170886075949367</v>
      </c>
      <c r="R324">
        <v>19</v>
      </c>
      <c r="S324">
        <v>0.03978308212039239</v>
      </c>
      <c r="T324" t="s">
        <v>958</v>
      </c>
      <c r="U324">
        <v>0.056155029277382</v>
      </c>
      <c r="V324" t="s">
        <v>986</v>
      </c>
      <c r="W324" t="s">
        <v>997</v>
      </c>
      <c r="X324">
        <v>38367.592055</v>
      </c>
      <c r="Y324" s="2">
        <v>44861</v>
      </c>
      <c r="Z324" t="s">
        <v>1016</v>
      </c>
    </row>
    <row r="325" spans="1:26">
      <c r="A325" s="1" t="s">
        <v>349</v>
      </c>
      <c r="B325">
        <f>HYPERLINK("https://www.suredividend.com/sure-analysis-KMB/","Kimberly-Clark Corp.")</f>
        <v>0</v>
      </c>
      <c r="C325" t="s">
        <v>884</v>
      </c>
      <c r="D325">
        <v>123</v>
      </c>
      <c r="E325">
        <v>135.75</v>
      </c>
      <c r="F325">
        <v>101</v>
      </c>
      <c r="G325">
        <v>1.344059405940594</v>
      </c>
      <c r="H325">
        <v>0.0341804788213628</v>
      </c>
      <c r="I325">
        <v>-0.05742415278062729</v>
      </c>
      <c r="J325">
        <v>0.05</v>
      </c>
      <c r="K325">
        <v>0.02687409218643078</v>
      </c>
      <c r="L325" t="s">
        <v>887</v>
      </c>
      <c r="M325" t="s">
        <v>887</v>
      </c>
      <c r="N325">
        <v>24.24107142857143</v>
      </c>
      <c r="O325">
        <v>5.6</v>
      </c>
      <c r="P325">
        <v>4.64</v>
      </c>
      <c r="Q325">
        <v>0.8285714285714285</v>
      </c>
      <c r="R325">
        <v>50</v>
      </c>
      <c r="S325">
        <v>0.03943678667011308</v>
      </c>
      <c r="T325" t="s">
        <v>920</v>
      </c>
      <c r="U325">
        <v>-0.00605883106661</v>
      </c>
      <c r="V325" t="s">
        <v>986</v>
      </c>
      <c r="W325" t="s">
        <v>996</v>
      </c>
      <c r="X325">
        <v>45814.551761</v>
      </c>
      <c r="Y325" s="2">
        <v>44871</v>
      </c>
      <c r="Z325" t="s">
        <v>1005</v>
      </c>
    </row>
    <row r="326" spans="1:26">
      <c r="A326" s="1" t="s">
        <v>350</v>
      </c>
      <c r="B326">
        <f>HYPERLINK("https://www.suredividend.com/sure-analysis-FNV/","Franco-Nevada Corporation")</f>
        <v>0</v>
      </c>
      <c r="C326" t="s">
        <v>885</v>
      </c>
      <c r="D326">
        <v>140</v>
      </c>
      <c r="E326">
        <v>136.48</v>
      </c>
      <c r="F326">
        <v>155</v>
      </c>
      <c r="G326">
        <v>0.880516129032258</v>
      </c>
      <c r="H326">
        <v>0.009378663540445488</v>
      </c>
      <c r="I326">
        <v>0.02577600749781328</v>
      </c>
      <c r="J326">
        <v>-0.01</v>
      </c>
      <c r="K326">
        <v>0.02645204118374456</v>
      </c>
      <c r="L326" t="s">
        <v>887</v>
      </c>
      <c r="M326" t="s">
        <v>572</v>
      </c>
      <c r="N326">
        <v>36.88648648648648</v>
      </c>
      <c r="O326">
        <v>3.7</v>
      </c>
      <c r="P326">
        <v>1.28</v>
      </c>
      <c r="Q326">
        <v>0.3459459459459459</v>
      </c>
      <c r="R326">
        <v>15</v>
      </c>
      <c r="S326">
        <v>0.0799150058822331</v>
      </c>
      <c r="T326" t="s">
        <v>929</v>
      </c>
      <c r="U326">
        <v>0.004013700726232</v>
      </c>
      <c r="V326" t="s">
        <v>986</v>
      </c>
      <c r="W326" t="s">
        <v>990</v>
      </c>
      <c r="X326">
        <v>26158.393616</v>
      </c>
      <c r="Y326" s="2">
        <v>44882</v>
      </c>
      <c r="Z326" t="s">
        <v>1008</v>
      </c>
    </row>
    <row r="327" spans="1:26">
      <c r="A327" s="1" t="s">
        <v>351</v>
      </c>
      <c r="B327">
        <f>HYPERLINK("https://www.suredividend.com/sure-analysis-WTRG/","Essential Utilities Inc")</f>
        <v>0</v>
      </c>
      <c r="C327" t="s">
        <v>884</v>
      </c>
      <c r="D327">
        <v>44</v>
      </c>
      <c r="E327">
        <v>47.73</v>
      </c>
      <c r="F327">
        <v>32</v>
      </c>
      <c r="G327">
        <v>1.4915625</v>
      </c>
      <c r="H327">
        <v>0.02409386130316363</v>
      </c>
      <c r="I327">
        <v>-0.07685120148192559</v>
      </c>
      <c r="J327">
        <v>0.08</v>
      </c>
      <c r="K327">
        <v>0.02458549173816738</v>
      </c>
      <c r="L327" t="s">
        <v>887</v>
      </c>
      <c r="M327" t="s">
        <v>573</v>
      </c>
      <c r="N327">
        <v>26.66480446927374</v>
      </c>
      <c r="O327">
        <v>1.79</v>
      </c>
      <c r="P327">
        <v>1.15</v>
      </c>
      <c r="Q327">
        <v>0.6424581005586592</v>
      </c>
      <c r="R327">
        <v>31</v>
      </c>
      <c r="S327">
        <v>0.06014330757368569</v>
      </c>
      <c r="T327" t="s">
        <v>890</v>
      </c>
      <c r="U327">
        <v>-0.07981492192018501</v>
      </c>
      <c r="V327" t="s">
        <v>986</v>
      </c>
      <c r="W327" t="s">
        <v>997</v>
      </c>
      <c r="X327">
        <v>12519.142605</v>
      </c>
      <c r="Y327" s="2">
        <v>44875</v>
      </c>
      <c r="Z327" t="s">
        <v>1003</v>
      </c>
    </row>
    <row r="328" spans="1:26">
      <c r="A328" s="1" t="s">
        <v>352</v>
      </c>
      <c r="B328">
        <f>HYPERLINK("https://www.suredividend.com/sure-analysis-RGLD/","Royal Gold, Inc.")</f>
        <v>0</v>
      </c>
      <c r="C328" t="s">
        <v>884</v>
      </c>
      <c r="D328">
        <v>106</v>
      </c>
      <c r="E328">
        <v>112.72</v>
      </c>
      <c r="F328">
        <v>106</v>
      </c>
      <c r="G328">
        <v>1.063396226415094</v>
      </c>
      <c r="H328">
        <v>0.01242015613910575</v>
      </c>
      <c r="I328">
        <v>-0.01221829765998239</v>
      </c>
      <c r="J328">
        <v>0.02</v>
      </c>
      <c r="K328">
        <v>0.02277522289686607</v>
      </c>
      <c r="L328" t="s">
        <v>887</v>
      </c>
      <c r="M328" t="s">
        <v>572</v>
      </c>
      <c r="N328">
        <v>34.05438066465257</v>
      </c>
      <c r="O328">
        <v>3.31</v>
      </c>
      <c r="P328">
        <v>1.4</v>
      </c>
      <c r="Q328">
        <v>0.4229607250755287</v>
      </c>
      <c r="R328">
        <v>21</v>
      </c>
      <c r="S328">
        <v>0.08958743119932766</v>
      </c>
      <c r="T328" t="s">
        <v>903</v>
      </c>
      <c r="U328">
        <v>0.09004895163052801</v>
      </c>
      <c r="V328" t="s">
        <v>986</v>
      </c>
      <c r="W328" t="s">
        <v>990</v>
      </c>
      <c r="X328">
        <v>7399.358991</v>
      </c>
      <c r="Y328" s="2">
        <v>44882</v>
      </c>
      <c r="Z328" t="s">
        <v>1008</v>
      </c>
    </row>
    <row r="329" spans="1:26">
      <c r="A329" s="1" t="s">
        <v>353</v>
      </c>
      <c r="B329">
        <f>HYPERLINK("https://www.suredividend.com/sure-analysis-LMT/","Lockheed Martin Corp.")</f>
        <v>0</v>
      </c>
      <c r="C329" t="s">
        <v>885</v>
      </c>
      <c r="D329">
        <v>472</v>
      </c>
      <c r="E329">
        <v>486.49</v>
      </c>
      <c r="F329">
        <v>345</v>
      </c>
      <c r="G329">
        <v>1.410115942028985</v>
      </c>
      <c r="H329">
        <v>0.02466648851980513</v>
      </c>
      <c r="I329">
        <v>-0.06642538225036809</v>
      </c>
      <c r="J329">
        <v>0.06</v>
      </c>
      <c r="K329">
        <v>0.01857976549563722</v>
      </c>
      <c r="L329" t="s">
        <v>887</v>
      </c>
      <c r="M329" t="s">
        <v>573</v>
      </c>
      <c r="N329">
        <v>22.57494199535963</v>
      </c>
      <c r="O329">
        <v>21.55</v>
      </c>
      <c r="P329">
        <v>12</v>
      </c>
      <c r="Q329">
        <v>0.5568445475638051</v>
      </c>
      <c r="R329">
        <v>21</v>
      </c>
      <c r="S329">
        <v>0.06001706997692002</v>
      </c>
      <c r="T329" t="s">
        <v>891</v>
      </c>
      <c r="U329">
        <v>0.403252208400937</v>
      </c>
      <c r="V329" t="s">
        <v>986</v>
      </c>
      <c r="W329" t="s">
        <v>991</v>
      </c>
      <c r="X329">
        <v>127496.36226</v>
      </c>
      <c r="Y329" s="2">
        <v>44864</v>
      </c>
      <c r="Z329" t="s">
        <v>1015</v>
      </c>
    </row>
    <row r="330" spans="1:26">
      <c r="A330" s="1" t="s">
        <v>354</v>
      </c>
      <c r="B330">
        <f>HYPERLINK("https://www.suredividend.com/sure-analysis-ED/","Consolidated Edison, Inc.")</f>
        <v>0</v>
      </c>
      <c r="C330" t="s">
        <v>885</v>
      </c>
      <c r="D330">
        <v>90</v>
      </c>
      <c r="E330">
        <v>95.31</v>
      </c>
      <c r="F330">
        <v>73</v>
      </c>
      <c r="G330">
        <v>1.305616438356164</v>
      </c>
      <c r="H330">
        <v>0.03315496799916064</v>
      </c>
      <c r="I330">
        <v>-0.05193769769943613</v>
      </c>
      <c r="J330">
        <v>0.035</v>
      </c>
      <c r="K330">
        <v>0.01805550078320706</v>
      </c>
      <c r="L330" t="s">
        <v>887</v>
      </c>
      <c r="M330" t="s">
        <v>887</v>
      </c>
      <c r="N330">
        <v>20.94725274725275</v>
      </c>
      <c r="O330">
        <v>4.55</v>
      </c>
      <c r="P330">
        <v>3.16</v>
      </c>
      <c r="Q330">
        <v>0.6945054945054946</v>
      </c>
      <c r="R330">
        <v>48</v>
      </c>
      <c r="S330">
        <v>0.03482958654183155</v>
      </c>
      <c r="T330" t="s">
        <v>895</v>
      </c>
      <c r="U330">
        <v>0.158432087511394</v>
      </c>
      <c r="V330" t="s">
        <v>986</v>
      </c>
      <c r="W330" t="s">
        <v>997</v>
      </c>
      <c r="X330">
        <v>33821.978043</v>
      </c>
      <c r="Y330" s="2">
        <v>44873</v>
      </c>
      <c r="Z330" t="s">
        <v>1001</v>
      </c>
    </row>
    <row r="331" spans="1:26">
      <c r="A331" s="1" t="s">
        <v>355</v>
      </c>
      <c r="B331">
        <f>HYPERLINK("https://www.suredividend.com/sure-analysis-APD/","Air Products &amp; Chemicals Inc.")</f>
        <v>0</v>
      </c>
      <c r="C331" t="s">
        <v>885</v>
      </c>
      <c r="D331">
        <v>315</v>
      </c>
      <c r="E331">
        <v>308.26</v>
      </c>
      <c r="F331">
        <v>216</v>
      </c>
      <c r="G331">
        <v>1.42712962962963</v>
      </c>
      <c r="H331">
        <v>0.02102121585674431</v>
      </c>
      <c r="I331">
        <v>-0.06866201666935057</v>
      </c>
      <c r="J331">
        <v>0.06</v>
      </c>
      <c r="K331">
        <v>0.01306739732740669</v>
      </c>
      <c r="L331" t="s">
        <v>887</v>
      </c>
      <c r="M331" t="s">
        <v>573</v>
      </c>
      <c r="N331">
        <v>27.15947136563877</v>
      </c>
      <c r="O331">
        <v>11.35</v>
      </c>
      <c r="P331">
        <v>6.48</v>
      </c>
      <c r="Q331">
        <v>0.5709251101321586</v>
      </c>
      <c r="R331">
        <v>40</v>
      </c>
      <c r="S331">
        <v>0.07003448782339894</v>
      </c>
      <c r="T331" t="s">
        <v>898</v>
      </c>
      <c r="U331">
        <v>0.04556905093901401</v>
      </c>
      <c r="V331" t="s">
        <v>986</v>
      </c>
      <c r="W331" t="s">
        <v>990</v>
      </c>
      <c r="X331">
        <v>68392.40422</v>
      </c>
      <c r="Y331" s="2">
        <v>44906</v>
      </c>
      <c r="Z331" t="s">
        <v>1007</v>
      </c>
    </row>
    <row r="332" spans="1:26">
      <c r="A332" s="1" t="s">
        <v>356</v>
      </c>
      <c r="B332">
        <f>HYPERLINK("https://www.suredividend.com/sure-analysis-TT/","Trane Technologies plc")</f>
        <v>0</v>
      </c>
      <c r="C332" t="s">
        <v>885</v>
      </c>
      <c r="D332">
        <v>167</v>
      </c>
      <c r="E332">
        <v>168.09</v>
      </c>
      <c r="F332">
        <v>122</v>
      </c>
      <c r="G332">
        <v>1.377786885245902</v>
      </c>
      <c r="H332">
        <v>0.01594383960973288</v>
      </c>
      <c r="I332">
        <v>-0.06208476428647436</v>
      </c>
      <c r="J332">
        <v>0.06</v>
      </c>
      <c r="K332">
        <v>0.01298150081732197</v>
      </c>
      <c r="L332" t="s">
        <v>887</v>
      </c>
      <c r="M332" t="s">
        <v>572</v>
      </c>
      <c r="N332">
        <v>23.4108635097493</v>
      </c>
      <c r="O332">
        <v>7.18</v>
      </c>
      <c r="P332">
        <v>2.68</v>
      </c>
      <c r="Q332">
        <v>0.3732590529247911</v>
      </c>
      <c r="R332">
        <v>2</v>
      </c>
      <c r="S332">
        <v>0.06021008469571831</v>
      </c>
      <c r="T332" t="s">
        <v>889</v>
      </c>
      <c r="U332">
        <v>-0.14831370267945</v>
      </c>
      <c r="V332" t="s">
        <v>986</v>
      </c>
      <c r="W332" t="s">
        <v>991</v>
      </c>
      <c r="X332">
        <v>38712.353385</v>
      </c>
      <c r="Y332" s="2">
        <v>44872</v>
      </c>
      <c r="Z332" t="s">
        <v>1011</v>
      </c>
    </row>
    <row r="333" spans="1:26">
      <c r="A333" s="1" t="s">
        <v>357</v>
      </c>
      <c r="B333">
        <f>HYPERLINK("https://www.suredividend.com/sure-analysis-TRI/","Thomson-Reuters Corp")</f>
        <v>0</v>
      </c>
      <c r="C333" t="s">
        <v>885</v>
      </c>
      <c r="D333">
        <v>111</v>
      </c>
      <c r="E333">
        <v>114.07</v>
      </c>
      <c r="F333">
        <v>76</v>
      </c>
      <c r="G333">
        <v>1.500921052631579</v>
      </c>
      <c r="H333">
        <v>0.01560445340580346</v>
      </c>
      <c r="I333">
        <v>-0.07800528813902485</v>
      </c>
      <c r="J333">
        <v>0.08</v>
      </c>
      <c r="K333">
        <v>0.01208487625713772</v>
      </c>
      <c r="L333" t="s">
        <v>887</v>
      </c>
      <c r="M333" t="s">
        <v>572</v>
      </c>
      <c r="N333">
        <v>45.26587301587301</v>
      </c>
      <c r="O333">
        <v>2.52</v>
      </c>
      <c r="P333">
        <v>1.78</v>
      </c>
      <c r="Q333">
        <v>0.7063492063492064</v>
      </c>
      <c r="R333">
        <v>29</v>
      </c>
      <c r="S333">
        <v>0.02049115477439067</v>
      </c>
      <c r="T333" t="s">
        <v>897</v>
      </c>
      <c r="U333">
        <v>-0.0219950375272</v>
      </c>
      <c r="V333" t="s">
        <v>986</v>
      </c>
      <c r="W333" t="s">
        <v>991</v>
      </c>
      <c r="X333">
        <v>54469.030369</v>
      </c>
      <c r="Y333" s="2">
        <v>44877</v>
      </c>
      <c r="Z333" t="s">
        <v>1008</v>
      </c>
    </row>
    <row r="334" spans="1:26">
      <c r="A334" s="1" t="s">
        <v>358</v>
      </c>
      <c r="B334">
        <f>HYPERLINK("https://www.suredividend.com/sure-analysis-SJM/","J.M. Smucker Co.")</f>
        <v>0</v>
      </c>
      <c r="C334" t="s">
        <v>885</v>
      </c>
      <c r="D334">
        <v>149</v>
      </c>
      <c r="E334">
        <v>158.46</v>
      </c>
      <c r="F334">
        <v>113</v>
      </c>
      <c r="G334">
        <v>1.402300884955752</v>
      </c>
      <c r="H334">
        <v>0.02574782279439606</v>
      </c>
      <c r="I334">
        <v>-0.06538712733763641</v>
      </c>
      <c r="J334">
        <v>0.05</v>
      </c>
      <c r="K334">
        <v>0.01163980979843182</v>
      </c>
      <c r="L334" t="s">
        <v>887</v>
      </c>
      <c r="M334" t="s">
        <v>573</v>
      </c>
      <c r="N334">
        <v>22.47659574468085</v>
      </c>
      <c r="O334">
        <v>7.05</v>
      </c>
      <c r="P334">
        <v>4.08</v>
      </c>
      <c r="Q334">
        <v>0.5787234042553192</v>
      </c>
      <c r="R334">
        <v>26</v>
      </c>
      <c r="S334">
        <v>0.05011173571018346</v>
      </c>
      <c r="T334" t="s">
        <v>890</v>
      </c>
      <c r="U334">
        <v>0.21320886317751</v>
      </c>
      <c r="V334" t="s">
        <v>986</v>
      </c>
      <c r="W334" t="s">
        <v>996</v>
      </c>
      <c r="X334">
        <v>16885.076889</v>
      </c>
      <c r="Y334" s="2">
        <v>44889</v>
      </c>
      <c r="Z334" t="s">
        <v>1003</v>
      </c>
    </row>
    <row r="335" spans="1:26">
      <c r="A335" s="1" t="s">
        <v>359</v>
      </c>
      <c r="B335">
        <f>HYPERLINK("https://www.suredividend.com/sure-analysis-LRLCF/","L`Oreal")</f>
        <v>0</v>
      </c>
      <c r="C335" t="s">
        <v>885</v>
      </c>
      <c r="D335">
        <v>304</v>
      </c>
      <c r="E335">
        <v>359.5</v>
      </c>
      <c r="F335">
        <v>262</v>
      </c>
      <c r="G335">
        <v>1.372137404580153</v>
      </c>
      <c r="H335">
        <v>0.01602225312934632</v>
      </c>
      <c r="I335">
        <v>-0.06131370026483018</v>
      </c>
      <c r="J335">
        <v>0.055</v>
      </c>
      <c r="K335">
        <v>0.008928775088431484</v>
      </c>
      <c r="L335" t="s">
        <v>887</v>
      </c>
      <c r="M335" t="s">
        <v>572</v>
      </c>
      <c r="N335">
        <v>32.98165137614679</v>
      </c>
      <c r="O335">
        <v>10.9</v>
      </c>
      <c r="P335">
        <v>5.76</v>
      </c>
      <c r="Q335">
        <v>0.528440366972477</v>
      </c>
      <c r="R335">
        <v>22</v>
      </c>
      <c r="S335">
        <v>0.04996052445273014</v>
      </c>
      <c r="T335" t="s">
        <v>959</v>
      </c>
      <c r="U335">
        <v>-0.246109969383047</v>
      </c>
      <c r="V335" t="s">
        <v>986</v>
      </c>
      <c r="W335" t="s">
        <v>996</v>
      </c>
      <c r="X335">
        <v>192399.569039</v>
      </c>
      <c r="Y335" s="2">
        <v>44855</v>
      </c>
      <c r="Z335" t="s">
        <v>1011</v>
      </c>
    </row>
    <row r="336" spans="1:26">
      <c r="A336" s="1" t="s">
        <v>360</v>
      </c>
      <c r="B336">
        <f>HYPERLINK("https://www.suredividend.com/sure-analysis-OTIS/","Otis Worldwide Corp")</f>
        <v>0</v>
      </c>
      <c r="C336" t="s">
        <v>884</v>
      </c>
      <c r="D336">
        <v>68</v>
      </c>
      <c r="E336">
        <v>78.31</v>
      </c>
      <c r="F336">
        <v>56</v>
      </c>
      <c r="G336">
        <v>1.398392857142857</v>
      </c>
      <c r="H336">
        <v>0.01481292299833993</v>
      </c>
      <c r="I336">
        <v>-0.06486532590974514</v>
      </c>
      <c r="J336">
        <v>0.06</v>
      </c>
      <c r="K336">
        <v>0.008919978009894303</v>
      </c>
      <c r="L336" t="s">
        <v>887</v>
      </c>
      <c r="M336" t="s">
        <v>572</v>
      </c>
      <c r="N336">
        <v>25.01916932907348</v>
      </c>
      <c r="O336">
        <v>3.13</v>
      </c>
      <c r="P336">
        <v>1.16</v>
      </c>
      <c r="Q336">
        <v>0.3706070287539936</v>
      </c>
      <c r="R336">
        <v>2</v>
      </c>
      <c r="S336">
        <v>0.05968000996951628</v>
      </c>
      <c r="T336" t="s">
        <v>894</v>
      </c>
      <c r="U336">
        <v>-0.08007818924240001</v>
      </c>
      <c r="V336" t="s">
        <v>986</v>
      </c>
      <c r="W336" t="s">
        <v>991</v>
      </c>
      <c r="X336">
        <v>32622.85569</v>
      </c>
      <c r="Y336" s="2">
        <v>44860</v>
      </c>
      <c r="Z336" t="s">
        <v>1016</v>
      </c>
    </row>
    <row r="337" spans="1:26">
      <c r="A337" s="1" t="s">
        <v>361</v>
      </c>
      <c r="B337">
        <f>HYPERLINK("https://www.suredividend.com/sure-analysis-HSY/","Hershey Company")</f>
        <v>0</v>
      </c>
      <c r="C337" t="s">
        <v>885</v>
      </c>
      <c r="D337">
        <v>228</v>
      </c>
      <c r="E337">
        <v>231.57</v>
      </c>
      <c r="F337">
        <v>165</v>
      </c>
      <c r="G337">
        <v>1.403454545454546</v>
      </c>
      <c r="H337">
        <v>0.01787796346677031</v>
      </c>
      <c r="I337">
        <v>-0.06554083101951313</v>
      </c>
      <c r="J337">
        <v>0.05</v>
      </c>
      <c r="K337">
        <v>0.002623687182721213</v>
      </c>
      <c r="L337" t="s">
        <v>887</v>
      </c>
      <c r="M337" t="s">
        <v>572</v>
      </c>
      <c r="N337">
        <v>28.13730255164034</v>
      </c>
      <c r="O337">
        <v>8.23</v>
      </c>
      <c r="P337">
        <v>4.14</v>
      </c>
      <c r="Q337">
        <v>0.5030376670716888</v>
      </c>
      <c r="R337">
        <v>13</v>
      </c>
      <c r="S337">
        <v>0.05024607263868264</v>
      </c>
      <c r="T337" t="s">
        <v>894</v>
      </c>
      <c r="U337">
        <v>0.232640459904718</v>
      </c>
      <c r="V337" t="s">
        <v>986</v>
      </c>
      <c r="W337" t="s">
        <v>996</v>
      </c>
      <c r="X337">
        <v>47490.3756</v>
      </c>
      <c r="Y337" s="2">
        <v>44869</v>
      </c>
      <c r="Z337" t="s">
        <v>1016</v>
      </c>
    </row>
    <row r="338" spans="1:26">
      <c r="A338" s="1" t="s">
        <v>362</v>
      </c>
      <c r="B338">
        <f>HYPERLINK("https://www.suredividend.com/sure-analysis-MORN/","Morningstar Inc")</f>
        <v>0</v>
      </c>
      <c r="C338" t="s">
        <v>885</v>
      </c>
      <c r="D338">
        <v>232</v>
      </c>
      <c r="E338">
        <v>216.59</v>
      </c>
      <c r="F338">
        <v>116</v>
      </c>
      <c r="G338">
        <v>1.867155172413793</v>
      </c>
      <c r="H338">
        <v>0.006925527494344152</v>
      </c>
      <c r="I338">
        <v>-0.1174000112283646</v>
      </c>
      <c r="J338">
        <v>0.12</v>
      </c>
      <c r="K338">
        <v>-0.002677378964383137</v>
      </c>
      <c r="L338" t="s">
        <v>887</v>
      </c>
      <c r="M338" t="s">
        <v>572</v>
      </c>
      <c r="N338">
        <v>61.88285714285714</v>
      </c>
      <c r="O338">
        <v>3.5</v>
      </c>
      <c r="P338">
        <v>1.5</v>
      </c>
      <c r="Q338">
        <v>0.4285714285714285</v>
      </c>
      <c r="R338">
        <v>12</v>
      </c>
      <c r="S338">
        <v>0.07164001153355537</v>
      </c>
      <c r="T338" t="s">
        <v>960</v>
      </c>
      <c r="U338">
        <v>-0.362957285284486</v>
      </c>
      <c r="V338" t="s">
        <v>986</v>
      </c>
      <c r="W338" t="s">
        <v>994</v>
      </c>
      <c r="X338">
        <v>9193.419859</v>
      </c>
      <c r="Y338" s="2">
        <v>44872</v>
      </c>
      <c r="Z338" t="s">
        <v>1005</v>
      </c>
    </row>
    <row r="339" spans="1:26">
      <c r="A339" s="1" t="s">
        <v>363</v>
      </c>
      <c r="B339">
        <f>HYPERLINK("https://www.suredividend.com/sure-analysis-WM/","Waste Management, Inc.")</f>
        <v>0</v>
      </c>
      <c r="C339" t="s">
        <v>885</v>
      </c>
      <c r="D339">
        <v>156</v>
      </c>
      <c r="E339">
        <v>156.88</v>
      </c>
      <c r="F339">
        <v>114</v>
      </c>
      <c r="G339">
        <v>1.376140350877193</v>
      </c>
      <c r="H339">
        <v>0.01784803671596124</v>
      </c>
      <c r="I339">
        <v>-0.06186043090347637</v>
      </c>
      <c r="J339">
        <v>0.04</v>
      </c>
      <c r="K339">
        <v>-0.004008268410920279</v>
      </c>
      <c r="L339" t="s">
        <v>887</v>
      </c>
      <c r="M339" t="s">
        <v>573</v>
      </c>
      <c r="N339">
        <v>27.47460595446585</v>
      </c>
      <c r="O339">
        <v>5.71</v>
      </c>
      <c r="P339">
        <v>2.8</v>
      </c>
      <c r="Q339">
        <v>0.4903677758318739</v>
      </c>
      <c r="R339">
        <v>20</v>
      </c>
      <c r="S339">
        <v>0.02448548640749415</v>
      </c>
      <c r="T339" t="s">
        <v>889</v>
      </c>
      <c r="U339">
        <v>-0.038192724401261</v>
      </c>
      <c r="V339" t="s">
        <v>986</v>
      </c>
      <c r="W339" t="s">
        <v>991</v>
      </c>
      <c r="X339">
        <v>64395.64682</v>
      </c>
      <c r="Y339" s="2">
        <v>44874</v>
      </c>
      <c r="Z339" t="s">
        <v>1008</v>
      </c>
    </row>
    <row r="340" spans="1:26">
      <c r="A340" s="1" t="s">
        <v>364</v>
      </c>
      <c r="B340">
        <f>HYPERLINK("https://www.suredividend.com/sure-analysis-CPK/","Chesapeake Utilities Corp")</f>
        <v>0</v>
      </c>
      <c r="C340" t="s">
        <v>885</v>
      </c>
      <c r="D340">
        <v>110</v>
      </c>
      <c r="E340">
        <v>118.18</v>
      </c>
      <c r="F340">
        <v>75</v>
      </c>
      <c r="G340">
        <v>1.575733333333333</v>
      </c>
      <c r="H340">
        <v>0.01810797089185988</v>
      </c>
      <c r="I340">
        <v>-0.08693129972471925</v>
      </c>
      <c r="J340">
        <v>0.06</v>
      </c>
      <c r="K340">
        <v>-0.008672539904076793</v>
      </c>
      <c r="L340" t="s">
        <v>887</v>
      </c>
      <c r="M340" t="s">
        <v>573</v>
      </c>
      <c r="N340">
        <v>23.636</v>
      </c>
      <c r="O340">
        <v>5</v>
      </c>
      <c r="P340">
        <v>2.14</v>
      </c>
      <c r="Q340">
        <v>0.428</v>
      </c>
      <c r="R340">
        <v>19</v>
      </c>
      <c r="S340">
        <v>0.05971834352437777</v>
      </c>
      <c r="T340" t="s">
        <v>901</v>
      </c>
      <c r="U340">
        <v>-0.165463256868262</v>
      </c>
      <c r="V340" t="s">
        <v>986</v>
      </c>
      <c r="W340" t="s">
        <v>997</v>
      </c>
      <c r="X340">
        <v>2096.635398</v>
      </c>
      <c r="Y340" s="2">
        <v>44879</v>
      </c>
      <c r="Z340" t="s">
        <v>1013</v>
      </c>
    </row>
    <row r="341" spans="1:26">
      <c r="A341" s="1" t="s">
        <v>365</v>
      </c>
      <c r="B341">
        <f>HYPERLINK("https://www.suredividend.com/sure-analysis-RE/","Everest Re Group Ltd")</f>
        <v>0</v>
      </c>
      <c r="C341" t="s">
        <v>885</v>
      </c>
      <c r="D341">
        <v>320</v>
      </c>
      <c r="E341">
        <v>331.27</v>
      </c>
      <c r="F341">
        <v>240</v>
      </c>
      <c r="G341">
        <v>1.380291666666667</v>
      </c>
      <c r="H341">
        <v>0.01992332538412775</v>
      </c>
      <c r="I341">
        <v>-0.0624254139968925</v>
      </c>
      <c r="J341">
        <v>0.02</v>
      </c>
      <c r="K341">
        <v>-0.01751199490131361</v>
      </c>
      <c r="L341" t="s">
        <v>887</v>
      </c>
      <c r="M341" t="s">
        <v>573</v>
      </c>
      <c r="N341">
        <v>13.80291666666667</v>
      </c>
      <c r="O341">
        <v>24</v>
      </c>
      <c r="P341">
        <v>6.6</v>
      </c>
      <c r="Q341">
        <v>0.275</v>
      </c>
      <c r="R341">
        <v>1</v>
      </c>
      <c r="S341">
        <v>0.04991376879974663</v>
      </c>
      <c r="T341" t="s">
        <v>924</v>
      </c>
      <c r="U341">
        <v>0.236043347895065</v>
      </c>
      <c r="V341" t="s">
        <v>986</v>
      </c>
      <c r="W341" t="s">
        <v>994</v>
      </c>
      <c r="X341">
        <v>12974.200813</v>
      </c>
      <c r="Y341" s="2">
        <v>44877</v>
      </c>
      <c r="Z341" t="s">
        <v>1007</v>
      </c>
    </row>
    <row r="342" spans="1:26">
      <c r="A342" s="1" t="s">
        <v>366</v>
      </c>
      <c r="B342">
        <f>HYPERLINK("https://www.suredividend.com/sure-analysis-XYL/","Xylem Inc")</f>
        <v>0</v>
      </c>
      <c r="C342" t="s">
        <v>885</v>
      </c>
      <c r="D342">
        <v>111</v>
      </c>
      <c r="E342">
        <v>110.57</v>
      </c>
      <c r="F342">
        <v>59</v>
      </c>
      <c r="G342">
        <v>1.874067796610169</v>
      </c>
      <c r="H342">
        <v>0.01085285339603871</v>
      </c>
      <c r="I342">
        <v>-0.1180520798165068</v>
      </c>
      <c r="J342">
        <v>0.09</v>
      </c>
      <c r="K342">
        <v>-0.02240947044517483</v>
      </c>
      <c r="L342" t="s">
        <v>887</v>
      </c>
      <c r="M342" t="s">
        <v>572</v>
      </c>
      <c r="N342">
        <v>40.95185185185185</v>
      </c>
      <c r="O342">
        <v>2.7</v>
      </c>
      <c r="P342">
        <v>1.2</v>
      </c>
      <c r="Q342">
        <v>0.4444444444444444</v>
      </c>
      <c r="R342">
        <v>11</v>
      </c>
      <c r="S342">
        <v>0.09510588196866943</v>
      </c>
      <c r="T342" t="s">
        <v>906</v>
      </c>
      <c r="U342">
        <v>-0.059542997605691</v>
      </c>
      <c r="V342" t="s">
        <v>986</v>
      </c>
      <c r="W342" t="s">
        <v>991</v>
      </c>
      <c r="X342">
        <v>19927.094793</v>
      </c>
      <c r="Y342" s="2">
        <v>44885</v>
      </c>
      <c r="Z342" t="s">
        <v>1007</v>
      </c>
    </row>
    <row r="343" spans="1:26">
      <c r="A343" s="1" t="s">
        <v>367</v>
      </c>
      <c r="B343">
        <f>HYPERLINK("https://www.suredividend.com/sure-analysis-ERIE/","Erie Indemnity Co.")</f>
        <v>0</v>
      </c>
      <c r="C343" t="s">
        <v>885</v>
      </c>
      <c r="D343">
        <v>260</v>
      </c>
      <c r="E343">
        <v>248.72</v>
      </c>
      <c r="F343">
        <v>135</v>
      </c>
      <c r="G343">
        <v>1.84237037037037</v>
      </c>
      <c r="H343">
        <v>0.01785139916371824</v>
      </c>
      <c r="I343">
        <v>-0.1150380218702806</v>
      </c>
      <c r="J343">
        <v>0.055</v>
      </c>
      <c r="K343">
        <v>-0.04055931124247381</v>
      </c>
      <c r="L343" t="s">
        <v>887</v>
      </c>
      <c r="M343" t="s">
        <v>572</v>
      </c>
      <c r="N343">
        <v>40.44227642276422</v>
      </c>
      <c r="O343">
        <v>6.15</v>
      </c>
      <c r="P343">
        <v>4.44</v>
      </c>
      <c r="Q343">
        <v>0.7219512195121951</v>
      </c>
      <c r="R343">
        <v>32</v>
      </c>
      <c r="S343">
        <v>0.0501226304546607</v>
      </c>
      <c r="T343" t="s">
        <v>940</v>
      </c>
      <c r="U343">
        <v>0.31136270050452</v>
      </c>
      <c r="V343" t="s">
        <v>986</v>
      </c>
      <c r="W343" t="s">
        <v>994</v>
      </c>
      <c r="X343">
        <v>11488.144993</v>
      </c>
      <c r="Y343" s="2">
        <v>44881</v>
      </c>
      <c r="Z343" t="s">
        <v>1007</v>
      </c>
    </row>
    <row r="344" spans="1:26">
      <c r="A344" s="1" t="s">
        <v>368</v>
      </c>
      <c r="B344">
        <f>HYPERLINK("https://www.suredividend.com/sure-analysis-CEG/","Constellation Energy Corporation")</f>
        <v>0</v>
      </c>
      <c r="C344" t="s">
        <v>885</v>
      </c>
      <c r="D344">
        <v>92</v>
      </c>
      <c r="E344">
        <v>86.20999999999999</v>
      </c>
      <c r="F344">
        <v>40</v>
      </c>
      <c r="G344">
        <v>2.15525</v>
      </c>
      <c r="H344">
        <v>0.006495766152418514</v>
      </c>
      <c r="I344">
        <v>-0.1423690028222394</v>
      </c>
      <c r="J344">
        <v>0.02</v>
      </c>
      <c r="K344">
        <v>-0.113726340923346</v>
      </c>
      <c r="L344" t="s">
        <v>887</v>
      </c>
      <c r="M344" t="s">
        <v>572</v>
      </c>
      <c r="N344">
        <v>25.88888888888889</v>
      </c>
      <c r="O344">
        <v>3.33</v>
      </c>
      <c r="P344">
        <v>0.5600000000000001</v>
      </c>
      <c r="Q344">
        <v>0.1681681681681682</v>
      </c>
      <c r="R344">
        <v>0</v>
      </c>
      <c r="S344">
        <v>0.02056514630321193</v>
      </c>
      <c r="T344" t="s">
        <v>907</v>
      </c>
      <c r="U344">
        <v>0.641094951648518</v>
      </c>
      <c r="V344" t="s">
        <v>986</v>
      </c>
      <c r="W344" t="s">
        <v>999</v>
      </c>
      <c r="X344">
        <v>28192.212728</v>
      </c>
      <c r="Y344" s="2">
        <v>44880</v>
      </c>
      <c r="Z344" t="s">
        <v>1001</v>
      </c>
    </row>
    <row r="345" spans="1:26">
      <c r="A345" s="1" t="s">
        <v>369</v>
      </c>
      <c r="B345">
        <f>HYPERLINK("https://www.suredividend.com/sure-analysis-BIG/","Big Lots Inc")</f>
        <v>0</v>
      </c>
      <c r="C345" t="s">
        <v>883</v>
      </c>
      <c r="D345">
        <v>18</v>
      </c>
      <c r="E345">
        <v>14.7</v>
      </c>
      <c r="F345">
        <v>50</v>
      </c>
      <c r="G345">
        <v>0.294</v>
      </c>
      <c r="H345">
        <v>0.0816326530612245</v>
      </c>
      <c r="I345">
        <v>0.277410653794625</v>
      </c>
      <c r="J345">
        <v>0</v>
      </c>
      <c r="K345">
        <v>0.3066947266622342</v>
      </c>
      <c r="L345" t="s">
        <v>573</v>
      </c>
      <c r="M345" t="s">
        <v>887</v>
      </c>
      <c r="N345">
        <v>2.94</v>
      </c>
      <c r="O345">
        <v>5</v>
      </c>
      <c r="P345">
        <v>1.2</v>
      </c>
      <c r="Q345">
        <v>0.24</v>
      </c>
      <c r="R345">
        <v>0</v>
      </c>
      <c r="S345">
        <v>0</v>
      </c>
      <c r="T345" t="s">
        <v>955</v>
      </c>
      <c r="U345">
        <v>-0.6599434164351421</v>
      </c>
      <c r="V345" t="s">
        <v>986</v>
      </c>
      <c r="W345" t="s">
        <v>992</v>
      </c>
      <c r="X345">
        <v>425.695316</v>
      </c>
      <c r="Y345" s="2">
        <v>44899</v>
      </c>
      <c r="Z345" t="s">
        <v>1013</v>
      </c>
    </row>
    <row r="346" spans="1:26">
      <c r="A346" s="1" t="s">
        <v>370</v>
      </c>
      <c r="B346">
        <f>HYPERLINK("https://www.suredividend.com/sure-analysis-ILPT/","Industrial Logistics Properties Trust")</f>
        <v>0</v>
      </c>
      <c r="C346" t="s">
        <v>883</v>
      </c>
      <c r="D346">
        <v>5.03</v>
      </c>
      <c r="E346">
        <v>3.27</v>
      </c>
      <c r="F346">
        <v>7.8</v>
      </c>
      <c r="G346">
        <v>0.4192307692307692</v>
      </c>
      <c r="H346">
        <v>0.01223241590214067</v>
      </c>
      <c r="I346">
        <v>0.1898970011919852</v>
      </c>
      <c r="J346">
        <v>0.02</v>
      </c>
      <c r="K346">
        <v>0.2519284388715144</v>
      </c>
      <c r="L346" t="s">
        <v>573</v>
      </c>
      <c r="M346" t="s">
        <v>631</v>
      </c>
      <c r="N346">
        <v>2.515384615384615</v>
      </c>
      <c r="O346">
        <v>1.3</v>
      </c>
      <c r="P346">
        <v>0.04</v>
      </c>
      <c r="Q346">
        <v>0.03076923076923077</v>
      </c>
      <c r="R346">
        <v>0</v>
      </c>
      <c r="S346">
        <v>0.7518494810508827</v>
      </c>
      <c r="T346" t="s">
        <v>934</v>
      </c>
      <c r="U346">
        <v>-0.8662768110904371</v>
      </c>
      <c r="V346" t="s">
        <v>987</v>
      </c>
      <c r="W346" t="s">
        <v>1000</v>
      </c>
      <c r="X346">
        <v>214.409191</v>
      </c>
      <c r="Y346" s="2">
        <v>44860</v>
      </c>
      <c r="Z346" t="s">
        <v>1011</v>
      </c>
    </row>
    <row r="347" spans="1:26">
      <c r="A347" s="1" t="s">
        <v>371</v>
      </c>
      <c r="B347">
        <f>HYPERLINK("https://www.suredividend.com/sure-analysis-HBI/","Hanesbrands Inc")</f>
        <v>0</v>
      </c>
      <c r="C347" t="s">
        <v>883</v>
      </c>
      <c r="D347">
        <v>7.3</v>
      </c>
      <c r="E347">
        <v>6.36</v>
      </c>
      <c r="F347">
        <v>10</v>
      </c>
      <c r="G347">
        <v>0.636</v>
      </c>
      <c r="H347">
        <v>0.09433962264150943</v>
      </c>
      <c r="I347">
        <v>0.0947339252787005</v>
      </c>
      <c r="J347">
        <v>0.1</v>
      </c>
      <c r="K347">
        <v>0.2460585224902325</v>
      </c>
      <c r="L347" t="s">
        <v>573</v>
      </c>
      <c r="M347" t="s">
        <v>886</v>
      </c>
      <c r="N347">
        <v>6.489795918367347</v>
      </c>
      <c r="O347">
        <v>0.98</v>
      </c>
      <c r="P347">
        <v>0.6</v>
      </c>
      <c r="Q347">
        <v>0.6122448979591837</v>
      </c>
      <c r="R347">
        <v>0</v>
      </c>
      <c r="S347">
        <v>0</v>
      </c>
      <c r="T347" t="s">
        <v>906</v>
      </c>
      <c r="U347">
        <v>-0.598147434398832</v>
      </c>
      <c r="V347" t="s">
        <v>986</v>
      </c>
      <c r="W347" t="s">
        <v>992</v>
      </c>
      <c r="X347">
        <v>2219.313668</v>
      </c>
      <c r="Y347" s="2">
        <v>44882</v>
      </c>
      <c r="Z347" t="s">
        <v>1003</v>
      </c>
    </row>
    <row r="348" spans="1:26">
      <c r="A348" s="1" t="s">
        <v>372</v>
      </c>
      <c r="B348">
        <f>HYPERLINK("https://www.suredividend.com/sure-analysis-VFC/","VF Corp.")</f>
        <v>0</v>
      </c>
      <c r="C348" t="s">
        <v>883</v>
      </c>
      <c r="D348">
        <v>29</v>
      </c>
      <c r="E348">
        <v>27.61</v>
      </c>
      <c r="F348">
        <v>38</v>
      </c>
      <c r="G348">
        <v>0.726578947368421</v>
      </c>
      <c r="H348">
        <v>0.07388627308946034</v>
      </c>
      <c r="I348">
        <v>0.06596620941565012</v>
      </c>
      <c r="J348">
        <v>0.1</v>
      </c>
      <c r="K348">
        <v>0.2098832407499269</v>
      </c>
      <c r="L348" t="s">
        <v>573</v>
      </c>
      <c r="M348" t="s">
        <v>886</v>
      </c>
      <c r="N348">
        <v>13.805</v>
      </c>
      <c r="O348">
        <v>2</v>
      </c>
      <c r="P348">
        <v>2.04</v>
      </c>
      <c r="Q348">
        <v>1.02</v>
      </c>
      <c r="R348">
        <v>50</v>
      </c>
      <c r="S348">
        <v>0.005814345444414393</v>
      </c>
      <c r="T348" t="s">
        <v>948</v>
      </c>
      <c r="U348">
        <v>-0.603628642675743</v>
      </c>
      <c r="V348" t="s">
        <v>986</v>
      </c>
      <c r="W348" t="s">
        <v>992</v>
      </c>
      <c r="X348">
        <v>10728.309607</v>
      </c>
      <c r="Y348" s="2">
        <v>44902</v>
      </c>
      <c r="Z348" t="s">
        <v>1003</v>
      </c>
    </row>
    <row r="349" spans="1:26">
      <c r="A349" s="1" t="s">
        <v>373</v>
      </c>
      <c r="B349">
        <f>HYPERLINK("https://www.suredividend.com/sure-analysis-CIO/","City Office REIT Inc")</f>
        <v>0</v>
      </c>
      <c r="C349" t="s">
        <v>883</v>
      </c>
      <c r="D349">
        <v>9.74</v>
      </c>
      <c r="E349">
        <v>8.380000000000001</v>
      </c>
      <c r="F349">
        <v>12.48</v>
      </c>
      <c r="G349">
        <v>0.671474358974359</v>
      </c>
      <c r="H349">
        <v>0.0954653937947494</v>
      </c>
      <c r="I349">
        <v>0.08291436155538179</v>
      </c>
      <c r="J349">
        <v>0.05</v>
      </c>
      <c r="K349">
        <v>0.2051645485465774</v>
      </c>
      <c r="L349" t="s">
        <v>573</v>
      </c>
      <c r="M349" t="s">
        <v>886</v>
      </c>
      <c r="N349">
        <v>5.371794871794872</v>
      </c>
      <c r="O349">
        <v>1.56</v>
      </c>
      <c r="P349">
        <v>0.8</v>
      </c>
      <c r="Q349">
        <v>0.5128205128205129</v>
      </c>
      <c r="R349">
        <v>0</v>
      </c>
      <c r="S349">
        <v>0.100271705097241</v>
      </c>
      <c r="T349" t="s">
        <v>903</v>
      </c>
      <c r="U349">
        <v>-0.54819439502259</v>
      </c>
      <c r="V349" t="s">
        <v>987</v>
      </c>
      <c r="W349" t="s">
        <v>1000</v>
      </c>
      <c r="X349">
        <v>332.843267</v>
      </c>
      <c r="Y349" s="2">
        <v>44875</v>
      </c>
      <c r="Z349" t="s">
        <v>1011</v>
      </c>
    </row>
    <row r="350" spans="1:26">
      <c r="A350" s="1" t="s">
        <v>374</v>
      </c>
      <c r="B350">
        <f>HYPERLINK("https://www.suredividend.com/sure-analysis-EQH/","Equitable Holdings Inc")</f>
        <v>0</v>
      </c>
      <c r="C350" t="s">
        <v>883</v>
      </c>
      <c r="D350">
        <v>30</v>
      </c>
      <c r="E350">
        <v>28.7</v>
      </c>
      <c r="F350">
        <v>49</v>
      </c>
      <c r="G350">
        <v>0.5857142857142857</v>
      </c>
      <c r="H350">
        <v>0.02787456445993032</v>
      </c>
      <c r="I350">
        <v>0.1129171544526801</v>
      </c>
      <c r="J350">
        <v>0.06</v>
      </c>
      <c r="K350">
        <v>0.1964058579373544</v>
      </c>
      <c r="L350" t="s">
        <v>573</v>
      </c>
      <c r="M350" t="s">
        <v>573</v>
      </c>
      <c r="N350">
        <v>4.381679389312978</v>
      </c>
      <c r="O350">
        <v>6.55</v>
      </c>
      <c r="P350">
        <v>0.8</v>
      </c>
      <c r="Q350">
        <v>0.1221374045801527</v>
      </c>
      <c r="R350">
        <v>4</v>
      </c>
      <c r="S350">
        <v>0.05988502997905321</v>
      </c>
      <c r="T350" t="s">
        <v>908</v>
      </c>
      <c r="U350">
        <v>-0.106664840569244</v>
      </c>
      <c r="V350" t="s">
        <v>986</v>
      </c>
      <c r="W350" t="s">
        <v>994</v>
      </c>
      <c r="X350">
        <v>10620.21599</v>
      </c>
      <c r="Y350" s="2">
        <v>44888</v>
      </c>
      <c r="Z350" t="s">
        <v>1013</v>
      </c>
    </row>
    <row r="351" spans="1:26">
      <c r="A351" s="1" t="s">
        <v>375</v>
      </c>
      <c r="B351">
        <f>HYPERLINK("https://www.suredividend.com/sure-analysis-KKR/","KKR &amp; Co. Inc")</f>
        <v>0</v>
      </c>
      <c r="C351" t="s">
        <v>883</v>
      </c>
      <c r="D351">
        <v>72</v>
      </c>
      <c r="E351">
        <v>46.42</v>
      </c>
      <c r="F351">
        <v>72</v>
      </c>
      <c r="G351">
        <v>0.6447222222222222</v>
      </c>
      <c r="H351">
        <v>0.01335631193451099</v>
      </c>
      <c r="I351">
        <v>0.09175571014082839</v>
      </c>
      <c r="J351">
        <v>0.08</v>
      </c>
      <c r="K351">
        <v>0.1863137427731605</v>
      </c>
      <c r="L351" t="s">
        <v>573</v>
      </c>
      <c r="M351" t="s">
        <v>631</v>
      </c>
      <c r="N351">
        <v>9.670833333333334</v>
      </c>
      <c r="O351">
        <v>4.8</v>
      </c>
      <c r="P351">
        <v>0.62</v>
      </c>
      <c r="Q351">
        <v>0.1291666666666667</v>
      </c>
      <c r="R351">
        <v>3</v>
      </c>
      <c r="S351">
        <v>0.01864637644473</v>
      </c>
      <c r="T351" t="s">
        <v>914</v>
      </c>
      <c r="U351">
        <v>-0.169132242573291</v>
      </c>
      <c r="V351" t="s">
        <v>986</v>
      </c>
      <c r="W351" t="s">
        <v>994</v>
      </c>
      <c r="X351">
        <v>39913.46847</v>
      </c>
      <c r="Y351" s="2">
        <v>44867</v>
      </c>
      <c r="Z351" t="s">
        <v>1012</v>
      </c>
    </row>
    <row r="352" spans="1:26">
      <c r="A352" s="1" t="s">
        <v>376</v>
      </c>
      <c r="B352">
        <f>HYPERLINK("https://www.suredividend.com/sure-analysis-TSM/","Taiwan Semiconductor Manufacturing")</f>
        <v>0</v>
      </c>
      <c r="C352" t="s">
        <v>883</v>
      </c>
      <c r="D352">
        <v>64</v>
      </c>
      <c r="E352">
        <v>74.48999999999999</v>
      </c>
      <c r="F352">
        <v>102</v>
      </c>
      <c r="G352">
        <v>0.7302941176470588</v>
      </c>
      <c r="H352">
        <v>0.02470130218821319</v>
      </c>
      <c r="I352">
        <v>0.06487943376361804</v>
      </c>
      <c r="J352">
        <v>0.09</v>
      </c>
      <c r="K352">
        <v>0.1784343006316518</v>
      </c>
      <c r="L352" t="s">
        <v>573</v>
      </c>
      <c r="M352" t="s">
        <v>572</v>
      </c>
      <c r="N352">
        <v>12.415</v>
      </c>
      <c r="O352">
        <v>6</v>
      </c>
      <c r="P352">
        <v>1.84</v>
      </c>
      <c r="Q352">
        <v>0.3066666666666667</v>
      </c>
      <c r="R352">
        <v>7</v>
      </c>
      <c r="S352">
        <v>0.09975204344332944</v>
      </c>
      <c r="T352" t="s">
        <v>888</v>
      </c>
      <c r="U352">
        <v>-0.368062065484345</v>
      </c>
      <c r="V352" t="s">
        <v>986</v>
      </c>
      <c r="W352" t="s">
        <v>993</v>
      </c>
      <c r="X352">
        <v>386310.808093</v>
      </c>
      <c r="Y352" s="2">
        <v>44847</v>
      </c>
      <c r="Z352" t="s">
        <v>1003</v>
      </c>
    </row>
    <row r="353" spans="1:26">
      <c r="A353" s="1" t="s">
        <v>377</v>
      </c>
      <c r="B353">
        <f>HYPERLINK("https://www.suredividend.com/sure-analysis-BASFY/","Basf SE")</f>
        <v>0</v>
      </c>
      <c r="C353" t="s">
        <v>883</v>
      </c>
      <c r="D353">
        <v>11.5</v>
      </c>
      <c r="E353">
        <v>12.312</v>
      </c>
      <c r="F353">
        <v>19.6</v>
      </c>
      <c r="G353">
        <v>0.6281632653061223</v>
      </c>
      <c r="H353">
        <v>0.07472384665367122</v>
      </c>
      <c r="I353">
        <v>0.09745189540440502</v>
      </c>
      <c r="J353">
        <v>0.03</v>
      </c>
      <c r="K353">
        <v>0.1758572277171311</v>
      </c>
      <c r="L353" t="s">
        <v>573</v>
      </c>
      <c r="M353" t="s">
        <v>886</v>
      </c>
      <c r="N353">
        <v>8.153642384105959</v>
      </c>
      <c r="O353">
        <v>1.51</v>
      </c>
      <c r="P353">
        <v>0.92</v>
      </c>
      <c r="Q353">
        <v>0.6092715231788079</v>
      </c>
      <c r="R353">
        <v>1</v>
      </c>
      <c r="S353">
        <v>0.02482356331085978</v>
      </c>
      <c r="T353" t="s">
        <v>961</v>
      </c>
      <c r="U353">
        <v>-0.242263853671746</v>
      </c>
      <c r="V353" t="s">
        <v>986</v>
      </c>
      <c r="W353" t="s">
        <v>990</v>
      </c>
      <c r="X353">
        <v>45233.238722</v>
      </c>
      <c r="Y353" s="2">
        <v>44864</v>
      </c>
      <c r="Z353" t="s">
        <v>1012</v>
      </c>
    </row>
    <row r="354" spans="1:26">
      <c r="A354" s="1" t="s">
        <v>378</v>
      </c>
      <c r="B354">
        <f>HYPERLINK("https://www.suredividend.com/sure-analysis-LII/","Lennox International Inc")</f>
        <v>0</v>
      </c>
      <c r="C354" t="s">
        <v>883</v>
      </c>
      <c r="D354">
        <v>237</v>
      </c>
      <c r="E354">
        <v>239.23</v>
      </c>
      <c r="F354">
        <v>296</v>
      </c>
      <c r="G354">
        <v>0.8082094594594594</v>
      </c>
      <c r="H354">
        <v>0.01772352965765163</v>
      </c>
      <c r="I354">
        <v>0.04350663342035066</v>
      </c>
      <c r="J354">
        <v>0.1</v>
      </c>
      <c r="K354">
        <v>0.1608736662844557</v>
      </c>
      <c r="L354" t="s">
        <v>573</v>
      </c>
      <c r="M354" t="s">
        <v>572</v>
      </c>
      <c r="N354">
        <v>16.96666666666667</v>
      </c>
      <c r="O354">
        <v>14.1</v>
      </c>
      <c r="P354">
        <v>4.24</v>
      </c>
      <c r="Q354">
        <v>0.3007092198581561</v>
      </c>
      <c r="R354">
        <v>14</v>
      </c>
      <c r="S354">
        <v>0.08987413962369373</v>
      </c>
      <c r="T354" t="s">
        <v>905</v>
      </c>
      <c r="U354">
        <v>-0.246541280234172</v>
      </c>
      <c r="V354" t="s">
        <v>986</v>
      </c>
      <c r="W354" t="s">
        <v>991</v>
      </c>
      <c r="X354">
        <v>8478.014316000001</v>
      </c>
      <c r="Y354" s="2">
        <v>44870</v>
      </c>
      <c r="Z354" t="s">
        <v>1002</v>
      </c>
    </row>
    <row r="355" spans="1:26">
      <c r="A355" s="1" t="s">
        <v>379</v>
      </c>
      <c r="B355">
        <f>HYPERLINK("https://www.suredividend.com/sure-analysis-ALLY/","Ally Financial Inc")</f>
        <v>0</v>
      </c>
      <c r="C355" t="s">
        <v>883</v>
      </c>
      <c r="D355">
        <v>27</v>
      </c>
      <c r="E355">
        <v>24.45</v>
      </c>
      <c r="F355">
        <v>42</v>
      </c>
      <c r="G355">
        <v>0.5821428571428571</v>
      </c>
      <c r="H355">
        <v>0.049079754601227</v>
      </c>
      <c r="I355">
        <v>0.1142793582312229</v>
      </c>
      <c r="J355">
        <v>0.01</v>
      </c>
      <c r="K355">
        <v>0.1598686805413216</v>
      </c>
      <c r="L355" t="s">
        <v>573</v>
      </c>
      <c r="M355" t="s">
        <v>887</v>
      </c>
      <c r="N355">
        <v>4.075</v>
      </c>
      <c r="O355">
        <v>6</v>
      </c>
      <c r="P355">
        <v>1.2</v>
      </c>
      <c r="Q355">
        <v>0.2</v>
      </c>
      <c r="R355">
        <v>6</v>
      </c>
      <c r="S355">
        <v>0.06054457313435013</v>
      </c>
      <c r="T355" t="s">
        <v>932</v>
      </c>
      <c r="U355">
        <v>-0.468687320858531</v>
      </c>
      <c r="V355" t="s">
        <v>986</v>
      </c>
      <c r="W355" t="s">
        <v>994</v>
      </c>
      <c r="X355">
        <v>7301.916705</v>
      </c>
      <c r="Y355" s="2">
        <v>44859</v>
      </c>
      <c r="Z355" t="s">
        <v>1007</v>
      </c>
    </row>
    <row r="356" spans="1:26">
      <c r="A356" s="1" t="s">
        <v>380</v>
      </c>
      <c r="B356">
        <f>HYPERLINK("https://www.suredividend.com/sure-analysis-CC/","Chemours Company")</f>
        <v>0</v>
      </c>
      <c r="C356" t="s">
        <v>883</v>
      </c>
      <c r="D356">
        <v>29</v>
      </c>
      <c r="E356">
        <v>30.62</v>
      </c>
      <c r="F356">
        <v>51</v>
      </c>
      <c r="G356">
        <v>0.6003921568627452</v>
      </c>
      <c r="H356">
        <v>0.03265839320705421</v>
      </c>
      <c r="I356">
        <v>0.107421620083378</v>
      </c>
      <c r="J356">
        <v>0.03</v>
      </c>
      <c r="K356">
        <v>0.1593156515468162</v>
      </c>
      <c r="L356" t="s">
        <v>573</v>
      </c>
      <c r="M356" t="s">
        <v>573</v>
      </c>
      <c r="N356">
        <v>6.02755905511811</v>
      </c>
      <c r="O356">
        <v>5.08</v>
      </c>
      <c r="P356">
        <v>1</v>
      </c>
      <c r="Q356">
        <v>0.1968503937007874</v>
      </c>
      <c r="R356">
        <v>0</v>
      </c>
      <c r="S356">
        <v>0</v>
      </c>
      <c r="T356" t="s">
        <v>907</v>
      </c>
      <c r="U356">
        <v>-0.04909194802613601</v>
      </c>
      <c r="V356" t="s">
        <v>986</v>
      </c>
      <c r="W356" t="s">
        <v>990</v>
      </c>
      <c r="X356">
        <v>4621.100096</v>
      </c>
      <c r="Y356" s="2">
        <v>44862</v>
      </c>
      <c r="Z356" t="s">
        <v>1001</v>
      </c>
    </row>
    <row r="357" spans="1:26">
      <c r="A357" s="1" t="s">
        <v>381</v>
      </c>
      <c r="B357">
        <f>HYPERLINK("https://www.suredividend.com/sure-analysis-NEP/","NextEra Energy Partners LP")</f>
        <v>0</v>
      </c>
      <c r="C357" t="s">
        <v>883</v>
      </c>
      <c r="D357">
        <v>75.3</v>
      </c>
      <c r="E357">
        <v>70.09</v>
      </c>
      <c r="F357">
        <v>53.5</v>
      </c>
      <c r="G357">
        <v>1.310093457943925</v>
      </c>
      <c r="H357">
        <v>0.04494221714937936</v>
      </c>
      <c r="I357">
        <v>-0.05258655329490802</v>
      </c>
      <c r="J357">
        <v>0.182</v>
      </c>
      <c r="K357">
        <v>0.1566269455461586</v>
      </c>
      <c r="L357" t="s">
        <v>573</v>
      </c>
      <c r="M357" t="s">
        <v>887</v>
      </c>
      <c r="N357">
        <v>14.42181069958848</v>
      </c>
      <c r="O357">
        <v>4.86</v>
      </c>
      <c r="P357">
        <v>3.15</v>
      </c>
      <c r="Q357">
        <v>0.6481481481481481</v>
      </c>
      <c r="R357">
        <v>8</v>
      </c>
      <c r="S357">
        <v>0.1079879521802156</v>
      </c>
      <c r="T357" t="s">
        <v>927</v>
      </c>
      <c r="U357">
        <v>-0.124500981798014</v>
      </c>
      <c r="V357" t="s">
        <v>988</v>
      </c>
      <c r="W357" t="s">
        <v>997</v>
      </c>
      <c r="X357">
        <v>6065.258056</v>
      </c>
      <c r="Y357" s="2">
        <v>44875</v>
      </c>
      <c r="Z357" t="s">
        <v>1009</v>
      </c>
    </row>
    <row r="358" spans="1:26">
      <c r="A358" s="1" t="s">
        <v>382</v>
      </c>
      <c r="B358">
        <f>HYPERLINK("https://www.suredividend.com/sure-analysis-MPWR/","Monolithic Power System Inc")</f>
        <v>0</v>
      </c>
      <c r="C358" t="s">
        <v>883</v>
      </c>
      <c r="D358">
        <v>404</v>
      </c>
      <c r="E358">
        <v>353.61</v>
      </c>
      <c r="F358">
        <v>335</v>
      </c>
      <c r="G358">
        <v>1.05555223880597</v>
      </c>
      <c r="H358">
        <v>0.008483922965979468</v>
      </c>
      <c r="I358">
        <v>-0.01075456745533487</v>
      </c>
      <c r="J358">
        <v>0.16</v>
      </c>
      <c r="K358">
        <v>0.1561290775415489</v>
      </c>
      <c r="L358" t="s">
        <v>573</v>
      </c>
      <c r="M358" t="s">
        <v>631</v>
      </c>
      <c r="N358">
        <v>28.51693548387097</v>
      </c>
      <c r="O358">
        <v>12.4</v>
      </c>
      <c r="P358">
        <v>3</v>
      </c>
      <c r="Q358">
        <v>0.2419354838709677</v>
      </c>
      <c r="R358">
        <v>5</v>
      </c>
      <c r="S358">
        <v>0.1998404925806987</v>
      </c>
      <c r="T358" t="s">
        <v>905</v>
      </c>
      <c r="U358">
        <v>-0.275103247716209</v>
      </c>
      <c r="V358" t="s">
        <v>986</v>
      </c>
      <c r="W358" t="s">
        <v>993</v>
      </c>
      <c r="X358">
        <v>16599.16062</v>
      </c>
      <c r="Y358" s="2">
        <v>44880</v>
      </c>
      <c r="Z358" t="s">
        <v>1011</v>
      </c>
    </row>
    <row r="359" spans="1:26">
      <c r="A359" s="1" t="s">
        <v>383</v>
      </c>
      <c r="B359">
        <f>HYPERLINK("https://www.suredividend.com/sure-analysis-MCHP/","Microchip Technology, Inc.")</f>
        <v>0</v>
      </c>
      <c r="C359" t="s">
        <v>883</v>
      </c>
      <c r="D359">
        <v>67</v>
      </c>
      <c r="E359">
        <v>70.25</v>
      </c>
      <c r="F359">
        <v>77</v>
      </c>
      <c r="G359">
        <v>0.9123376623376623</v>
      </c>
      <c r="H359">
        <v>0.01864768683274021</v>
      </c>
      <c r="I359">
        <v>0.0185184004312533</v>
      </c>
      <c r="J359">
        <v>0.12</v>
      </c>
      <c r="K359">
        <v>0.1560034114997144</v>
      </c>
      <c r="L359" t="s">
        <v>573</v>
      </c>
      <c r="M359" t="s">
        <v>572</v>
      </c>
      <c r="N359">
        <v>11.90677966101695</v>
      </c>
      <c r="O359">
        <v>5.9</v>
      </c>
      <c r="P359">
        <v>1.31</v>
      </c>
      <c r="Q359">
        <v>0.2220338983050847</v>
      </c>
      <c r="R359">
        <v>21</v>
      </c>
      <c r="S359">
        <v>0.120129246672863</v>
      </c>
      <c r="T359" t="s">
        <v>906</v>
      </c>
      <c r="U359">
        <v>-0.17994513511936</v>
      </c>
      <c r="V359" t="s">
        <v>986</v>
      </c>
      <c r="W359" t="s">
        <v>993</v>
      </c>
      <c r="X359">
        <v>38638.111878</v>
      </c>
      <c r="Y359" s="2">
        <v>44874</v>
      </c>
      <c r="Z359" t="s">
        <v>1011</v>
      </c>
    </row>
    <row r="360" spans="1:26">
      <c r="A360" s="1" t="s">
        <v>384</v>
      </c>
      <c r="B360">
        <f>HYPERLINK("https://www.suredividend.com/sure-analysis-HASI/","Hannon Armstrong Sustainable Infrastructure capital Inc")</f>
        <v>0</v>
      </c>
      <c r="C360" t="s">
        <v>883</v>
      </c>
      <c r="D360">
        <v>29</v>
      </c>
      <c r="E360">
        <v>28.98</v>
      </c>
      <c r="F360">
        <v>29</v>
      </c>
      <c r="G360">
        <v>0.9993103448275862</v>
      </c>
      <c r="H360">
        <v>0.05175983436853002</v>
      </c>
      <c r="I360">
        <v>0.0001379881382750359</v>
      </c>
      <c r="J360">
        <v>0.115</v>
      </c>
      <c r="K360">
        <v>0.1535588442825762</v>
      </c>
      <c r="L360" t="s">
        <v>573</v>
      </c>
      <c r="M360" t="s">
        <v>887</v>
      </c>
      <c r="N360">
        <v>13.86602870813397</v>
      </c>
      <c r="O360">
        <v>2.09</v>
      </c>
      <c r="P360">
        <v>1.5</v>
      </c>
      <c r="Q360">
        <v>0.7177033492822967</v>
      </c>
      <c r="R360">
        <v>4</v>
      </c>
      <c r="S360">
        <v>0.06961037572506878</v>
      </c>
      <c r="T360" t="s">
        <v>922</v>
      </c>
      <c r="U360">
        <v>-0.436002428809416</v>
      </c>
      <c r="V360" t="s">
        <v>987</v>
      </c>
      <c r="W360" t="s">
        <v>1000</v>
      </c>
      <c r="X360">
        <v>2578.597915</v>
      </c>
      <c r="Y360" s="2">
        <v>44874</v>
      </c>
      <c r="Z360" t="s">
        <v>1011</v>
      </c>
    </row>
    <row r="361" spans="1:26">
      <c r="A361" s="1" t="s">
        <v>385</v>
      </c>
      <c r="B361">
        <f>HYPERLINK("https://www.suredividend.com/sure-analysis-NTR/","Nutrien Ltd")</f>
        <v>0</v>
      </c>
      <c r="C361" t="s">
        <v>883</v>
      </c>
      <c r="D361">
        <v>80</v>
      </c>
      <c r="E361">
        <v>73.03</v>
      </c>
      <c r="F361">
        <v>138</v>
      </c>
      <c r="G361">
        <v>0.5292028985507247</v>
      </c>
      <c r="H361">
        <v>0.02629056552101876</v>
      </c>
      <c r="I361">
        <v>0.1357312015028562</v>
      </c>
      <c r="J361">
        <v>0</v>
      </c>
      <c r="K361">
        <v>0.1520325106284603</v>
      </c>
      <c r="L361" t="s">
        <v>573</v>
      </c>
      <c r="M361" t="s">
        <v>572</v>
      </c>
      <c r="N361">
        <v>6.63909090909091</v>
      </c>
      <c r="O361">
        <v>11</v>
      </c>
      <c r="P361">
        <v>1.92</v>
      </c>
      <c r="Q361">
        <v>0.1745454545454545</v>
      </c>
      <c r="R361">
        <v>4</v>
      </c>
      <c r="S361">
        <v>0.02001586442069092</v>
      </c>
      <c r="T361" t="s">
        <v>905</v>
      </c>
      <c r="U361">
        <v>0.000782482263963</v>
      </c>
      <c r="V361" t="s">
        <v>986</v>
      </c>
      <c r="W361" t="s">
        <v>990</v>
      </c>
      <c r="X361">
        <v>38008.562529</v>
      </c>
      <c r="Y361" s="2">
        <v>44895</v>
      </c>
      <c r="Z361" t="s">
        <v>1006</v>
      </c>
    </row>
    <row r="362" spans="1:26">
      <c r="A362" s="1" t="s">
        <v>386</v>
      </c>
      <c r="B362">
        <f>HYPERLINK("https://www.suredividend.com/sure-analysis-SNY/","Sanofi")</f>
        <v>0</v>
      </c>
      <c r="C362" t="s">
        <v>883</v>
      </c>
      <c r="D362">
        <v>43</v>
      </c>
      <c r="E362">
        <v>48.43</v>
      </c>
      <c r="F362">
        <v>71</v>
      </c>
      <c r="G362">
        <v>0.6821126760563381</v>
      </c>
      <c r="H362">
        <v>0.03964484823456535</v>
      </c>
      <c r="I362">
        <v>0.07951523525564363</v>
      </c>
      <c r="J362">
        <v>0.04</v>
      </c>
      <c r="K362">
        <v>0.1495252886452803</v>
      </c>
      <c r="L362" t="s">
        <v>573</v>
      </c>
      <c r="M362" t="s">
        <v>887</v>
      </c>
      <c r="N362">
        <v>10.88314606741573</v>
      </c>
      <c r="O362">
        <v>4.45</v>
      </c>
      <c r="P362">
        <v>1.92</v>
      </c>
      <c r="Q362">
        <v>0.4314606741573033</v>
      </c>
      <c r="R362">
        <v>27</v>
      </c>
      <c r="S362">
        <v>0.0403582746309219</v>
      </c>
      <c r="T362" t="s">
        <v>962</v>
      </c>
      <c r="U362">
        <v>-0.002882437718756</v>
      </c>
      <c r="V362" t="s">
        <v>986</v>
      </c>
      <c r="W362" t="s">
        <v>998</v>
      </c>
      <c r="X362">
        <v>122768.027273</v>
      </c>
      <c r="Y362" s="2">
        <v>44866</v>
      </c>
      <c r="Z362" t="s">
        <v>1001</v>
      </c>
    </row>
    <row r="363" spans="1:26">
      <c r="A363" s="1" t="s">
        <v>387</v>
      </c>
      <c r="B363">
        <f>HYPERLINK("https://www.suredividend.com/sure-analysis-POOL/","Pool Corporation")</f>
        <v>0</v>
      </c>
      <c r="C363" t="s">
        <v>883</v>
      </c>
      <c r="D363">
        <v>299</v>
      </c>
      <c r="E363">
        <v>302.33</v>
      </c>
      <c r="F363">
        <v>451</v>
      </c>
      <c r="G363">
        <v>0.6703547671840354</v>
      </c>
      <c r="H363">
        <v>0.01323057586081434</v>
      </c>
      <c r="I363">
        <v>0.08327584563189538</v>
      </c>
      <c r="J363">
        <v>0.05</v>
      </c>
      <c r="K363">
        <v>0.1484723449411838</v>
      </c>
      <c r="L363" t="s">
        <v>573</v>
      </c>
      <c r="M363" t="s">
        <v>631</v>
      </c>
      <c r="N363">
        <v>16.0813829787234</v>
      </c>
      <c r="O363">
        <v>18.8</v>
      </c>
      <c r="P363">
        <v>4</v>
      </c>
      <c r="Q363">
        <v>0.2127659574468085</v>
      </c>
      <c r="R363">
        <v>13</v>
      </c>
      <c r="S363">
        <v>0.1200201219146697</v>
      </c>
      <c r="T363" t="s">
        <v>890</v>
      </c>
      <c r="U363">
        <v>-0.455337710256524</v>
      </c>
      <c r="V363" t="s">
        <v>986</v>
      </c>
      <c r="W363" t="s">
        <v>992</v>
      </c>
      <c r="X363">
        <v>11806.17334</v>
      </c>
      <c r="Y363" s="2">
        <v>44860</v>
      </c>
      <c r="Z363" t="s">
        <v>1002</v>
      </c>
    </row>
    <row r="364" spans="1:26">
      <c r="A364" s="1" t="s">
        <v>388</v>
      </c>
      <c r="B364">
        <f>HYPERLINK("https://www.suredividend.com/sure-analysis-WAFD/","Washington Federal Inc.")</f>
        <v>0</v>
      </c>
      <c r="C364" t="s">
        <v>883</v>
      </c>
      <c r="D364">
        <v>37</v>
      </c>
      <c r="E364">
        <v>33.55</v>
      </c>
      <c r="F364">
        <v>42</v>
      </c>
      <c r="G364">
        <v>0.7988095238095237</v>
      </c>
      <c r="H364">
        <v>0.02861400894187779</v>
      </c>
      <c r="I364">
        <v>0.04595103300179892</v>
      </c>
      <c r="J364">
        <v>0.07000000000000001</v>
      </c>
      <c r="K364">
        <v>0.1426940359936777</v>
      </c>
      <c r="L364" t="s">
        <v>573</v>
      </c>
      <c r="M364" t="s">
        <v>572</v>
      </c>
      <c r="N364">
        <v>9.585714285714285</v>
      </c>
      <c r="O364">
        <v>3.5</v>
      </c>
      <c r="P364">
        <v>0.96</v>
      </c>
      <c r="Q364">
        <v>0.2742857142857143</v>
      </c>
      <c r="R364">
        <v>12</v>
      </c>
      <c r="S364">
        <v>0.1005558662160053</v>
      </c>
      <c r="T364" t="s">
        <v>894</v>
      </c>
      <c r="U364">
        <v>0.037896365042536</v>
      </c>
      <c r="V364" t="s">
        <v>986</v>
      </c>
      <c r="W364" t="s">
        <v>994</v>
      </c>
      <c r="X364">
        <v>2193.756832</v>
      </c>
      <c r="Y364" s="2">
        <v>44852</v>
      </c>
      <c r="Z364" t="s">
        <v>1004</v>
      </c>
    </row>
    <row r="365" spans="1:26">
      <c r="A365" s="1" t="s">
        <v>389</v>
      </c>
      <c r="B365">
        <f>HYPERLINK("https://www.suredividend.com/sure-analysis-ODC/","Oil-Dri Corp. Of America")</f>
        <v>0</v>
      </c>
      <c r="C365" t="s">
        <v>883</v>
      </c>
      <c r="D365">
        <v>33</v>
      </c>
      <c r="E365">
        <v>33.54</v>
      </c>
      <c r="F365">
        <v>42</v>
      </c>
      <c r="G365">
        <v>0.7985714285714286</v>
      </c>
      <c r="H365">
        <v>0.03339296362552177</v>
      </c>
      <c r="I365">
        <v>0.04601339593051557</v>
      </c>
      <c r="J365">
        <v>0.07000000000000001</v>
      </c>
      <c r="K365">
        <v>0.1422161369975086</v>
      </c>
      <c r="L365" t="s">
        <v>573</v>
      </c>
      <c r="M365" t="s">
        <v>573</v>
      </c>
      <c r="N365">
        <v>21.5</v>
      </c>
      <c r="O365">
        <v>1.56</v>
      </c>
      <c r="P365">
        <v>1.12</v>
      </c>
      <c r="Q365">
        <v>0.717948717948718</v>
      </c>
      <c r="R365">
        <v>9</v>
      </c>
      <c r="S365">
        <v>0.03959498820755258</v>
      </c>
      <c r="T365" t="s">
        <v>890</v>
      </c>
      <c r="U365">
        <v>0.07603119656337301</v>
      </c>
      <c r="V365" t="s">
        <v>986</v>
      </c>
      <c r="W365" t="s">
        <v>996</v>
      </c>
      <c r="X365">
        <v>171.333053</v>
      </c>
      <c r="Y365" s="2">
        <v>44920</v>
      </c>
      <c r="Z365" t="s">
        <v>1010</v>
      </c>
    </row>
    <row r="366" spans="1:26">
      <c r="A366" s="1" t="s">
        <v>390</v>
      </c>
      <c r="B366">
        <f>HYPERLINK("https://www.suredividend.com/sure-analysis-TEL/","TE Connectivity Ltd")</f>
        <v>0</v>
      </c>
      <c r="C366" t="s">
        <v>883</v>
      </c>
      <c r="D366">
        <v>117</v>
      </c>
      <c r="E366">
        <v>114.8</v>
      </c>
      <c r="F366">
        <v>157</v>
      </c>
      <c r="G366">
        <v>0.7312101910828025</v>
      </c>
      <c r="H366">
        <v>0.01951219512195122</v>
      </c>
      <c r="I366">
        <v>0.06461247988502494</v>
      </c>
      <c r="J366">
        <v>0.06</v>
      </c>
      <c r="K366">
        <v>0.1417431279041146</v>
      </c>
      <c r="L366" t="s">
        <v>573</v>
      </c>
      <c r="M366" t="s">
        <v>572</v>
      </c>
      <c r="N366">
        <v>14.62420382165605</v>
      </c>
      <c r="O366">
        <v>7.85</v>
      </c>
      <c r="P366">
        <v>2.24</v>
      </c>
      <c r="Q366">
        <v>0.2853503184713376</v>
      </c>
      <c r="R366">
        <v>14</v>
      </c>
      <c r="S366">
        <v>0.0403582746309219</v>
      </c>
      <c r="T366" t="s">
        <v>894</v>
      </c>
      <c r="U366">
        <v>-0.273225908356825</v>
      </c>
      <c r="V366" t="s">
        <v>986</v>
      </c>
      <c r="W366" t="s">
        <v>995</v>
      </c>
      <c r="X366">
        <v>36418.068632</v>
      </c>
      <c r="Y366" s="2">
        <v>44872</v>
      </c>
      <c r="Z366" t="s">
        <v>1002</v>
      </c>
    </row>
    <row r="367" spans="1:26">
      <c r="A367" s="1" t="s">
        <v>391</v>
      </c>
      <c r="B367">
        <f>HYPERLINK("https://www.suredividend.com/sure-analysis-WOR/","Worthington Industries, Inc.")</f>
        <v>0</v>
      </c>
      <c r="C367" t="s">
        <v>883</v>
      </c>
      <c r="D367">
        <v>50</v>
      </c>
      <c r="E367">
        <v>49.71</v>
      </c>
      <c r="F367">
        <v>44</v>
      </c>
      <c r="G367">
        <v>1.129772727272727</v>
      </c>
      <c r="H367">
        <v>0.02494467913900623</v>
      </c>
      <c r="I367">
        <v>-0.02410794418689699</v>
      </c>
      <c r="J367">
        <v>0.15</v>
      </c>
      <c r="K367">
        <v>0.1417100226978356</v>
      </c>
      <c r="L367" t="s">
        <v>573</v>
      </c>
      <c r="M367" t="s">
        <v>572</v>
      </c>
      <c r="N367">
        <v>13.5449591280654</v>
      </c>
      <c r="O367">
        <v>3.67</v>
      </c>
      <c r="P367">
        <v>1.24</v>
      </c>
      <c r="Q367">
        <v>0.337874659400545</v>
      </c>
      <c r="R367">
        <v>12</v>
      </c>
      <c r="S367">
        <v>0.08330315665984722</v>
      </c>
      <c r="T367" t="s">
        <v>901</v>
      </c>
      <c r="U367">
        <v>-0.05679172572391301</v>
      </c>
      <c r="V367" t="s">
        <v>986</v>
      </c>
      <c r="W367" t="s">
        <v>990</v>
      </c>
      <c r="X367">
        <v>2471.150463</v>
      </c>
      <c r="Y367" s="2">
        <v>44918</v>
      </c>
      <c r="Z367" t="s">
        <v>1010</v>
      </c>
    </row>
    <row r="368" spans="1:26">
      <c r="A368" s="1" t="s">
        <v>392</v>
      </c>
      <c r="B368">
        <f>HYPERLINK("https://www.suredividend.com/sure-analysis-ZION/","Zions Bancorporation N.A")</f>
        <v>0</v>
      </c>
      <c r="C368" t="s">
        <v>883</v>
      </c>
      <c r="D368">
        <v>52</v>
      </c>
      <c r="E368">
        <v>49.16</v>
      </c>
      <c r="F368">
        <v>67</v>
      </c>
      <c r="G368">
        <v>0.733731343283582</v>
      </c>
      <c r="H368">
        <v>0.03336045565500407</v>
      </c>
      <c r="I368">
        <v>0.0638798556681166</v>
      </c>
      <c r="J368">
        <v>0.05</v>
      </c>
      <c r="K368">
        <v>0.1408751749695027</v>
      </c>
      <c r="L368" t="s">
        <v>573</v>
      </c>
      <c r="M368" t="s">
        <v>573</v>
      </c>
      <c r="N368">
        <v>8.778571428571428</v>
      </c>
      <c r="O368">
        <v>5.6</v>
      </c>
      <c r="P368">
        <v>1.64</v>
      </c>
      <c r="Q368">
        <v>0.2928571428571429</v>
      </c>
      <c r="R368">
        <v>11</v>
      </c>
      <c r="S368">
        <v>0.04968861687192305</v>
      </c>
      <c r="T368" t="s">
        <v>890</v>
      </c>
      <c r="U368">
        <v>-0.199845047291501</v>
      </c>
      <c r="V368" t="s">
        <v>986</v>
      </c>
      <c r="W368" t="s">
        <v>994</v>
      </c>
      <c r="X368">
        <v>7355.208787</v>
      </c>
      <c r="Y368" s="2">
        <v>44860</v>
      </c>
      <c r="Z368" t="s">
        <v>1004</v>
      </c>
    </row>
    <row r="369" spans="1:26">
      <c r="A369" s="1" t="s">
        <v>393</v>
      </c>
      <c r="B369">
        <f>HYPERLINK("https://www.suredividend.com/sure-analysis-PFE/","Pfizer Inc.")</f>
        <v>0</v>
      </c>
      <c r="C369" t="s">
        <v>883</v>
      </c>
      <c r="D369">
        <v>47</v>
      </c>
      <c r="E369">
        <v>51.24</v>
      </c>
      <c r="F369">
        <v>71</v>
      </c>
      <c r="G369">
        <v>0.7216901408450704</v>
      </c>
      <c r="H369">
        <v>0.03200624512099921</v>
      </c>
      <c r="I369">
        <v>0.06740650591339481</v>
      </c>
      <c r="J369">
        <v>0.05</v>
      </c>
      <c r="K369">
        <v>0.1406402666437612</v>
      </c>
      <c r="L369" t="s">
        <v>573</v>
      </c>
      <c r="M369" t="s">
        <v>573</v>
      </c>
      <c r="N369">
        <v>7.944186046511628</v>
      </c>
      <c r="O369">
        <v>6.45</v>
      </c>
      <c r="P369">
        <v>1.64</v>
      </c>
      <c r="Q369">
        <v>0.2542635658914729</v>
      </c>
      <c r="R369">
        <v>14</v>
      </c>
      <c r="S369">
        <v>0.00483114283582986</v>
      </c>
      <c r="T369" t="s">
        <v>927</v>
      </c>
      <c r="U369">
        <v>-0.094107455403709</v>
      </c>
      <c r="V369" t="s">
        <v>986</v>
      </c>
      <c r="W369" t="s">
        <v>998</v>
      </c>
      <c r="X369">
        <v>287626.236876</v>
      </c>
      <c r="Y369" s="2">
        <v>44875</v>
      </c>
      <c r="Z369" t="s">
        <v>1015</v>
      </c>
    </row>
    <row r="370" spans="1:26">
      <c r="A370" s="1" t="s">
        <v>394</v>
      </c>
      <c r="B370">
        <f>HYPERLINK("https://www.suredividend.com/sure-analysis-OTEX/","Open Text Corp")</f>
        <v>0</v>
      </c>
      <c r="C370" t="s">
        <v>883</v>
      </c>
      <c r="D370">
        <v>27</v>
      </c>
      <c r="E370">
        <v>29.64</v>
      </c>
      <c r="F370">
        <v>36</v>
      </c>
      <c r="G370">
        <v>0.8233333333333334</v>
      </c>
      <c r="H370">
        <v>0.03272604588394062</v>
      </c>
      <c r="I370">
        <v>0.03964449980411033</v>
      </c>
      <c r="J370">
        <v>0.07000000000000001</v>
      </c>
      <c r="K370">
        <v>0.1390814804325247</v>
      </c>
      <c r="L370" t="s">
        <v>573</v>
      </c>
      <c r="M370" t="s">
        <v>573</v>
      </c>
      <c r="N370">
        <v>9.036585365853659</v>
      </c>
      <c r="O370">
        <v>3.28</v>
      </c>
      <c r="P370">
        <v>0.97</v>
      </c>
      <c r="Q370">
        <v>0.2957317073170732</v>
      </c>
      <c r="R370">
        <v>9</v>
      </c>
      <c r="S370">
        <v>0.09109836492203671</v>
      </c>
      <c r="T370" t="s">
        <v>889</v>
      </c>
      <c r="U370">
        <v>-0.362768388668284</v>
      </c>
      <c r="V370" t="s">
        <v>986</v>
      </c>
      <c r="W370" t="s">
        <v>993</v>
      </c>
      <c r="X370">
        <v>8009.772336</v>
      </c>
      <c r="Y370" s="2">
        <v>44874</v>
      </c>
      <c r="Z370" t="s">
        <v>1014</v>
      </c>
    </row>
    <row r="371" spans="1:26">
      <c r="A371" s="1" t="s">
        <v>395</v>
      </c>
      <c r="B371">
        <f>HYPERLINK("https://www.suredividend.com/sure-analysis-ACI/","Albertsons Companies Inc")</f>
        <v>0</v>
      </c>
      <c r="C371" t="s">
        <v>884</v>
      </c>
      <c r="D371">
        <v>20</v>
      </c>
      <c r="E371">
        <v>20.74</v>
      </c>
      <c r="F371">
        <v>32</v>
      </c>
      <c r="G371">
        <v>0.648125</v>
      </c>
      <c r="H371">
        <v>0.02314368370298939</v>
      </c>
      <c r="I371">
        <v>0.09060691059771941</v>
      </c>
      <c r="J371">
        <v>0.03</v>
      </c>
      <c r="K371">
        <v>0.1388485790657814</v>
      </c>
      <c r="L371" t="s">
        <v>573</v>
      </c>
      <c r="M371" t="s">
        <v>572</v>
      </c>
      <c r="N371">
        <v>7.826415094339622</v>
      </c>
      <c r="O371">
        <v>2.65</v>
      </c>
      <c r="P371">
        <v>0.48</v>
      </c>
      <c r="Q371">
        <v>0.1811320754716981</v>
      </c>
      <c r="R371">
        <v>1</v>
      </c>
      <c r="S371">
        <v>0.03131030647754507</v>
      </c>
      <c r="T371" t="s">
        <v>926</v>
      </c>
      <c r="U371">
        <v>-0.06752151354656501</v>
      </c>
      <c r="V371" t="s">
        <v>986</v>
      </c>
      <c r="W371" t="s">
        <v>996</v>
      </c>
      <c r="X371">
        <v>11097.275311</v>
      </c>
      <c r="Y371" s="2">
        <v>44864</v>
      </c>
      <c r="Z371" t="s">
        <v>1013</v>
      </c>
    </row>
    <row r="372" spans="1:26">
      <c r="A372" s="1" t="s">
        <v>396</v>
      </c>
      <c r="B372">
        <f>HYPERLINK("https://www.suredividend.com/sure-analysis-LAZ/","Lazard Ltd.")</f>
        <v>0</v>
      </c>
      <c r="C372" t="s">
        <v>883</v>
      </c>
      <c r="D372">
        <v>35</v>
      </c>
      <c r="E372">
        <v>34.67</v>
      </c>
      <c r="F372">
        <v>44</v>
      </c>
      <c r="G372">
        <v>0.7879545454545455</v>
      </c>
      <c r="H372">
        <v>0.05768676088837611</v>
      </c>
      <c r="I372">
        <v>0.04881711799980049</v>
      </c>
      <c r="J372">
        <v>0.05</v>
      </c>
      <c r="K372">
        <v>0.1379510732932319</v>
      </c>
      <c r="L372" t="s">
        <v>573</v>
      </c>
      <c r="M372" t="s">
        <v>886</v>
      </c>
      <c r="N372">
        <v>8.755050505050505</v>
      </c>
      <c r="O372">
        <v>3.96</v>
      </c>
      <c r="P372">
        <v>2</v>
      </c>
      <c r="Q372">
        <v>0.5050505050505051</v>
      </c>
      <c r="R372">
        <v>1</v>
      </c>
      <c r="S372">
        <v>0</v>
      </c>
      <c r="T372" t="s">
        <v>911</v>
      </c>
      <c r="U372">
        <v>-0.172703757790949</v>
      </c>
      <c r="V372" t="s">
        <v>988</v>
      </c>
      <c r="W372" t="s">
        <v>994</v>
      </c>
      <c r="X372">
        <v>3909.600375</v>
      </c>
      <c r="Y372" s="2">
        <v>44872</v>
      </c>
      <c r="Z372" t="s">
        <v>1015</v>
      </c>
    </row>
    <row r="373" spans="1:26">
      <c r="A373" s="1" t="s">
        <v>397</v>
      </c>
      <c r="B373">
        <f>HYPERLINK("https://www.suredividend.com/sure-analysis-CTRA/","Coterra Energy Inc")</f>
        <v>0</v>
      </c>
      <c r="C373" t="s">
        <v>883</v>
      </c>
      <c r="D373">
        <v>27</v>
      </c>
      <c r="E373">
        <v>24.57</v>
      </c>
      <c r="F373">
        <v>41</v>
      </c>
      <c r="G373">
        <v>0.5992682926829268</v>
      </c>
      <c r="H373">
        <v>0.02442002442002442</v>
      </c>
      <c r="I373">
        <v>0.1078366792197814</v>
      </c>
      <c r="J373">
        <v>0.01</v>
      </c>
      <c r="K373">
        <v>0.1369035109877257</v>
      </c>
      <c r="L373" t="s">
        <v>573</v>
      </c>
      <c r="M373" t="s">
        <v>572</v>
      </c>
      <c r="N373">
        <v>4.81764705882353</v>
      </c>
      <c r="O373">
        <v>5.1</v>
      </c>
      <c r="P373">
        <v>0.6</v>
      </c>
      <c r="Q373">
        <v>0.1176470588235294</v>
      </c>
      <c r="R373">
        <v>6</v>
      </c>
      <c r="S373">
        <v>0.05922384104881218</v>
      </c>
      <c r="T373" t="s">
        <v>895</v>
      </c>
      <c r="U373">
        <v>0.344871752766921</v>
      </c>
      <c r="V373" t="s">
        <v>986</v>
      </c>
      <c r="W373" t="s">
        <v>999</v>
      </c>
      <c r="X373">
        <v>19372.642814</v>
      </c>
      <c r="Y373" s="2">
        <v>44888</v>
      </c>
      <c r="Z373" t="s">
        <v>1002</v>
      </c>
    </row>
    <row r="374" spans="1:26">
      <c r="A374" s="1" t="s">
        <v>398</v>
      </c>
      <c r="B374">
        <f>HYPERLINK("https://www.suredividend.com/sure-analysis-STT/","State Street Corp.")</f>
        <v>0</v>
      </c>
      <c r="C374" t="s">
        <v>883</v>
      </c>
      <c r="D374">
        <v>67</v>
      </c>
      <c r="E374">
        <v>77.56999999999999</v>
      </c>
      <c r="F374">
        <v>94</v>
      </c>
      <c r="G374">
        <v>0.8252127659574467</v>
      </c>
      <c r="H374">
        <v>0.03248678612865799</v>
      </c>
      <c r="I374">
        <v>0.03917050706953518</v>
      </c>
      <c r="J374">
        <v>0.07000000000000001</v>
      </c>
      <c r="K374">
        <v>0.1368563409941512</v>
      </c>
      <c r="L374" t="s">
        <v>573</v>
      </c>
      <c r="M374" t="s">
        <v>573</v>
      </c>
      <c r="N374">
        <v>10.34266666666667</v>
      </c>
      <c r="O374">
        <v>7.5</v>
      </c>
      <c r="P374">
        <v>2.52</v>
      </c>
      <c r="Q374">
        <v>0.336</v>
      </c>
      <c r="R374">
        <v>13</v>
      </c>
      <c r="S374">
        <v>0.06912485106932209</v>
      </c>
      <c r="T374" t="s">
        <v>898</v>
      </c>
      <c r="U374">
        <v>-0.134447902288686</v>
      </c>
      <c r="V374" t="s">
        <v>986</v>
      </c>
      <c r="W374" t="s">
        <v>994</v>
      </c>
      <c r="X374">
        <v>28463.547203</v>
      </c>
      <c r="Y374" s="2">
        <v>44852</v>
      </c>
      <c r="Z374" t="s">
        <v>1003</v>
      </c>
    </row>
    <row r="375" spans="1:26">
      <c r="A375" s="1" t="s">
        <v>399</v>
      </c>
      <c r="B375">
        <f>HYPERLINK("https://www.suredividend.com/sure-analysis-DFS/","Discover Financial Services")</f>
        <v>0</v>
      </c>
      <c r="C375" t="s">
        <v>883</v>
      </c>
      <c r="D375">
        <v>96</v>
      </c>
      <c r="E375">
        <v>97.83</v>
      </c>
      <c r="F375">
        <v>140</v>
      </c>
      <c r="G375">
        <v>0.6987857142857142</v>
      </c>
      <c r="H375">
        <v>0.02453235203925176</v>
      </c>
      <c r="I375">
        <v>0.07431390382843239</v>
      </c>
      <c r="J375">
        <v>0.04</v>
      </c>
      <c r="K375">
        <v>0.1354907497385076</v>
      </c>
      <c r="L375" t="s">
        <v>573</v>
      </c>
      <c r="M375" t="s">
        <v>572</v>
      </c>
      <c r="N375">
        <v>6.311612903225806</v>
      </c>
      <c r="O375">
        <v>15.5</v>
      </c>
      <c r="P375">
        <v>2.4</v>
      </c>
      <c r="Q375">
        <v>0.1548387096774194</v>
      </c>
      <c r="R375">
        <v>10</v>
      </c>
      <c r="S375">
        <v>0.05988502997905321</v>
      </c>
      <c r="T375" t="s">
        <v>924</v>
      </c>
      <c r="U375">
        <v>-0.137471963210089</v>
      </c>
      <c r="V375" t="s">
        <v>986</v>
      </c>
      <c r="W375" t="s">
        <v>994</v>
      </c>
      <c r="X375">
        <v>26729.67659</v>
      </c>
      <c r="Y375" s="2">
        <v>44859</v>
      </c>
      <c r="Z375" t="s">
        <v>1007</v>
      </c>
    </row>
    <row r="376" spans="1:26">
      <c r="A376" s="1" t="s">
        <v>400</v>
      </c>
      <c r="B376">
        <f>HYPERLINK("https://www.suredividend.com/sure-analysis-MAN/","ManpowerGroup")</f>
        <v>0</v>
      </c>
      <c r="C376" t="s">
        <v>883</v>
      </c>
      <c r="D376">
        <v>79</v>
      </c>
      <c r="E376">
        <v>83.20999999999999</v>
      </c>
      <c r="F376">
        <v>110</v>
      </c>
      <c r="G376">
        <v>0.7564545454545454</v>
      </c>
      <c r="H376">
        <v>0.03268837880062493</v>
      </c>
      <c r="I376">
        <v>0.05741004720537624</v>
      </c>
      <c r="J376">
        <v>0.05</v>
      </c>
      <c r="K376">
        <v>0.1340605429861095</v>
      </c>
      <c r="L376" t="s">
        <v>573</v>
      </c>
      <c r="M376" t="s">
        <v>573</v>
      </c>
      <c r="N376">
        <v>9.835697399527184</v>
      </c>
      <c r="O376">
        <v>8.460000000000001</v>
      </c>
      <c r="P376">
        <v>2.72</v>
      </c>
      <c r="Q376">
        <v>0.3215130023640662</v>
      </c>
      <c r="R376">
        <v>12</v>
      </c>
      <c r="S376">
        <v>0.04808838399458915</v>
      </c>
      <c r="T376" t="s">
        <v>891</v>
      </c>
      <c r="U376">
        <v>-0.133253543910744</v>
      </c>
      <c r="V376" t="s">
        <v>986</v>
      </c>
      <c r="W376" t="s">
        <v>991</v>
      </c>
      <c r="X376">
        <v>4206.859037</v>
      </c>
      <c r="Y376" s="2">
        <v>44864</v>
      </c>
      <c r="Z376" t="s">
        <v>1010</v>
      </c>
    </row>
    <row r="377" spans="1:26">
      <c r="A377" s="1" t="s">
        <v>401</v>
      </c>
      <c r="B377">
        <f>HYPERLINK("https://www.suredividend.com/sure-analysis-HOG/","Harley-Davidson, Inc.")</f>
        <v>0</v>
      </c>
      <c r="C377" t="s">
        <v>883</v>
      </c>
      <c r="D377">
        <v>46.7</v>
      </c>
      <c r="E377">
        <v>41.6</v>
      </c>
      <c r="F377">
        <v>61.9</v>
      </c>
      <c r="G377">
        <v>0.6720516962843296</v>
      </c>
      <c r="H377">
        <v>0.01514423076923077</v>
      </c>
      <c r="I377">
        <v>0.08272823842929578</v>
      </c>
      <c r="J377">
        <v>0.033</v>
      </c>
      <c r="K377">
        <v>0.1336115022151547</v>
      </c>
      <c r="L377" t="s">
        <v>573</v>
      </c>
      <c r="M377" t="s">
        <v>631</v>
      </c>
      <c r="N377">
        <v>8.739495798319329</v>
      </c>
      <c r="O377">
        <v>4.76</v>
      </c>
      <c r="P377">
        <v>0.63</v>
      </c>
      <c r="Q377">
        <v>0.1323529411764706</v>
      </c>
      <c r="R377">
        <v>2</v>
      </c>
      <c r="S377">
        <v>0.1629280604120023</v>
      </c>
      <c r="T377" t="s">
        <v>920</v>
      </c>
      <c r="U377">
        <v>0.122479816949445</v>
      </c>
      <c r="V377" t="s">
        <v>986</v>
      </c>
      <c r="W377" t="s">
        <v>992</v>
      </c>
      <c r="X377">
        <v>6081.254982</v>
      </c>
      <c r="Y377" s="2">
        <v>44880</v>
      </c>
      <c r="Z377" t="s">
        <v>1009</v>
      </c>
    </row>
    <row r="378" spans="1:26">
      <c r="A378" s="1" t="s">
        <v>402</v>
      </c>
      <c r="B378">
        <f>HYPERLINK("https://www.suredividend.com/sure-analysis-GWLIF/","Great-West Lifeco Inc.")</f>
        <v>0</v>
      </c>
      <c r="C378" t="s">
        <v>883</v>
      </c>
      <c r="D378">
        <v>24</v>
      </c>
      <c r="E378">
        <v>23.14</v>
      </c>
      <c r="F378">
        <v>29</v>
      </c>
      <c r="G378">
        <v>0.7979310344827586</v>
      </c>
      <c r="H378">
        <v>0.06352636127917026</v>
      </c>
      <c r="I378">
        <v>0.04618124147765812</v>
      </c>
      <c r="J378">
        <v>0.04</v>
      </c>
      <c r="K378">
        <v>0.1335589081924298</v>
      </c>
      <c r="L378" t="s">
        <v>573</v>
      </c>
      <c r="M378" t="s">
        <v>886</v>
      </c>
      <c r="N378">
        <v>8.9</v>
      </c>
      <c r="O378">
        <v>2.6</v>
      </c>
      <c r="P378">
        <v>1.47</v>
      </c>
      <c r="Q378">
        <v>0.5653846153846154</v>
      </c>
      <c r="R378">
        <v>6</v>
      </c>
      <c r="S378">
        <v>0.02949992028437465</v>
      </c>
      <c r="T378" t="s">
        <v>889</v>
      </c>
      <c r="U378">
        <v>-0.222968435191403</v>
      </c>
      <c r="V378" t="s">
        <v>986</v>
      </c>
      <c r="W378" t="s">
        <v>994</v>
      </c>
      <c r="X378">
        <v>21562.278007</v>
      </c>
      <c r="Y378" s="2">
        <v>44882</v>
      </c>
      <c r="Z378" t="s">
        <v>1008</v>
      </c>
    </row>
    <row r="379" spans="1:26">
      <c r="A379" s="1" t="s">
        <v>403</v>
      </c>
      <c r="B379">
        <f>HYPERLINK("https://www.suredividend.com/sure-analysis-MMP/","Magellan Midstream Partners L.P.")</f>
        <v>0</v>
      </c>
      <c r="C379" t="s">
        <v>883</v>
      </c>
      <c r="D379">
        <v>54</v>
      </c>
      <c r="E379">
        <v>50.21</v>
      </c>
      <c r="F379">
        <v>62</v>
      </c>
      <c r="G379">
        <v>0.8098387096774193</v>
      </c>
      <c r="H379">
        <v>0.08344951204939256</v>
      </c>
      <c r="I379">
        <v>0.04308642549776054</v>
      </c>
      <c r="J379">
        <v>0.03</v>
      </c>
      <c r="K379">
        <v>0.1322925225185314</v>
      </c>
      <c r="L379" t="s">
        <v>573</v>
      </c>
      <c r="M379" t="s">
        <v>886</v>
      </c>
      <c r="N379">
        <v>9.655769230769231</v>
      </c>
      <c r="O379">
        <v>5.2</v>
      </c>
      <c r="P379">
        <v>4.19</v>
      </c>
      <c r="Q379">
        <v>0.8057692307692308</v>
      </c>
      <c r="R379">
        <v>22</v>
      </c>
      <c r="S379">
        <v>0.009828749370162759</v>
      </c>
      <c r="T379" t="s">
        <v>911</v>
      </c>
      <c r="U379">
        <v>0.207261360904063</v>
      </c>
      <c r="V379" t="s">
        <v>988</v>
      </c>
      <c r="W379" t="s">
        <v>999</v>
      </c>
      <c r="X379">
        <v>10289.840426</v>
      </c>
      <c r="Y379" s="2">
        <v>44866</v>
      </c>
      <c r="Z379" t="s">
        <v>1003</v>
      </c>
    </row>
    <row r="380" spans="1:26">
      <c r="A380" s="1" t="s">
        <v>404</v>
      </c>
      <c r="B380">
        <f>HYPERLINK("https://www.suredividend.com/sure-analysis-CUBE/","CubeSmart")</f>
        <v>0</v>
      </c>
      <c r="C380" t="s">
        <v>884</v>
      </c>
      <c r="D380">
        <v>42</v>
      </c>
      <c r="E380">
        <v>40.25</v>
      </c>
      <c r="F380">
        <v>44</v>
      </c>
      <c r="G380">
        <v>0.9147727272727273</v>
      </c>
      <c r="H380">
        <v>0.04869565217391304</v>
      </c>
      <c r="I380">
        <v>0.01797557631727931</v>
      </c>
      <c r="J380">
        <v>0.075</v>
      </c>
      <c r="K380">
        <v>0.1314030679874043</v>
      </c>
      <c r="L380" t="s">
        <v>573</v>
      </c>
      <c r="M380" t="s">
        <v>887</v>
      </c>
      <c r="N380">
        <v>16.03585657370518</v>
      </c>
      <c r="O380">
        <v>2.51</v>
      </c>
      <c r="P380">
        <v>1.96</v>
      </c>
      <c r="Q380">
        <v>0.7808764940239045</v>
      </c>
      <c r="R380">
        <v>13</v>
      </c>
      <c r="S380">
        <v>0.05238073674718757</v>
      </c>
      <c r="T380" t="s">
        <v>898</v>
      </c>
      <c r="U380">
        <v>-0.258961957592371</v>
      </c>
      <c r="V380" t="s">
        <v>987</v>
      </c>
      <c r="W380" t="s">
        <v>1000</v>
      </c>
      <c r="X380">
        <v>9039.131111999999</v>
      </c>
      <c r="Y380" s="2">
        <v>44864</v>
      </c>
      <c r="Z380" t="s">
        <v>1011</v>
      </c>
    </row>
    <row r="381" spans="1:26">
      <c r="A381" s="1" t="s">
        <v>405</v>
      </c>
      <c r="B381">
        <f>HYPERLINK("https://www.suredividend.com/sure-analysis-THG/","Hanover Insurance Group Inc")</f>
        <v>0</v>
      </c>
      <c r="C381" t="s">
        <v>883</v>
      </c>
      <c r="D381">
        <v>143</v>
      </c>
      <c r="E381">
        <v>135.13</v>
      </c>
      <c r="F381">
        <v>137</v>
      </c>
      <c r="G381">
        <v>0.9863503649635036</v>
      </c>
      <c r="H381">
        <v>0.02220084363205802</v>
      </c>
      <c r="I381">
        <v>0.002752510776435013</v>
      </c>
      <c r="J381">
        <v>0.11</v>
      </c>
      <c r="K381">
        <v>0.1308139558917389</v>
      </c>
      <c r="L381" t="s">
        <v>573</v>
      </c>
      <c r="M381" t="s">
        <v>572</v>
      </c>
      <c r="N381">
        <v>14.84945054945055</v>
      </c>
      <c r="O381">
        <v>9.1</v>
      </c>
      <c r="P381">
        <v>3</v>
      </c>
      <c r="Q381">
        <v>0.3296703296703297</v>
      </c>
      <c r="R381">
        <v>17</v>
      </c>
      <c r="S381">
        <v>0.08009875865888949</v>
      </c>
      <c r="T381" t="s">
        <v>901</v>
      </c>
      <c r="U381">
        <v>0.04846787752951701</v>
      </c>
      <c r="V381" t="s">
        <v>986</v>
      </c>
      <c r="W381" t="s">
        <v>994</v>
      </c>
      <c r="X381">
        <v>4805.534545</v>
      </c>
      <c r="Y381" s="2">
        <v>44867</v>
      </c>
      <c r="Z381" t="s">
        <v>1004</v>
      </c>
    </row>
    <row r="382" spans="1:26">
      <c r="A382" s="1" t="s">
        <v>406</v>
      </c>
      <c r="B382">
        <f>HYPERLINK("https://www.suredividend.com/sure-analysis-TRTN/","Triton International Ltd")</f>
        <v>0</v>
      </c>
      <c r="C382" t="s">
        <v>883</v>
      </c>
      <c r="D382">
        <v>62</v>
      </c>
      <c r="E382">
        <v>68.78</v>
      </c>
      <c r="F382">
        <v>86</v>
      </c>
      <c r="G382">
        <v>0.7997674418604651</v>
      </c>
      <c r="H382">
        <v>0.04070950857807502</v>
      </c>
      <c r="I382">
        <v>0.04570035619420754</v>
      </c>
      <c r="J382">
        <v>0.05</v>
      </c>
      <c r="K382">
        <v>0.1304892861221381</v>
      </c>
      <c r="L382" t="s">
        <v>573</v>
      </c>
      <c r="M382" t="s">
        <v>887</v>
      </c>
      <c r="N382">
        <v>6.033333333333333</v>
      </c>
      <c r="O382">
        <v>11.4</v>
      </c>
      <c r="P382">
        <v>2.8</v>
      </c>
      <c r="Q382">
        <v>0.2456140350877193</v>
      </c>
      <c r="R382">
        <v>7</v>
      </c>
      <c r="S382">
        <v>0.07015553929861928</v>
      </c>
      <c r="T382" t="s">
        <v>929</v>
      </c>
      <c r="U382">
        <v>0.200522937877563</v>
      </c>
      <c r="V382" t="s">
        <v>986</v>
      </c>
      <c r="W382" t="s">
        <v>991</v>
      </c>
      <c r="X382">
        <v>4045.553831</v>
      </c>
      <c r="Y382" s="2">
        <v>44866</v>
      </c>
      <c r="Z382" t="s">
        <v>1011</v>
      </c>
    </row>
    <row r="383" spans="1:26">
      <c r="A383" s="1" t="s">
        <v>407</v>
      </c>
      <c r="B383">
        <f>HYPERLINK("https://www.suredividend.com/sure-analysis-NXST/","Nexstar Media Group Inc")</f>
        <v>0</v>
      </c>
      <c r="C383" t="s">
        <v>883</v>
      </c>
      <c r="D383">
        <v>165</v>
      </c>
      <c r="E383">
        <v>175.03</v>
      </c>
      <c r="F383">
        <v>212</v>
      </c>
      <c r="G383">
        <v>0.8256132075471698</v>
      </c>
      <c r="H383">
        <v>0.02056790264526081</v>
      </c>
      <c r="I383">
        <v>0.03906968313840986</v>
      </c>
      <c r="J383">
        <v>0.07000000000000001</v>
      </c>
      <c r="K383">
        <v>0.1288385409417183</v>
      </c>
      <c r="L383" t="s">
        <v>573</v>
      </c>
      <c r="M383" t="s">
        <v>572</v>
      </c>
      <c r="N383">
        <v>6.604905660377359</v>
      </c>
      <c r="O383">
        <v>26.5</v>
      </c>
      <c r="P383">
        <v>3.6</v>
      </c>
      <c r="Q383">
        <v>0.1358490566037736</v>
      </c>
      <c r="R383">
        <v>9</v>
      </c>
      <c r="S383">
        <v>0.0900375345982718</v>
      </c>
      <c r="T383" t="s">
        <v>914</v>
      </c>
      <c r="U383">
        <v>-0.08916958472731501</v>
      </c>
      <c r="V383" t="s">
        <v>986</v>
      </c>
      <c r="W383" t="s">
        <v>995</v>
      </c>
      <c r="X383">
        <v>6600.108778</v>
      </c>
      <c r="Y383" s="2">
        <v>44876</v>
      </c>
      <c r="Z383" t="s">
        <v>1017</v>
      </c>
    </row>
    <row r="384" spans="1:26">
      <c r="A384" s="1" t="s">
        <v>408</v>
      </c>
      <c r="B384">
        <f>HYPERLINK("https://www.suredividend.com/sure-analysis-CMA/","Comerica, Inc.")</f>
        <v>0</v>
      </c>
      <c r="C384" t="s">
        <v>883</v>
      </c>
      <c r="D384">
        <v>70</v>
      </c>
      <c r="E384">
        <v>66.84999999999999</v>
      </c>
      <c r="F384">
        <v>102</v>
      </c>
      <c r="G384">
        <v>0.655392156862745</v>
      </c>
      <c r="H384">
        <v>0.04068810770381451</v>
      </c>
      <c r="I384">
        <v>0.08817752550426317</v>
      </c>
      <c r="J384">
        <v>0.01</v>
      </c>
      <c r="K384">
        <v>0.1279761942998361</v>
      </c>
      <c r="L384" t="s">
        <v>573</v>
      </c>
      <c r="M384" t="s">
        <v>573</v>
      </c>
      <c r="N384">
        <v>7.83704572098476</v>
      </c>
      <c r="O384">
        <v>8.529999999999999</v>
      </c>
      <c r="P384">
        <v>2.72</v>
      </c>
      <c r="Q384">
        <v>0.3188745603751466</v>
      </c>
      <c r="R384">
        <v>11</v>
      </c>
      <c r="S384">
        <v>0.02978919320783269</v>
      </c>
      <c r="T384" t="s">
        <v>901</v>
      </c>
      <c r="U384">
        <v>-0.204012207130669</v>
      </c>
      <c r="V384" t="s">
        <v>986</v>
      </c>
      <c r="W384" t="s">
        <v>994</v>
      </c>
      <c r="X384">
        <v>8754.16921</v>
      </c>
      <c r="Y384" s="2">
        <v>44867</v>
      </c>
      <c r="Z384" t="s">
        <v>1008</v>
      </c>
    </row>
    <row r="385" spans="1:26">
      <c r="A385" s="1" t="s">
        <v>409</v>
      </c>
      <c r="B385">
        <f>HYPERLINK("https://www.suredividend.com/sure-analysis-HPQ/","HP Inc")</f>
        <v>0</v>
      </c>
      <c r="C385" t="s">
        <v>883</v>
      </c>
      <c r="D385">
        <v>25</v>
      </c>
      <c r="E385">
        <v>26.87</v>
      </c>
      <c r="F385">
        <v>37</v>
      </c>
      <c r="G385">
        <v>0.7262162162162162</v>
      </c>
      <c r="H385">
        <v>0.03907703758838853</v>
      </c>
      <c r="I385">
        <v>0.06607267410600404</v>
      </c>
      <c r="J385">
        <v>0.03</v>
      </c>
      <c r="K385">
        <v>0.127609889597301</v>
      </c>
      <c r="L385" t="s">
        <v>573</v>
      </c>
      <c r="M385" t="s">
        <v>887</v>
      </c>
      <c r="N385">
        <v>6.618226600985222</v>
      </c>
      <c r="O385">
        <v>4.06</v>
      </c>
      <c r="P385">
        <v>1.05</v>
      </c>
      <c r="Q385">
        <v>0.2586206896551724</v>
      </c>
      <c r="R385">
        <v>12</v>
      </c>
      <c r="S385">
        <v>0.04998501218567775</v>
      </c>
      <c r="T385" t="s">
        <v>955</v>
      </c>
      <c r="U385">
        <v>-0.265598180804425</v>
      </c>
      <c r="V385" t="s">
        <v>986</v>
      </c>
      <c r="W385" t="s">
        <v>993</v>
      </c>
      <c r="X385">
        <v>26390.257539</v>
      </c>
      <c r="Y385" s="2">
        <v>44830</v>
      </c>
      <c r="Z385" t="s">
        <v>1007</v>
      </c>
    </row>
    <row r="386" spans="1:26">
      <c r="A386" s="1" t="s">
        <v>410</v>
      </c>
      <c r="B386">
        <f>HYPERLINK("https://www.suredividend.com/sure-analysis-EQNR/","Equinor ASA")</f>
        <v>0</v>
      </c>
      <c r="C386" t="s">
        <v>883</v>
      </c>
      <c r="D386">
        <v>37</v>
      </c>
      <c r="E386">
        <v>35.81</v>
      </c>
      <c r="F386">
        <v>84</v>
      </c>
      <c r="G386">
        <v>0.4263095238095239</v>
      </c>
      <c r="H386">
        <v>0.02234012845573862</v>
      </c>
      <c r="I386">
        <v>0.1859189069283049</v>
      </c>
      <c r="J386">
        <v>-0.07000000000000001</v>
      </c>
      <c r="K386">
        <v>0.1253914273688739</v>
      </c>
      <c r="L386" t="s">
        <v>573</v>
      </c>
      <c r="M386" t="s">
        <v>572</v>
      </c>
      <c r="N386">
        <v>5.115714285714286</v>
      </c>
      <c r="O386">
        <v>7</v>
      </c>
      <c r="P386">
        <v>0.8</v>
      </c>
      <c r="Q386">
        <v>0.1142857142857143</v>
      </c>
      <c r="R386">
        <v>1</v>
      </c>
      <c r="S386">
        <v>0.1501306516611158</v>
      </c>
      <c r="T386" t="s">
        <v>914</v>
      </c>
      <c r="U386">
        <v>0.381345471377873</v>
      </c>
      <c r="V386" t="s">
        <v>986</v>
      </c>
      <c r="W386" t="s">
        <v>999</v>
      </c>
      <c r="X386">
        <v>113713.586394</v>
      </c>
      <c r="Y386" s="2">
        <v>44864</v>
      </c>
      <c r="Z386" t="s">
        <v>1011</v>
      </c>
    </row>
    <row r="387" spans="1:26">
      <c r="A387" s="1" t="s">
        <v>411</v>
      </c>
      <c r="B387">
        <f>HYPERLINK("https://www.suredividend.com/sure-analysis-UHT/","Universal Health Realty Income Trust")</f>
        <v>0</v>
      </c>
      <c r="C387" t="s">
        <v>883</v>
      </c>
      <c r="D387">
        <v>49.5</v>
      </c>
      <c r="E387">
        <v>47.73</v>
      </c>
      <c r="F387">
        <v>63.1</v>
      </c>
      <c r="G387">
        <v>0.756418383518225</v>
      </c>
      <c r="H387">
        <v>0.05950136182694322</v>
      </c>
      <c r="I387">
        <v>0.05742015728848138</v>
      </c>
      <c r="J387">
        <v>0.025</v>
      </c>
      <c r="K387">
        <v>0.1246845082121106</v>
      </c>
      <c r="L387" t="s">
        <v>573</v>
      </c>
      <c r="M387" t="s">
        <v>886</v>
      </c>
      <c r="N387">
        <v>13.00544959128065</v>
      </c>
      <c r="O387">
        <v>3.67</v>
      </c>
      <c r="P387">
        <v>2.84</v>
      </c>
      <c r="Q387">
        <v>0.773841961852861</v>
      </c>
      <c r="R387">
        <v>18</v>
      </c>
      <c r="S387">
        <v>0.006945112039690615</v>
      </c>
      <c r="T387" t="s">
        <v>888</v>
      </c>
      <c r="U387">
        <v>-0.152942429190033</v>
      </c>
      <c r="V387" t="s">
        <v>987</v>
      </c>
      <c r="W387" t="s">
        <v>1000</v>
      </c>
      <c r="X387">
        <v>658.779388</v>
      </c>
      <c r="Y387" s="2">
        <v>44880</v>
      </c>
      <c r="Z387" t="s">
        <v>1009</v>
      </c>
    </row>
    <row r="388" spans="1:26">
      <c r="A388" s="1" t="s">
        <v>412</v>
      </c>
      <c r="B388">
        <f>HYPERLINK("https://www.suredividend.com/sure-analysis-SYF/","Synchrony Financial")</f>
        <v>0</v>
      </c>
      <c r="C388" t="s">
        <v>883</v>
      </c>
      <c r="D388">
        <v>35</v>
      </c>
      <c r="E388">
        <v>32.86</v>
      </c>
      <c r="F388">
        <v>46</v>
      </c>
      <c r="G388">
        <v>0.7143478260869565</v>
      </c>
      <c r="H388">
        <v>0.02799756542909312</v>
      </c>
      <c r="I388">
        <v>0.06959177477596401</v>
      </c>
      <c r="J388">
        <v>0.03</v>
      </c>
      <c r="K388">
        <v>0.1228556572615012</v>
      </c>
      <c r="L388" t="s">
        <v>573</v>
      </c>
      <c r="M388" t="s">
        <v>572</v>
      </c>
      <c r="N388">
        <v>5.665517241379311</v>
      </c>
      <c r="O388">
        <v>5.8</v>
      </c>
      <c r="P388">
        <v>0.92</v>
      </c>
      <c r="Q388">
        <v>0.1586206896551724</v>
      </c>
      <c r="R388">
        <v>1</v>
      </c>
      <c r="S388">
        <v>0.04925151964895069</v>
      </c>
      <c r="T388" t="s">
        <v>932</v>
      </c>
      <c r="U388">
        <v>-0.272221496264764</v>
      </c>
      <c r="V388" t="s">
        <v>986</v>
      </c>
      <c r="W388" t="s">
        <v>994</v>
      </c>
      <c r="X388">
        <v>14804.791324</v>
      </c>
      <c r="Y388" s="2">
        <v>44859</v>
      </c>
      <c r="Z388" t="s">
        <v>1007</v>
      </c>
    </row>
    <row r="389" spans="1:26">
      <c r="A389" s="1" t="s">
        <v>413</v>
      </c>
      <c r="B389">
        <f>HYPERLINK("https://www.suredividend.com/sure-analysis-DLR/","Digital Realty Trust Inc")</f>
        <v>0</v>
      </c>
      <c r="C389" t="s">
        <v>883</v>
      </c>
      <c r="D389">
        <v>100</v>
      </c>
      <c r="E389">
        <v>100.27</v>
      </c>
      <c r="F389">
        <v>114</v>
      </c>
      <c r="G389">
        <v>0.8795614035087719</v>
      </c>
      <c r="H389">
        <v>0.04866859479405605</v>
      </c>
      <c r="I389">
        <v>0.02599859789311454</v>
      </c>
      <c r="J389">
        <v>0.055</v>
      </c>
      <c r="K389">
        <v>0.1218213185007511</v>
      </c>
      <c r="L389" t="s">
        <v>573</v>
      </c>
      <c r="M389" t="s">
        <v>887</v>
      </c>
      <c r="N389">
        <v>14.89895988112927</v>
      </c>
      <c r="O389">
        <v>6.73</v>
      </c>
      <c r="P389">
        <v>4.88</v>
      </c>
      <c r="Q389">
        <v>0.725111441307578</v>
      </c>
      <c r="R389">
        <v>17</v>
      </c>
      <c r="S389">
        <v>0.05998244289972532</v>
      </c>
      <c r="T389" t="s">
        <v>901</v>
      </c>
      <c r="U389">
        <v>-0.407384904893167</v>
      </c>
      <c r="V389" t="s">
        <v>987</v>
      </c>
      <c r="W389" t="s">
        <v>1000</v>
      </c>
      <c r="X389">
        <v>28829.858514</v>
      </c>
      <c r="Y389" s="2">
        <v>44867</v>
      </c>
      <c r="Z389" t="s">
        <v>1008</v>
      </c>
    </row>
    <row r="390" spans="1:26">
      <c r="A390" s="1" t="s">
        <v>414</v>
      </c>
      <c r="B390">
        <f>HYPERLINK("https://www.suredividend.com/sure-analysis-HCSG/","Healthcare Services Group, Inc.")</f>
        <v>0</v>
      </c>
      <c r="C390" t="s">
        <v>884</v>
      </c>
      <c r="D390">
        <v>13</v>
      </c>
      <c r="E390">
        <v>12</v>
      </c>
      <c r="F390">
        <v>15</v>
      </c>
      <c r="G390">
        <v>0.8</v>
      </c>
      <c r="H390">
        <v>0.07166666666666667</v>
      </c>
      <c r="I390">
        <v>0.04563955259127317</v>
      </c>
      <c r="J390">
        <v>0.02</v>
      </c>
      <c r="K390">
        <v>0.1182189663258615</v>
      </c>
      <c r="L390" t="s">
        <v>573</v>
      </c>
      <c r="M390" t="s">
        <v>886</v>
      </c>
      <c r="N390">
        <v>12</v>
      </c>
      <c r="O390">
        <v>1</v>
      </c>
      <c r="P390">
        <v>0.86</v>
      </c>
      <c r="Q390">
        <v>0.86</v>
      </c>
      <c r="R390">
        <v>19</v>
      </c>
      <c r="S390">
        <v>0.00913393693363318</v>
      </c>
      <c r="T390" t="s">
        <v>894</v>
      </c>
      <c r="U390">
        <v>-0.270600964022392</v>
      </c>
      <c r="V390" t="s">
        <v>986</v>
      </c>
      <c r="W390" t="s">
        <v>991</v>
      </c>
      <c r="X390">
        <v>889.056</v>
      </c>
      <c r="Y390" s="2">
        <v>44855</v>
      </c>
      <c r="Z390" t="s">
        <v>1013</v>
      </c>
    </row>
    <row r="391" spans="1:26">
      <c r="A391" s="1" t="s">
        <v>415</v>
      </c>
      <c r="B391">
        <f>HYPERLINK("https://www.suredividend.com/sure-analysis-VTRS/","Viatris Inc")</f>
        <v>0</v>
      </c>
      <c r="C391" t="s">
        <v>883</v>
      </c>
      <c r="D391">
        <v>11.1</v>
      </c>
      <c r="E391">
        <v>11.13</v>
      </c>
      <c r="F391">
        <v>16</v>
      </c>
      <c r="G391">
        <v>0.695625</v>
      </c>
      <c r="H391">
        <v>0.04312668463611859</v>
      </c>
      <c r="I391">
        <v>0.07528840722751506</v>
      </c>
      <c r="J391">
        <v>0.01</v>
      </c>
      <c r="K391">
        <v>0.117122467183999</v>
      </c>
      <c r="L391" t="s">
        <v>573</v>
      </c>
      <c r="M391" t="s">
        <v>887</v>
      </c>
      <c r="N391">
        <v>3.478125</v>
      </c>
      <c r="O391">
        <v>3.2</v>
      </c>
      <c r="P391">
        <v>0.48</v>
      </c>
      <c r="Q391">
        <v>0.15</v>
      </c>
      <c r="R391">
        <v>1</v>
      </c>
      <c r="S391">
        <v>0.02001586442069092</v>
      </c>
      <c r="T391" t="s">
        <v>924</v>
      </c>
      <c r="U391">
        <v>-0.144181897870835</v>
      </c>
      <c r="V391" t="s">
        <v>986</v>
      </c>
      <c r="W391" t="s">
        <v>998</v>
      </c>
      <c r="X391">
        <v>13497.179576</v>
      </c>
      <c r="Y391" s="2">
        <v>44872</v>
      </c>
      <c r="Z391" t="s">
        <v>1012</v>
      </c>
    </row>
    <row r="392" spans="1:26">
      <c r="A392" s="1" t="s">
        <v>416</v>
      </c>
      <c r="B392">
        <f>HYPERLINK("https://www.suredividend.com/sure-analysis-WGO/","Winnebago Industries, Inc.")</f>
        <v>0</v>
      </c>
      <c r="C392" t="s">
        <v>883</v>
      </c>
      <c r="D392">
        <v>54</v>
      </c>
      <c r="E392">
        <v>52.7</v>
      </c>
      <c r="F392">
        <v>70</v>
      </c>
      <c r="G392">
        <v>0.7528571428571429</v>
      </c>
      <c r="H392">
        <v>0.02049335863377609</v>
      </c>
      <c r="I392">
        <v>0.05841865285750036</v>
      </c>
      <c r="J392">
        <v>0.04</v>
      </c>
      <c r="K392">
        <v>0.1165074462829263</v>
      </c>
      <c r="L392" t="s">
        <v>573</v>
      </c>
      <c r="M392" t="s">
        <v>572</v>
      </c>
      <c r="N392">
        <v>7.496443812233286</v>
      </c>
      <c r="O392">
        <v>7.03</v>
      </c>
      <c r="P392">
        <v>1.08</v>
      </c>
      <c r="Q392">
        <v>0.1536273115220484</v>
      </c>
      <c r="R392">
        <v>4</v>
      </c>
      <c r="S392">
        <v>0.05024607263868264</v>
      </c>
      <c r="T392" t="s">
        <v>963</v>
      </c>
      <c r="U392">
        <v>-0.288149512915966</v>
      </c>
      <c r="V392" t="s">
        <v>986</v>
      </c>
      <c r="W392" t="s">
        <v>992</v>
      </c>
      <c r="X392">
        <v>1609.565719</v>
      </c>
      <c r="Y392" s="2">
        <v>44853</v>
      </c>
      <c r="Z392" t="s">
        <v>1017</v>
      </c>
    </row>
    <row r="393" spans="1:26">
      <c r="A393" s="1" t="s">
        <v>417</v>
      </c>
      <c r="B393">
        <f>HYPERLINK("https://www.suredividend.com/sure-analysis-FNF/","Fidelity National Financial Inc")</f>
        <v>0</v>
      </c>
      <c r="C393" t="s">
        <v>884</v>
      </c>
      <c r="D393">
        <v>40</v>
      </c>
      <c r="E393">
        <v>37.62</v>
      </c>
      <c r="F393">
        <v>53</v>
      </c>
      <c r="G393">
        <v>0.709811320754717</v>
      </c>
      <c r="H393">
        <v>0.04678362573099416</v>
      </c>
      <c r="I393">
        <v>0.0709554756751456</v>
      </c>
      <c r="J393">
        <v>0.01</v>
      </c>
      <c r="K393">
        <v>0.1157006974031838</v>
      </c>
      <c r="L393" t="s">
        <v>573</v>
      </c>
      <c r="M393" t="s">
        <v>887</v>
      </c>
      <c r="N393">
        <v>6.397959183673469</v>
      </c>
      <c r="O393">
        <v>5.88</v>
      </c>
      <c r="P393">
        <v>1.76</v>
      </c>
      <c r="Q393">
        <v>0.2993197278911565</v>
      </c>
      <c r="R393">
        <v>12</v>
      </c>
      <c r="S393">
        <v>0.01966570441215199</v>
      </c>
      <c r="T393" t="s">
        <v>888</v>
      </c>
      <c r="U393">
        <v>-0.244084995227809</v>
      </c>
      <c r="V393" t="s">
        <v>986</v>
      </c>
      <c r="W393" t="s">
        <v>994</v>
      </c>
      <c r="X393">
        <v>10237.607608</v>
      </c>
      <c r="Y393" s="2">
        <v>44882</v>
      </c>
      <c r="Z393" t="s">
        <v>1008</v>
      </c>
    </row>
    <row r="394" spans="1:26">
      <c r="A394" s="1" t="s">
        <v>418</v>
      </c>
      <c r="B394">
        <f>HYPERLINK("https://www.suredividend.com/sure-analysis-TX/","Ternium S.A.")</f>
        <v>0</v>
      </c>
      <c r="C394" t="s">
        <v>883</v>
      </c>
      <c r="D394">
        <v>33</v>
      </c>
      <c r="E394">
        <v>30.56</v>
      </c>
      <c r="F394">
        <v>79</v>
      </c>
      <c r="G394">
        <v>0.3868354430379747</v>
      </c>
      <c r="H394">
        <v>0.08835078534031414</v>
      </c>
      <c r="I394">
        <v>0.2091905606716697</v>
      </c>
      <c r="J394">
        <v>-0.15</v>
      </c>
      <c r="K394">
        <v>0.1149513822779822</v>
      </c>
      <c r="L394" t="s">
        <v>573</v>
      </c>
      <c r="M394" t="s">
        <v>886</v>
      </c>
      <c r="N394">
        <v>2.500818330605564</v>
      </c>
      <c r="O394">
        <v>12.22</v>
      </c>
      <c r="P394">
        <v>2.7</v>
      </c>
      <c r="Q394">
        <v>0.220949263502455</v>
      </c>
      <c r="R394">
        <v>0</v>
      </c>
      <c r="S394">
        <v>0.08977506465822516</v>
      </c>
      <c r="T394" t="s">
        <v>907</v>
      </c>
      <c r="U394">
        <v>-0.237469777004823</v>
      </c>
      <c r="V394" t="s">
        <v>986</v>
      </c>
      <c r="W394" t="s">
        <v>990</v>
      </c>
      <c r="X394">
        <v>6126.495953</v>
      </c>
      <c r="Y394" s="2">
        <v>44882</v>
      </c>
      <c r="Z394" t="s">
        <v>1008</v>
      </c>
    </row>
    <row r="395" spans="1:26">
      <c r="A395" s="1" t="s">
        <v>419</v>
      </c>
      <c r="B395">
        <f>HYPERLINK("https://www.suredividend.com/sure-analysis-BAC/","Bank Of America Corp.")</f>
        <v>0</v>
      </c>
      <c r="C395" t="s">
        <v>883</v>
      </c>
      <c r="D395">
        <v>35</v>
      </c>
      <c r="E395">
        <v>33.12</v>
      </c>
      <c r="F395">
        <v>35</v>
      </c>
      <c r="G395">
        <v>0.9462857142857142</v>
      </c>
      <c r="H395">
        <v>0.02657004830917875</v>
      </c>
      <c r="I395">
        <v>0.01110333590675738</v>
      </c>
      <c r="J395">
        <v>0.08</v>
      </c>
      <c r="K395">
        <v>0.1146733878571018</v>
      </c>
      <c r="L395" t="s">
        <v>573</v>
      </c>
      <c r="M395" t="s">
        <v>572</v>
      </c>
      <c r="N395">
        <v>10.35</v>
      </c>
      <c r="O395">
        <v>3.2</v>
      </c>
      <c r="P395">
        <v>0.88</v>
      </c>
      <c r="Q395">
        <v>0.275</v>
      </c>
      <c r="R395">
        <v>10</v>
      </c>
      <c r="S395">
        <v>0.07949692019517696</v>
      </c>
      <c r="T395" t="s">
        <v>889</v>
      </c>
      <c r="U395">
        <v>-0.238912877125333</v>
      </c>
      <c r="V395" t="s">
        <v>986</v>
      </c>
      <c r="W395" t="s">
        <v>994</v>
      </c>
      <c r="X395">
        <v>265702.955756</v>
      </c>
      <c r="Y395" s="2">
        <v>44853</v>
      </c>
      <c r="Z395" t="s">
        <v>1005</v>
      </c>
    </row>
    <row r="396" spans="1:26">
      <c r="A396" s="1" t="s">
        <v>420</v>
      </c>
      <c r="B396">
        <f>HYPERLINK("https://www.suredividend.com/sure-analysis-STN/","Stantec Inc")</f>
        <v>0</v>
      </c>
      <c r="C396" t="s">
        <v>883</v>
      </c>
      <c r="D396">
        <v>50</v>
      </c>
      <c r="E396">
        <v>47.94</v>
      </c>
      <c r="F396">
        <v>47</v>
      </c>
      <c r="G396">
        <v>1.02</v>
      </c>
      <c r="H396">
        <v>0.01126408010012516</v>
      </c>
      <c r="I396">
        <v>-0.003952692922012169</v>
      </c>
      <c r="J396">
        <v>0.11</v>
      </c>
      <c r="K396">
        <v>0.1144582589148737</v>
      </c>
      <c r="L396" t="s">
        <v>573</v>
      </c>
      <c r="M396" t="s">
        <v>631</v>
      </c>
      <c r="N396">
        <v>21.30666666666666</v>
      </c>
      <c r="O396">
        <v>2.25</v>
      </c>
      <c r="P396">
        <v>0.54</v>
      </c>
      <c r="Q396">
        <v>0.24</v>
      </c>
      <c r="R396">
        <v>10</v>
      </c>
      <c r="S396">
        <v>0.05922384104881218</v>
      </c>
      <c r="T396" t="s">
        <v>905</v>
      </c>
      <c r="U396">
        <v>-0.12963120981988</v>
      </c>
      <c r="V396" t="s">
        <v>986</v>
      </c>
      <c r="W396" t="s">
        <v>991</v>
      </c>
      <c r="X396">
        <v>5310.131005</v>
      </c>
      <c r="Y396" s="2">
        <v>44882</v>
      </c>
      <c r="Z396" t="s">
        <v>1011</v>
      </c>
    </row>
    <row r="397" spans="1:26">
      <c r="A397" s="1" t="s">
        <v>421</v>
      </c>
      <c r="B397">
        <f>HYPERLINK("https://www.suredividend.com/sure-analysis-KLAC/","KLA Corp.")</f>
        <v>0</v>
      </c>
      <c r="C397" t="s">
        <v>883</v>
      </c>
      <c r="D397">
        <v>385</v>
      </c>
      <c r="E397">
        <v>377.03</v>
      </c>
      <c r="F397">
        <v>415</v>
      </c>
      <c r="G397">
        <v>0.9085060240963855</v>
      </c>
      <c r="H397">
        <v>0.01379200594117179</v>
      </c>
      <c r="I397">
        <v>0.01937607817029319</v>
      </c>
      <c r="J397">
        <v>0.08</v>
      </c>
      <c r="K397">
        <v>0.1132524273803337</v>
      </c>
      <c r="L397" t="s">
        <v>573</v>
      </c>
      <c r="M397" t="s">
        <v>631</v>
      </c>
      <c r="N397">
        <v>15.45204918032787</v>
      </c>
      <c r="O397">
        <v>24.4</v>
      </c>
      <c r="P397">
        <v>5.2</v>
      </c>
      <c r="Q397">
        <v>0.2131147540983607</v>
      </c>
      <c r="R397">
        <v>13</v>
      </c>
      <c r="S397">
        <v>0.09987776596826192</v>
      </c>
      <c r="T397" t="s">
        <v>907</v>
      </c>
      <c r="U397">
        <v>-0.105685136554808</v>
      </c>
      <c r="V397" t="s">
        <v>986</v>
      </c>
      <c r="W397" t="s">
        <v>993</v>
      </c>
      <c r="X397">
        <v>53432.060829</v>
      </c>
      <c r="Y397" s="2">
        <v>44881</v>
      </c>
      <c r="Z397" t="s">
        <v>1007</v>
      </c>
    </row>
    <row r="398" spans="1:26">
      <c r="A398" s="1" t="s">
        <v>422</v>
      </c>
      <c r="B398">
        <f>HYPERLINK("https://www.suredividend.com/sure-analysis-MSM/","MSC Industrial Direct Co., Inc.")</f>
        <v>0</v>
      </c>
      <c r="C398" t="s">
        <v>883</v>
      </c>
      <c r="D398">
        <v>80</v>
      </c>
      <c r="E398">
        <v>81.7</v>
      </c>
      <c r="F398">
        <v>95</v>
      </c>
      <c r="G398">
        <v>0.86</v>
      </c>
      <c r="H398">
        <v>0.0386780905752754</v>
      </c>
      <c r="I398">
        <v>0.03062413800126618</v>
      </c>
      <c r="J398">
        <v>0.05</v>
      </c>
      <c r="K398">
        <v>0.1130517983171528</v>
      </c>
      <c r="L398" t="s">
        <v>573</v>
      </c>
      <c r="M398" t="s">
        <v>887</v>
      </c>
      <c r="N398">
        <v>13.28455284552846</v>
      </c>
      <c r="O398">
        <v>6.15</v>
      </c>
      <c r="P398">
        <v>3.16</v>
      </c>
      <c r="Q398">
        <v>0.5138211382113821</v>
      </c>
      <c r="R398">
        <v>1</v>
      </c>
      <c r="S398">
        <v>0.04984115279430545</v>
      </c>
      <c r="T398" t="s">
        <v>907</v>
      </c>
      <c r="U398">
        <v>0.010414566789392</v>
      </c>
      <c r="V398" t="s">
        <v>986</v>
      </c>
      <c r="W398" t="s">
        <v>991</v>
      </c>
      <c r="X398">
        <v>3865.883623</v>
      </c>
      <c r="Y398" s="2">
        <v>44861</v>
      </c>
      <c r="Z398" t="s">
        <v>1008</v>
      </c>
    </row>
    <row r="399" spans="1:26">
      <c r="A399" s="1" t="s">
        <v>423</v>
      </c>
      <c r="B399">
        <f>HYPERLINK("https://www.suredividend.com/sure-analysis-EVRG/","Evergy Inc")</f>
        <v>0</v>
      </c>
      <c r="C399" t="s">
        <v>883</v>
      </c>
      <c r="D399">
        <v>61</v>
      </c>
      <c r="E399">
        <v>62.93</v>
      </c>
      <c r="F399">
        <v>66</v>
      </c>
      <c r="G399">
        <v>0.9534848484848485</v>
      </c>
      <c r="H399">
        <v>0.0389321468298109</v>
      </c>
      <c r="I399">
        <v>0.009571868991116617</v>
      </c>
      <c r="J399">
        <v>0.07000000000000001</v>
      </c>
      <c r="K399">
        <v>0.1124407400898648</v>
      </c>
      <c r="L399" t="s">
        <v>573</v>
      </c>
      <c r="M399" t="s">
        <v>887</v>
      </c>
      <c r="N399">
        <v>17.72676056338028</v>
      </c>
      <c r="O399">
        <v>3.55</v>
      </c>
      <c r="P399">
        <v>2.45</v>
      </c>
      <c r="Q399">
        <v>0.6901408450704226</v>
      </c>
      <c r="R399">
        <v>18</v>
      </c>
      <c r="S399">
        <v>0.06008710530927752</v>
      </c>
      <c r="T399" t="s">
        <v>894</v>
      </c>
      <c r="U399">
        <v>-0.046448691878524</v>
      </c>
      <c r="V399" t="s">
        <v>986</v>
      </c>
      <c r="W399" t="s">
        <v>997</v>
      </c>
      <c r="X399">
        <v>14444.724708</v>
      </c>
      <c r="Y399" s="2">
        <v>44873</v>
      </c>
      <c r="Z399" t="s">
        <v>1003</v>
      </c>
    </row>
    <row r="400" spans="1:26">
      <c r="A400" s="1" t="s">
        <v>424</v>
      </c>
      <c r="B400">
        <f>HYPERLINK("https://www.suredividend.com/sure-analysis-MA/","Mastercard Incorporated")</f>
        <v>0</v>
      </c>
      <c r="C400" t="s">
        <v>883</v>
      </c>
      <c r="D400">
        <v>331</v>
      </c>
      <c r="E400">
        <v>347.73</v>
      </c>
      <c r="F400">
        <v>286</v>
      </c>
      <c r="G400">
        <v>1.215839160839161</v>
      </c>
      <c r="H400">
        <v>0.006556811319126908</v>
      </c>
      <c r="I400">
        <v>-0.03833286446468787</v>
      </c>
      <c r="J400">
        <v>0.15</v>
      </c>
      <c r="K400">
        <v>0.1120089144169647</v>
      </c>
      <c r="L400" t="s">
        <v>573</v>
      </c>
      <c r="M400" t="s">
        <v>631</v>
      </c>
      <c r="N400">
        <v>32.80471698113208</v>
      </c>
      <c r="O400">
        <v>10.6</v>
      </c>
      <c r="P400">
        <v>2.28</v>
      </c>
      <c r="Q400">
        <v>0.2150943396226415</v>
      </c>
      <c r="R400">
        <v>12</v>
      </c>
      <c r="S400">
        <v>0.1156096826663122</v>
      </c>
      <c r="T400" t="s">
        <v>903</v>
      </c>
      <c r="U400">
        <v>-0.031088589649173</v>
      </c>
      <c r="V400" t="s">
        <v>986</v>
      </c>
      <c r="W400" t="s">
        <v>994</v>
      </c>
      <c r="X400">
        <v>331665.931447</v>
      </c>
      <c r="Y400" s="2">
        <v>44864</v>
      </c>
      <c r="Z400" t="s">
        <v>1001</v>
      </c>
    </row>
    <row r="401" spans="1:26">
      <c r="A401" s="1" t="s">
        <v>425</v>
      </c>
      <c r="B401">
        <f>HYPERLINK("https://www.suredividend.com/sure-analysis-ESRT/","Empire State Realty Trust Inc")</f>
        <v>0</v>
      </c>
      <c r="C401" t="s">
        <v>883</v>
      </c>
      <c r="D401">
        <v>7</v>
      </c>
      <c r="E401">
        <v>6.74</v>
      </c>
      <c r="F401">
        <v>9.24</v>
      </c>
      <c r="G401">
        <v>0.7294372294372294</v>
      </c>
      <c r="H401">
        <v>0.02077151335311573</v>
      </c>
      <c r="I401">
        <v>0.06512950440173237</v>
      </c>
      <c r="J401">
        <v>0.02</v>
      </c>
      <c r="K401">
        <v>0.1119195876677241</v>
      </c>
      <c r="L401" t="s">
        <v>573</v>
      </c>
      <c r="M401" t="s">
        <v>572</v>
      </c>
      <c r="N401">
        <v>8.023809523809524</v>
      </c>
      <c r="O401">
        <v>0.84</v>
      </c>
      <c r="P401">
        <v>0.14</v>
      </c>
      <c r="Q401">
        <v>0.1666666666666667</v>
      </c>
      <c r="R401">
        <v>0</v>
      </c>
      <c r="S401">
        <v>0.2011244339814311</v>
      </c>
      <c r="T401" t="s">
        <v>904</v>
      </c>
      <c r="U401">
        <v>-0.233402713799888</v>
      </c>
      <c r="V401" t="s">
        <v>987</v>
      </c>
      <c r="W401" t="s">
        <v>1000</v>
      </c>
      <c r="X401">
        <v>1081.291042</v>
      </c>
      <c r="Y401" s="2">
        <v>44861</v>
      </c>
      <c r="Z401" t="s">
        <v>1011</v>
      </c>
    </row>
    <row r="402" spans="1:26">
      <c r="A402" s="1" t="s">
        <v>426</v>
      </c>
      <c r="B402">
        <f>HYPERLINK("https://www.suredividend.com/sure-analysis-POR/","Portland General Electric Co")</f>
        <v>0</v>
      </c>
      <c r="C402" t="s">
        <v>883</v>
      </c>
      <c r="D402">
        <v>45</v>
      </c>
      <c r="E402">
        <v>49</v>
      </c>
      <c r="F402">
        <v>54</v>
      </c>
      <c r="G402">
        <v>0.9074074074074074</v>
      </c>
      <c r="H402">
        <v>0.03693877551020408</v>
      </c>
      <c r="I402">
        <v>0.01962279460665517</v>
      </c>
      <c r="J402">
        <v>0.06</v>
      </c>
      <c r="K402">
        <v>0.1113560010869465</v>
      </c>
      <c r="L402" t="s">
        <v>573</v>
      </c>
      <c r="M402" t="s">
        <v>887</v>
      </c>
      <c r="N402">
        <v>17.3758865248227</v>
      </c>
      <c r="O402">
        <v>2.82</v>
      </c>
      <c r="P402">
        <v>1.81</v>
      </c>
      <c r="Q402">
        <v>0.6418439716312058</v>
      </c>
      <c r="R402">
        <v>15</v>
      </c>
      <c r="S402">
        <v>0.05980840202347104</v>
      </c>
      <c r="T402" t="s">
        <v>913</v>
      </c>
      <c r="U402">
        <v>-0.036377724199505</v>
      </c>
      <c r="V402" t="s">
        <v>986</v>
      </c>
      <c r="W402" t="s">
        <v>997</v>
      </c>
      <c r="X402">
        <v>4374.372296</v>
      </c>
      <c r="Y402" s="2">
        <v>44867</v>
      </c>
      <c r="Z402" t="s">
        <v>1008</v>
      </c>
    </row>
    <row r="403" spans="1:26">
      <c r="A403" s="1" t="s">
        <v>427</v>
      </c>
      <c r="B403">
        <f>HYPERLINK("https://www.suredividend.com/sure-analysis-BC/","Brunswick Corp.")</f>
        <v>0</v>
      </c>
      <c r="C403" t="s">
        <v>883</v>
      </c>
      <c r="D403">
        <v>71</v>
      </c>
      <c r="E403">
        <v>72.08</v>
      </c>
      <c r="F403">
        <v>100</v>
      </c>
      <c r="G403">
        <v>0.7208</v>
      </c>
      <c r="H403">
        <v>0.02025527192008879</v>
      </c>
      <c r="I403">
        <v>0.06767001122175365</v>
      </c>
      <c r="J403">
        <v>0.025</v>
      </c>
      <c r="K403">
        <v>0.1112253565508261</v>
      </c>
      <c r="L403" t="s">
        <v>573</v>
      </c>
      <c r="M403" t="s">
        <v>572</v>
      </c>
      <c r="N403">
        <v>7.208</v>
      </c>
      <c r="O403">
        <v>10</v>
      </c>
      <c r="P403">
        <v>1.46</v>
      </c>
      <c r="Q403">
        <v>0.146</v>
      </c>
      <c r="R403">
        <v>10</v>
      </c>
      <c r="S403">
        <v>0.070237590997412</v>
      </c>
      <c r="T403" t="s">
        <v>924</v>
      </c>
      <c r="U403">
        <v>-0.26120365995279</v>
      </c>
      <c r="V403" t="s">
        <v>986</v>
      </c>
      <c r="W403" t="s">
        <v>992</v>
      </c>
      <c r="X403">
        <v>5226.269601</v>
      </c>
      <c r="Y403" s="2">
        <v>44862</v>
      </c>
      <c r="Z403" t="s">
        <v>1011</v>
      </c>
    </row>
    <row r="404" spans="1:26">
      <c r="A404" s="1" t="s">
        <v>428</v>
      </c>
      <c r="B404">
        <f>HYPERLINK("https://www.suredividend.com/sure-analysis-BK/","Bank Of New York Mellon Corp")</f>
        <v>0</v>
      </c>
      <c r="C404" t="s">
        <v>883</v>
      </c>
      <c r="D404">
        <v>40</v>
      </c>
      <c r="E404">
        <v>45.52</v>
      </c>
      <c r="F404">
        <v>51</v>
      </c>
      <c r="G404">
        <v>0.8925490196078432</v>
      </c>
      <c r="H404">
        <v>0.03251318101933216</v>
      </c>
      <c r="I404">
        <v>0.0229951731002187</v>
      </c>
      <c r="J404">
        <v>0.06</v>
      </c>
      <c r="K404">
        <v>0.1103921685642033</v>
      </c>
      <c r="L404" t="s">
        <v>573</v>
      </c>
      <c r="M404" t="s">
        <v>573</v>
      </c>
      <c r="N404">
        <v>10.71058823529412</v>
      </c>
      <c r="O404">
        <v>4.25</v>
      </c>
      <c r="P404">
        <v>1.48</v>
      </c>
      <c r="Q404">
        <v>0.348235294117647</v>
      </c>
      <c r="R404">
        <v>12</v>
      </c>
      <c r="S404">
        <v>0.0501226304546607</v>
      </c>
      <c r="T404" t="s">
        <v>954</v>
      </c>
      <c r="U404">
        <v>-0.18987125502326</v>
      </c>
      <c r="V404" t="s">
        <v>986</v>
      </c>
      <c r="W404" t="s">
        <v>994</v>
      </c>
      <c r="X404">
        <v>36792.903278</v>
      </c>
      <c r="Y404" s="2">
        <v>44853</v>
      </c>
      <c r="Z404" t="s">
        <v>1005</v>
      </c>
    </row>
    <row r="405" spans="1:26">
      <c r="A405" s="1" t="s">
        <v>429</v>
      </c>
      <c r="B405">
        <f>HYPERLINK("https://www.suredividend.com/sure-analysis-CE/","Celanese Corp")</f>
        <v>0</v>
      </c>
      <c r="C405" t="s">
        <v>883</v>
      </c>
      <c r="D405">
        <v>94</v>
      </c>
      <c r="E405">
        <v>102.24</v>
      </c>
      <c r="F405">
        <v>146</v>
      </c>
      <c r="G405">
        <v>0.7002739726027397</v>
      </c>
      <c r="H405">
        <v>0.02738654147104851</v>
      </c>
      <c r="I405">
        <v>0.07385687769586391</v>
      </c>
      <c r="J405">
        <v>0.01</v>
      </c>
      <c r="K405">
        <v>0.1099643695264454</v>
      </c>
      <c r="L405" t="s">
        <v>573</v>
      </c>
      <c r="M405" t="s">
        <v>573</v>
      </c>
      <c r="N405">
        <v>6.303329223181258</v>
      </c>
      <c r="O405">
        <v>16.22</v>
      </c>
      <c r="P405">
        <v>2.8</v>
      </c>
      <c r="Q405">
        <v>0.1726263871763255</v>
      </c>
      <c r="R405">
        <v>12</v>
      </c>
      <c r="S405">
        <v>0.1000279045625294</v>
      </c>
      <c r="T405" t="s">
        <v>926</v>
      </c>
      <c r="U405">
        <v>-0.370509244721919</v>
      </c>
      <c r="V405" t="s">
        <v>986</v>
      </c>
      <c r="W405" t="s">
        <v>991</v>
      </c>
      <c r="X405">
        <v>11085.685979</v>
      </c>
      <c r="Y405" s="2">
        <v>44874</v>
      </c>
      <c r="Z405" t="s">
        <v>1008</v>
      </c>
    </row>
    <row r="406" spans="1:26">
      <c r="A406" s="1" t="s">
        <v>430</v>
      </c>
      <c r="B406">
        <f>HYPERLINK("https://www.suredividend.com/sure-analysis-LRCX/","Lam Research Corp.")</f>
        <v>0</v>
      </c>
      <c r="C406" t="s">
        <v>883</v>
      </c>
      <c r="D406">
        <v>406</v>
      </c>
      <c r="E406">
        <v>420.3</v>
      </c>
      <c r="F406">
        <v>450</v>
      </c>
      <c r="G406">
        <v>0.9340000000000001</v>
      </c>
      <c r="H406">
        <v>0.01534618129907209</v>
      </c>
      <c r="I406">
        <v>0.01374943402674988</v>
      </c>
      <c r="J406">
        <v>0.08</v>
      </c>
      <c r="K406">
        <v>0.1080630245487628</v>
      </c>
      <c r="L406" t="s">
        <v>573</v>
      </c>
      <c r="M406" t="s">
        <v>572</v>
      </c>
      <c r="N406">
        <v>12.12987012987013</v>
      </c>
      <c r="O406">
        <v>34.65</v>
      </c>
      <c r="P406">
        <v>6.45</v>
      </c>
      <c r="Q406">
        <v>0.1861471861471862</v>
      </c>
      <c r="R406">
        <v>9</v>
      </c>
      <c r="S406">
        <v>0.0800645815630181</v>
      </c>
      <c r="T406" t="s">
        <v>955</v>
      </c>
      <c r="U406">
        <v>-0.40655458554128</v>
      </c>
      <c r="V406" t="s">
        <v>986</v>
      </c>
      <c r="W406" t="s">
        <v>993</v>
      </c>
      <c r="X406">
        <v>57320.234921</v>
      </c>
      <c r="Y406" s="2">
        <v>44867</v>
      </c>
      <c r="Z406" t="s">
        <v>1006</v>
      </c>
    </row>
    <row r="407" spans="1:26">
      <c r="A407" s="1" t="s">
        <v>431</v>
      </c>
      <c r="B407">
        <f>HYPERLINK("https://www.suredividend.com/sure-analysis-SWX/","Southwest Gas Holdings Inc")</f>
        <v>0</v>
      </c>
      <c r="C407" t="s">
        <v>884</v>
      </c>
      <c r="D407">
        <v>70</v>
      </c>
      <c r="E407">
        <v>61.88</v>
      </c>
      <c r="F407">
        <v>66</v>
      </c>
      <c r="G407">
        <v>0.9375757575757576</v>
      </c>
      <c r="H407">
        <v>0.04007756948933419</v>
      </c>
      <c r="I407">
        <v>0.01297499744029462</v>
      </c>
      <c r="J407">
        <v>0.06</v>
      </c>
      <c r="K407">
        <v>0.1066276805047419</v>
      </c>
      <c r="L407" t="s">
        <v>573</v>
      </c>
      <c r="M407" t="s">
        <v>887</v>
      </c>
      <c r="N407">
        <v>17.43098591549296</v>
      </c>
      <c r="O407">
        <v>3.55</v>
      </c>
      <c r="P407">
        <v>2.48</v>
      </c>
      <c r="Q407">
        <v>0.6985915492957747</v>
      </c>
      <c r="R407">
        <v>15</v>
      </c>
      <c r="S407">
        <v>0.04965621207400783</v>
      </c>
      <c r="T407" t="s">
        <v>907</v>
      </c>
      <c r="U407">
        <v>-0.085421728771674</v>
      </c>
      <c r="V407" t="s">
        <v>986</v>
      </c>
      <c r="W407" t="s">
        <v>997</v>
      </c>
      <c r="X407">
        <v>4150.156825</v>
      </c>
      <c r="Y407" s="2">
        <v>44889</v>
      </c>
      <c r="Z407" t="s">
        <v>1008</v>
      </c>
    </row>
    <row r="408" spans="1:26">
      <c r="A408" s="1" t="s">
        <v>432</v>
      </c>
      <c r="B408">
        <f>HYPERLINK("https://www.suredividend.com/sure-analysis-SKM/","SK Telecom Co Ltd")</f>
        <v>0</v>
      </c>
      <c r="C408" t="s">
        <v>884</v>
      </c>
      <c r="D408">
        <v>21</v>
      </c>
      <c r="E408">
        <v>20.59</v>
      </c>
      <c r="F408">
        <v>21</v>
      </c>
      <c r="G408">
        <v>0.9804761904761905</v>
      </c>
      <c r="H408">
        <v>0.06750849927149101</v>
      </c>
      <c r="I408">
        <v>0.003951168703012709</v>
      </c>
      <c r="J408">
        <v>0.05</v>
      </c>
      <c r="K408">
        <v>0.1052579332777435</v>
      </c>
      <c r="L408" t="s">
        <v>573</v>
      </c>
      <c r="M408" t="s">
        <v>887</v>
      </c>
      <c r="N408">
        <v>10.95212765957447</v>
      </c>
      <c r="O408">
        <v>1.88</v>
      </c>
      <c r="P408">
        <v>1.39</v>
      </c>
      <c r="Q408">
        <v>0.7393617021276596</v>
      </c>
      <c r="R408">
        <v>0</v>
      </c>
      <c r="S408">
        <v>0.009874976669659308</v>
      </c>
      <c r="T408" t="s">
        <v>905</v>
      </c>
      <c r="U408">
        <v>-0.19743678694071</v>
      </c>
      <c r="V408" t="s">
        <v>986</v>
      </c>
      <c r="W408" t="s">
        <v>995</v>
      </c>
      <c r="X408">
        <v>8110.393979</v>
      </c>
      <c r="Y408" s="2">
        <v>44899</v>
      </c>
      <c r="Z408" t="s">
        <v>1008</v>
      </c>
    </row>
    <row r="409" spans="1:26">
      <c r="A409" s="1" t="s">
        <v>433</v>
      </c>
      <c r="B409">
        <f>HYPERLINK("https://www.suredividend.com/sure-analysis-MPLX/","MPLX LP")</f>
        <v>0</v>
      </c>
      <c r="C409" t="s">
        <v>884</v>
      </c>
      <c r="D409">
        <v>34</v>
      </c>
      <c r="E409">
        <v>32.84</v>
      </c>
      <c r="F409">
        <v>34</v>
      </c>
      <c r="G409">
        <v>0.9658823529411765</v>
      </c>
      <c r="H409">
        <v>0.09439707673568817</v>
      </c>
      <c r="I409">
        <v>0.00696680405701855</v>
      </c>
      <c r="J409">
        <v>0.02</v>
      </c>
      <c r="K409">
        <v>0.1045258432350871</v>
      </c>
      <c r="L409" t="s">
        <v>573</v>
      </c>
      <c r="M409" t="s">
        <v>886</v>
      </c>
      <c r="N409">
        <v>6.702040816326531</v>
      </c>
      <c r="O409">
        <v>4.9</v>
      </c>
      <c r="P409">
        <v>3.1</v>
      </c>
      <c r="Q409">
        <v>0.6326530612244897</v>
      </c>
      <c r="R409">
        <v>10</v>
      </c>
      <c r="S409">
        <v>0.01984197407544852</v>
      </c>
      <c r="T409" t="s">
        <v>907</v>
      </c>
      <c r="U409">
        <v>0.229607940781123</v>
      </c>
      <c r="V409" t="s">
        <v>988</v>
      </c>
      <c r="W409" t="s">
        <v>999</v>
      </c>
      <c r="X409">
        <v>32946.497132</v>
      </c>
      <c r="Y409" s="2">
        <v>44867</v>
      </c>
      <c r="Z409" t="s">
        <v>1003</v>
      </c>
    </row>
    <row r="410" spans="1:26">
      <c r="A410" s="1" t="s">
        <v>434</v>
      </c>
      <c r="B410">
        <f>HYPERLINK("https://www.suredividend.com/sure-analysis-OGS/","ONE Gas Inc")</f>
        <v>0</v>
      </c>
      <c r="C410" t="s">
        <v>883</v>
      </c>
      <c r="D410">
        <v>77</v>
      </c>
      <c r="E410">
        <v>75.72</v>
      </c>
      <c r="F410">
        <v>78</v>
      </c>
      <c r="G410">
        <v>0.9707692307692307</v>
      </c>
      <c r="H410">
        <v>0.03275224511357634</v>
      </c>
      <c r="I410">
        <v>0.00595093695895077</v>
      </c>
      <c r="J410">
        <v>0.07000000000000001</v>
      </c>
      <c r="K410">
        <v>0.1044652608839522</v>
      </c>
      <c r="L410" t="s">
        <v>573</v>
      </c>
      <c r="M410" t="s">
        <v>887</v>
      </c>
      <c r="N410">
        <v>18.55882352941176</v>
      </c>
      <c r="O410">
        <v>4.08</v>
      </c>
      <c r="P410">
        <v>2.48</v>
      </c>
      <c r="Q410">
        <v>0.6078431372549019</v>
      </c>
      <c r="R410">
        <v>8</v>
      </c>
      <c r="S410">
        <v>0.06513694131438896</v>
      </c>
      <c r="T410" t="s">
        <v>907</v>
      </c>
      <c r="U410">
        <v>0.00803552885921</v>
      </c>
      <c r="V410" t="s">
        <v>986</v>
      </c>
      <c r="W410" t="s">
        <v>997</v>
      </c>
      <c r="X410">
        <v>4099.559246</v>
      </c>
      <c r="Y410" s="2">
        <v>44866</v>
      </c>
      <c r="Z410" t="s">
        <v>1011</v>
      </c>
    </row>
    <row r="411" spans="1:26">
      <c r="A411" s="1" t="s">
        <v>435</v>
      </c>
      <c r="B411">
        <f>HYPERLINK("https://www.suredividend.com/sure-analysis-BWA/","BorgWarner Inc")</f>
        <v>0</v>
      </c>
      <c r="C411" t="s">
        <v>883</v>
      </c>
      <c r="D411">
        <v>38</v>
      </c>
      <c r="E411">
        <v>40.25</v>
      </c>
      <c r="F411">
        <v>48</v>
      </c>
      <c r="G411">
        <v>0.8385416666666666</v>
      </c>
      <c r="H411">
        <v>0.0168944099378882</v>
      </c>
      <c r="I411">
        <v>0.03584570713460411</v>
      </c>
      <c r="J411">
        <v>0.05</v>
      </c>
      <c r="K411">
        <v>0.0994513027600894</v>
      </c>
      <c r="L411" t="s">
        <v>573</v>
      </c>
      <c r="M411" t="s">
        <v>631</v>
      </c>
      <c r="N411">
        <v>9.252873563218392</v>
      </c>
      <c r="O411">
        <v>4.35</v>
      </c>
      <c r="P411">
        <v>0.68</v>
      </c>
      <c r="Q411">
        <v>0.1563218390804598</v>
      </c>
      <c r="R411">
        <v>0</v>
      </c>
      <c r="S411">
        <v>0</v>
      </c>
      <c r="T411" t="s">
        <v>891</v>
      </c>
      <c r="U411">
        <v>-0.09061537662079401</v>
      </c>
      <c r="V411" t="s">
        <v>986</v>
      </c>
      <c r="W411" t="s">
        <v>991</v>
      </c>
      <c r="X411">
        <v>9424.695683</v>
      </c>
      <c r="Y411" s="2">
        <v>44864</v>
      </c>
      <c r="Z411" t="s">
        <v>1001</v>
      </c>
    </row>
    <row r="412" spans="1:26">
      <c r="A412" s="1" t="s">
        <v>436</v>
      </c>
      <c r="B412">
        <f>HYPERLINK("https://www.suredividend.com/sure-analysis-O/","Realty Income Corp.")</f>
        <v>0</v>
      </c>
      <c r="C412" t="s">
        <v>884</v>
      </c>
      <c r="D412">
        <v>65</v>
      </c>
      <c r="E412">
        <v>63.43</v>
      </c>
      <c r="F412">
        <v>70</v>
      </c>
      <c r="G412">
        <v>0.9061428571428571</v>
      </c>
      <c r="H412">
        <v>0.04698092385306638</v>
      </c>
      <c r="I412">
        <v>0.01990721888424973</v>
      </c>
      <c r="J412">
        <v>0.04</v>
      </c>
      <c r="K412">
        <v>0.09903457220002587</v>
      </c>
      <c r="L412" t="s">
        <v>573</v>
      </c>
      <c r="M412" t="s">
        <v>886</v>
      </c>
      <c r="N412">
        <v>16.26410256410256</v>
      </c>
      <c r="O412">
        <v>3.9</v>
      </c>
      <c r="P412">
        <v>2.98</v>
      </c>
      <c r="Q412">
        <v>0.7641025641025642</v>
      </c>
      <c r="R412">
        <v>26</v>
      </c>
      <c r="S412">
        <v>0.03504063345723485</v>
      </c>
      <c r="T412" t="s">
        <v>898</v>
      </c>
      <c r="U412">
        <v>-0.07799872085586301</v>
      </c>
      <c r="V412" t="s">
        <v>987</v>
      </c>
      <c r="W412" t="s">
        <v>1000</v>
      </c>
      <c r="X412">
        <v>39780.369403</v>
      </c>
      <c r="Y412" s="2">
        <v>44888</v>
      </c>
      <c r="Z412" t="s">
        <v>1007</v>
      </c>
    </row>
    <row r="413" spans="1:26">
      <c r="A413" s="1" t="s">
        <v>437</v>
      </c>
      <c r="B413">
        <f>HYPERLINK("https://www.suredividend.com/sure-analysis-TYCB/","Calvin b. Taylor Bankshares, Inc.")</f>
        <v>0</v>
      </c>
      <c r="C413" t="s">
        <v>883</v>
      </c>
      <c r="D413">
        <v>42</v>
      </c>
      <c r="E413">
        <v>42.03</v>
      </c>
      <c r="F413">
        <v>49</v>
      </c>
      <c r="G413">
        <v>0.8577551020408164</v>
      </c>
      <c r="H413">
        <v>0.03140613847251963</v>
      </c>
      <c r="I413">
        <v>0.03116303954215471</v>
      </c>
      <c r="J413">
        <v>0.04</v>
      </c>
      <c r="K413">
        <v>0.09860399300025469</v>
      </c>
      <c r="L413" t="s">
        <v>573</v>
      </c>
      <c r="M413" t="s">
        <v>887</v>
      </c>
      <c r="N413">
        <v>10.25121951219512</v>
      </c>
      <c r="O413">
        <v>4.1</v>
      </c>
      <c r="P413">
        <v>1.32</v>
      </c>
      <c r="Q413">
        <v>0.3219512195121952</v>
      </c>
      <c r="R413">
        <v>32</v>
      </c>
      <c r="S413">
        <v>0.04941452284458392</v>
      </c>
      <c r="T413" t="s">
        <v>905</v>
      </c>
      <c r="U413">
        <v>0.173284946611766</v>
      </c>
      <c r="V413" t="s">
        <v>986</v>
      </c>
      <c r="W413" t="s">
        <v>994</v>
      </c>
      <c r="X413">
        <v>115.975901</v>
      </c>
      <c r="Y413" s="2">
        <v>44912</v>
      </c>
      <c r="Z413" t="s">
        <v>1007</v>
      </c>
    </row>
    <row r="414" spans="1:26">
      <c r="A414" s="1" t="s">
        <v>438</v>
      </c>
      <c r="B414">
        <f>HYPERLINK("https://www.suredividend.com/sure-analysis-ALE/","Allete, Inc.")</f>
        <v>0</v>
      </c>
      <c r="C414" t="s">
        <v>883</v>
      </c>
      <c r="D414">
        <v>61</v>
      </c>
      <c r="E414">
        <v>64.51000000000001</v>
      </c>
      <c r="F414">
        <v>73</v>
      </c>
      <c r="G414">
        <v>0.8836986301369864</v>
      </c>
      <c r="H414">
        <v>0.04030382886374206</v>
      </c>
      <c r="I414">
        <v>0.02503610680467561</v>
      </c>
      <c r="J414">
        <v>0.04</v>
      </c>
      <c r="K414">
        <v>0.09814653950842067</v>
      </c>
      <c r="L414" t="s">
        <v>573</v>
      </c>
      <c r="M414" t="s">
        <v>887</v>
      </c>
      <c r="N414">
        <v>17.20266666666667</v>
      </c>
      <c r="O414">
        <v>3.75</v>
      </c>
      <c r="P414">
        <v>2.6</v>
      </c>
      <c r="Q414">
        <v>0.6933333333333334</v>
      </c>
      <c r="R414">
        <v>11</v>
      </c>
      <c r="S414">
        <v>0.02971877064044981</v>
      </c>
      <c r="T414" t="s">
        <v>907</v>
      </c>
      <c r="U414">
        <v>0.017215878091778</v>
      </c>
      <c r="V414" t="s">
        <v>986</v>
      </c>
      <c r="W414" t="s">
        <v>997</v>
      </c>
      <c r="X414">
        <v>3687.51275</v>
      </c>
      <c r="Y414" s="2">
        <v>44877</v>
      </c>
      <c r="Z414" t="s">
        <v>1008</v>
      </c>
    </row>
    <row r="415" spans="1:26">
      <c r="A415" s="1" t="s">
        <v>439</v>
      </c>
      <c r="B415">
        <f>HYPERLINK("https://www.suredividend.com/sure-analysis-JBL/","Jabil Inc")</f>
        <v>0</v>
      </c>
      <c r="C415" t="s">
        <v>884</v>
      </c>
      <c r="D415">
        <v>71</v>
      </c>
      <c r="E415">
        <v>68.2</v>
      </c>
      <c r="F415">
        <v>84</v>
      </c>
      <c r="G415">
        <v>0.8119047619047619</v>
      </c>
      <c r="H415">
        <v>0.00469208211143695</v>
      </c>
      <c r="I415">
        <v>0.04255501637420056</v>
      </c>
      <c r="J415">
        <v>0.05</v>
      </c>
      <c r="K415">
        <v>0.09793091066693949</v>
      </c>
      <c r="L415" t="s">
        <v>573</v>
      </c>
      <c r="M415" t="s">
        <v>631</v>
      </c>
      <c r="N415">
        <v>8.138424821002387</v>
      </c>
      <c r="O415">
        <v>8.380000000000001</v>
      </c>
      <c r="P415">
        <v>0.32</v>
      </c>
      <c r="Q415">
        <v>0.03818615751789976</v>
      </c>
      <c r="R415">
        <v>0</v>
      </c>
      <c r="S415">
        <v>0</v>
      </c>
      <c r="T415" t="s">
        <v>907</v>
      </c>
      <c r="U415">
        <v>-0.021561513222548</v>
      </c>
      <c r="V415" t="s">
        <v>986</v>
      </c>
      <c r="W415" t="s">
        <v>993</v>
      </c>
      <c r="X415">
        <v>9182.350542</v>
      </c>
      <c r="Y415" s="2">
        <v>44917</v>
      </c>
      <c r="Z415" t="s">
        <v>1008</v>
      </c>
    </row>
    <row r="416" spans="1:26">
      <c r="A416" s="1" t="s">
        <v>440</v>
      </c>
      <c r="B416">
        <f>HYPERLINK("https://www.suredividend.com/sure-analysis-CCI/","Crown Castle Inc")</f>
        <v>0</v>
      </c>
      <c r="C416" t="s">
        <v>883</v>
      </c>
      <c r="D416">
        <v>133</v>
      </c>
      <c r="E416">
        <v>135.64</v>
      </c>
      <c r="F416">
        <v>163</v>
      </c>
      <c r="G416">
        <v>0.8321472392638036</v>
      </c>
      <c r="H416">
        <v>0.04615157770569154</v>
      </c>
      <c r="I416">
        <v>0.03743277589963045</v>
      </c>
      <c r="J416">
        <v>0.02</v>
      </c>
      <c r="K416">
        <v>0.09674673976404891</v>
      </c>
      <c r="L416" t="s">
        <v>573</v>
      </c>
      <c r="M416" t="s">
        <v>887</v>
      </c>
      <c r="N416">
        <v>17.50193548387097</v>
      </c>
      <c r="O416">
        <v>7.75</v>
      </c>
      <c r="P416">
        <v>6.26</v>
      </c>
      <c r="Q416">
        <v>0.807741935483871</v>
      </c>
      <c r="R416">
        <v>8</v>
      </c>
      <c r="S416">
        <v>0.04010246976235976</v>
      </c>
      <c r="T416" t="s">
        <v>901</v>
      </c>
      <c r="U416">
        <v>-0.323058434370505</v>
      </c>
      <c r="V416" t="s">
        <v>987</v>
      </c>
      <c r="W416" t="s">
        <v>1000</v>
      </c>
      <c r="X416">
        <v>58738.630856</v>
      </c>
      <c r="Y416" s="2">
        <v>44864</v>
      </c>
      <c r="Z416" t="s">
        <v>1005</v>
      </c>
    </row>
    <row r="417" spans="1:26">
      <c r="A417" s="1" t="s">
        <v>441</v>
      </c>
      <c r="B417">
        <f>HYPERLINK("https://www.suredividend.com/sure-analysis-SBUX/","Starbucks Corp.")</f>
        <v>0</v>
      </c>
      <c r="C417" t="s">
        <v>883</v>
      </c>
      <c r="D417">
        <v>97</v>
      </c>
      <c r="E417">
        <v>99.2</v>
      </c>
      <c r="F417">
        <v>78</v>
      </c>
      <c r="G417">
        <v>1.271794871794872</v>
      </c>
      <c r="H417">
        <v>0.02137096774193548</v>
      </c>
      <c r="I417">
        <v>-0.04694802405195919</v>
      </c>
      <c r="J417">
        <v>0.13</v>
      </c>
      <c r="K417">
        <v>0.09638664039639711</v>
      </c>
      <c r="L417" t="s">
        <v>573</v>
      </c>
      <c r="M417" t="s">
        <v>572</v>
      </c>
      <c r="N417">
        <v>29.1764705882353</v>
      </c>
      <c r="O417">
        <v>3.4</v>
      </c>
      <c r="P417">
        <v>2.12</v>
      </c>
      <c r="Q417">
        <v>0.6235294117647059</v>
      </c>
      <c r="R417">
        <v>12</v>
      </c>
      <c r="S417">
        <v>0.08034818492488416</v>
      </c>
      <c r="T417" t="s">
        <v>890</v>
      </c>
      <c r="U417">
        <v>-0.121228012983147</v>
      </c>
      <c r="V417" t="s">
        <v>986</v>
      </c>
      <c r="W417" t="s">
        <v>992</v>
      </c>
      <c r="X417">
        <v>113861.76</v>
      </c>
      <c r="Y417" s="2">
        <v>44885</v>
      </c>
      <c r="Z417" t="s">
        <v>1003</v>
      </c>
    </row>
    <row r="418" spans="1:26">
      <c r="A418" s="1" t="s">
        <v>442</v>
      </c>
      <c r="B418">
        <f>HYPERLINK("https://www.suredividend.com/sure-analysis-AVT/","Avnet Inc.")</f>
        <v>0</v>
      </c>
      <c r="C418" t="s">
        <v>884</v>
      </c>
      <c r="D418">
        <v>40</v>
      </c>
      <c r="E418">
        <v>41.58</v>
      </c>
      <c r="F418">
        <v>53</v>
      </c>
      <c r="G418">
        <v>0.7845283018867925</v>
      </c>
      <c r="H418">
        <v>0.03102453102453103</v>
      </c>
      <c r="I418">
        <v>0.04973161446399499</v>
      </c>
      <c r="J418">
        <v>0.015</v>
      </c>
      <c r="K418">
        <v>0.09513823187035086</v>
      </c>
      <c r="L418" t="s">
        <v>573</v>
      </c>
      <c r="M418" t="s">
        <v>573</v>
      </c>
      <c r="N418">
        <v>6.290468986384266</v>
      </c>
      <c r="O418">
        <v>6.61</v>
      </c>
      <c r="P418">
        <v>1.29</v>
      </c>
      <c r="Q418">
        <v>0.1951588502269289</v>
      </c>
      <c r="R418">
        <v>9</v>
      </c>
      <c r="S418">
        <v>0.08946954875242641</v>
      </c>
      <c r="T418" t="s">
        <v>915</v>
      </c>
      <c r="U418">
        <v>0.031907738811692</v>
      </c>
      <c r="V418" t="s">
        <v>986</v>
      </c>
      <c r="W418" t="s">
        <v>993</v>
      </c>
      <c r="X418">
        <v>3805.289209</v>
      </c>
      <c r="Y418" s="2">
        <v>44865</v>
      </c>
      <c r="Z418" t="s">
        <v>1010</v>
      </c>
    </row>
    <row r="419" spans="1:26">
      <c r="A419" s="1" t="s">
        <v>443</v>
      </c>
      <c r="B419">
        <f>HYPERLINK("https://www.suredividend.com/sure-analysis-BTI/","British American Tobacco Plc")</f>
        <v>0</v>
      </c>
      <c r="C419" t="s">
        <v>883</v>
      </c>
      <c r="D419">
        <v>38</v>
      </c>
      <c r="E419">
        <v>39.98</v>
      </c>
      <c r="F419">
        <v>41</v>
      </c>
      <c r="G419">
        <v>0.9751219512195122</v>
      </c>
      <c r="H419">
        <v>0.07028514257128565</v>
      </c>
      <c r="I419">
        <v>0.005051262352781638</v>
      </c>
      <c r="J419">
        <v>0.03</v>
      </c>
      <c r="K419">
        <v>0.09407240053588506</v>
      </c>
      <c r="L419" t="s">
        <v>573</v>
      </c>
      <c r="M419" t="s">
        <v>886</v>
      </c>
      <c r="N419">
        <v>9.29767441860465</v>
      </c>
      <c r="O419">
        <v>4.3</v>
      </c>
      <c r="P419">
        <v>2.81</v>
      </c>
      <c r="Q419">
        <v>0.6534883720930232</v>
      </c>
      <c r="R419">
        <v>0</v>
      </c>
      <c r="S419">
        <v>0.0250478994705523</v>
      </c>
      <c r="T419" t="s">
        <v>941</v>
      </c>
      <c r="U419">
        <v>0.156092765022265</v>
      </c>
      <c r="V419" t="s">
        <v>986</v>
      </c>
      <c r="W419" t="s">
        <v>996</v>
      </c>
      <c r="X419">
        <v>89437.842188</v>
      </c>
      <c r="Y419" s="2">
        <v>44858</v>
      </c>
      <c r="Z419" t="s">
        <v>1007</v>
      </c>
    </row>
    <row r="420" spans="1:26">
      <c r="A420" s="1" t="s">
        <v>444</v>
      </c>
      <c r="B420">
        <f>HYPERLINK("https://www.suredividend.com/sure-analysis-COF/","Capital One Financial Corp.")</f>
        <v>0</v>
      </c>
      <c r="C420" t="s">
        <v>884</v>
      </c>
      <c r="D420">
        <v>104</v>
      </c>
      <c r="E420">
        <v>92.95999999999999</v>
      </c>
      <c r="F420">
        <v>190</v>
      </c>
      <c r="G420">
        <v>0.4892631578947368</v>
      </c>
      <c r="H420">
        <v>0.02581755593803787</v>
      </c>
      <c r="I420">
        <v>0.1536962930066492</v>
      </c>
      <c r="J420">
        <v>-0.07000000000000001</v>
      </c>
      <c r="K420">
        <v>0.09343501609150606</v>
      </c>
      <c r="L420" t="s">
        <v>573</v>
      </c>
      <c r="M420" t="s">
        <v>572</v>
      </c>
      <c r="N420">
        <v>4.892631578947368</v>
      </c>
      <c r="O420">
        <v>19</v>
      </c>
      <c r="P420">
        <v>2.4</v>
      </c>
      <c r="Q420">
        <v>0.1263157894736842</v>
      </c>
      <c r="R420">
        <v>1</v>
      </c>
      <c r="S420">
        <v>0.02983277847878951</v>
      </c>
      <c r="T420" t="s">
        <v>914</v>
      </c>
      <c r="U420">
        <v>-0.344257669490628</v>
      </c>
      <c r="V420" t="s">
        <v>986</v>
      </c>
      <c r="W420" t="s">
        <v>994</v>
      </c>
      <c r="X420">
        <v>35482.699253</v>
      </c>
      <c r="Y420" s="2">
        <v>44862</v>
      </c>
      <c r="Z420" t="s">
        <v>1004</v>
      </c>
    </row>
    <row r="421" spans="1:26">
      <c r="A421" s="1" t="s">
        <v>445</v>
      </c>
      <c r="B421">
        <f>HYPERLINK("https://www.suredividend.com/sure-analysis-AVB/","Avalonbay Communities Inc.")</f>
        <v>0</v>
      </c>
      <c r="C421" t="s">
        <v>884</v>
      </c>
      <c r="D421">
        <v>169</v>
      </c>
      <c r="E421">
        <v>161.52</v>
      </c>
      <c r="F421">
        <v>169</v>
      </c>
      <c r="G421">
        <v>0.9557396449704143</v>
      </c>
      <c r="H421">
        <v>0.03937592867756315</v>
      </c>
      <c r="I421">
        <v>0.00909505915107589</v>
      </c>
      <c r="J421">
        <v>0.049</v>
      </c>
      <c r="K421">
        <v>0.09313071624707403</v>
      </c>
      <c r="L421" t="s">
        <v>573</v>
      </c>
      <c r="M421" t="s">
        <v>887</v>
      </c>
      <c r="N421">
        <v>16.41463414634147</v>
      </c>
      <c r="O421">
        <v>9.84</v>
      </c>
      <c r="P421">
        <v>6.36</v>
      </c>
      <c r="Q421">
        <v>0.6463414634146342</v>
      </c>
      <c r="R421">
        <v>0</v>
      </c>
      <c r="S421">
        <v>0.05494248230862686</v>
      </c>
      <c r="T421" t="s">
        <v>905</v>
      </c>
      <c r="U421">
        <v>-0.335749835294582</v>
      </c>
      <c r="V421" t="s">
        <v>987</v>
      </c>
      <c r="W421" t="s">
        <v>1000</v>
      </c>
      <c r="X421">
        <v>22596.220134</v>
      </c>
      <c r="Y421" s="2">
        <v>44893</v>
      </c>
      <c r="Z421" t="s">
        <v>1009</v>
      </c>
    </row>
    <row r="422" spans="1:26">
      <c r="A422" s="1" t="s">
        <v>446</v>
      </c>
      <c r="B422">
        <f>HYPERLINK("https://www.suredividend.com/sure-analysis-JPM/","JPMorgan Chase &amp; Co.")</f>
        <v>0</v>
      </c>
      <c r="C422" t="s">
        <v>883</v>
      </c>
      <c r="D422">
        <v>111</v>
      </c>
      <c r="E422">
        <v>134.1</v>
      </c>
      <c r="F422">
        <v>139</v>
      </c>
      <c r="G422">
        <v>0.9647482014388489</v>
      </c>
      <c r="H422">
        <v>0.02982848620432513</v>
      </c>
      <c r="I422">
        <v>0.007203449485226665</v>
      </c>
      <c r="J422">
        <v>0.06</v>
      </c>
      <c r="K422">
        <v>0.09305244276991265</v>
      </c>
      <c r="L422" t="s">
        <v>573</v>
      </c>
      <c r="M422" t="s">
        <v>572</v>
      </c>
      <c r="N422">
        <v>11.56034482758621</v>
      </c>
      <c r="O422">
        <v>11.6</v>
      </c>
      <c r="P422">
        <v>4</v>
      </c>
      <c r="Q422">
        <v>0.3448275862068966</v>
      </c>
      <c r="R422">
        <v>11</v>
      </c>
      <c r="S422">
        <v>0.05020040579475671</v>
      </c>
      <c r="T422" t="s">
        <v>910</v>
      </c>
      <c r="U422">
        <v>-0.134782330977696</v>
      </c>
      <c r="V422" t="s">
        <v>986</v>
      </c>
      <c r="W422" t="s">
        <v>994</v>
      </c>
      <c r="X422">
        <v>393342.775481</v>
      </c>
      <c r="Y422" s="2">
        <v>44851</v>
      </c>
      <c r="Z422" t="s">
        <v>1005</v>
      </c>
    </row>
    <row r="423" spans="1:26">
      <c r="A423" s="1" t="s">
        <v>447</v>
      </c>
      <c r="B423">
        <f>HYPERLINK("https://www.suredividend.com/sure-analysis-HNI/","HNI Corp.")</f>
        <v>0</v>
      </c>
      <c r="C423" t="s">
        <v>884</v>
      </c>
      <c r="D423">
        <v>28</v>
      </c>
      <c r="E423">
        <v>28.43</v>
      </c>
      <c r="F423">
        <v>28</v>
      </c>
      <c r="G423">
        <v>1.015357142857143</v>
      </c>
      <c r="H423">
        <v>0.04502286317270489</v>
      </c>
      <c r="I423">
        <v>-0.003043442408522168</v>
      </c>
      <c r="J423">
        <v>0.055</v>
      </c>
      <c r="K423">
        <v>0.09048860313826568</v>
      </c>
      <c r="L423" t="s">
        <v>573</v>
      </c>
      <c r="M423" t="s">
        <v>887</v>
      </c>
      <c r="N423">
        <v>14.215</v>
      </c>
      <c r="O423">
        <v>2</v>
      </c>
      <c r="P423">
        <v>1.28</v>
      </c>
      <c r="Q423">
        <v>0.64</v>
      </c>
      <c r="R423">
        <v>11</v>
      </c>
      <c r="S423">
        <v>0.04168866040456276</v>
      </c>
      <c r="T423" t="s">
        <v>949</v>
      </c>
      <c r="U423">
        <v>-0.297066619194556</v>
      </c>
      <c r="V423" t="s">
        <v>986</v>
      </c>
      <c r="W423" t="s">
        <v>991</v>
      </c>
      <c r="X423">
        <v>1175.972123</v>
      </c>
      <c r="Y423" s="2">
        <v>44858</v>
      </c>
      <c r="Z423" t="s">
        <v>1001</v>
      </c>
    </row>
    <row r="424" spans="1:26">
      <c r="A424" s="1" t="s">
        <v>448</v>
      </c>
      <c r="B424">
        <f>HYPERLINK("https://www.suredividend.com/sure-analysis-APOG/","Apogee Enterprises Inc.")</f>
        <v>0</v>
      </c>
      <c r="C424" t="s">
        <v>884</v>
      </c>
      <c r="D424">
        <v>44</v>
      </c>
      <c r="E424">
        <v>44.46</v>
      </c>
      <c r="F424">
        <v>43</v>
      </c>
      <c r="G424">
        <v>1.033953488372093</v>
      </c>
      <c r="H424">
        <v>0.01979307242465137</v>
      </c>
      <c r="I424">
        <v>-0.006655710554495764</v>
      </c>
      <c r="J424">
        <v>0.08</v>
      </c>
      <c r="K424">
        <v>0.09012341881903718</v>
      </c>
      <c r="L424" t="s">
        <v>573</v>
      </c>
      <c r="M424" t="s">
        <v>572</v>
      </c>
      <c r="N424">
        <v>11.25569620253165</v>
      </c>
      <c r="O424">
        <v>3.95</v>
      </c>
      <c r="P424">
        <v>0.88</v>
      </c>
      <c r="Q424">
        <v>0.2227848101265823</v>
      </c>
      <c r="R424">
        <v>8</v>
      </c>
      <c r="S424">
        <v>0.06042477819475911</v>
      </c>
      <c r="T424" t="s">
        <v>964</v>
      </c>
      <c r="U424">
        <v>-0.056271359130563</v>
      </c>
      <c r="V424" t="s">
        <v>986</v>
      </c>
      <c r="W424" t="s">
        <v>991</v>
      </c>
      <c r="X424">
        <v>987.3709700000001</v>
      </c>
      <c r="Y424" s="2">
        <v>44924</v>
      </c>
      <c r="Z424" t="s">
        <v>1002</v>
      </c>
    </row>
    <row r="425" spans="1:26">
      <c r="A425" s="1" t="s">
        <v>449</v>
      </c>
      <c r="B425">
        <f>HYPERLINK("https://www.suredividend.com/sure-analysis-NAVI/","Navient Corp")</f>
        <v>0</v>
      </c>
      <c r="C425" t="s">
        <v>883</v>
      </c>
      <c r="D425">
        <v>15</v>
      </c>
      <c r="E425">
        <v>16.45</v>
      </c>
      <c r="F425">
        <v>20</v>
      </c>
      <c r="G425">
        <v>0.8225</v>
      </c>
      <c r="H425">
        <v>0.03890577507598784</v>
      </c>
      <c r="I425">
        <v>0.03985508205752408</v>
      </c>
      <c r="J425">
        <v>0.02</v>
      </c>
      <c r="K425">
        <v>0.08975227887113046</v>
      </c>
      <c r="L425" t="s">
        <v>573</v>
      </c>
      <c r="M425" t="s">
        <v>573</v>
      </c>
      <c r="N425">
        <v>4.984848484848485</v>
      </c>
      <c r="O425">
        <v>3.3</v>
      </c>
      <c r="P425">
        <v>0.64</v>
      </c>
      <c r="Q425">
        <v>0.193939393939394</v>
      </c>
      <c r="R425">
        <v>0</v>
      </c>
      <c r="S425">
        <v>0</v>
      </c>
      <c r="T425" t="s">
        <v>889</v>
      </c>
      <c r="U425">
        <v>-0.192709355737898</v>
      </c>
      <c r="V425" t="s">
        <v>986</v>
      </c>
      <c r="W425" t="s">
        <v>994</v>
      </c>
      <c r="X425">
        <v>2230.853146</v>
      </c>
      <c r="Y425" s="2">
        <v>44877</v>
      </c>
      <c r="Z425" t="s">
        <v>1007</v>
      </c>
    </row>
    <row r="426" spans="1:26">
      <c r="A426" s="1" t="s">
        <v>450</v>
      </c>
      <c r="B426">
        <f>HYPERLINK("https://www.suredividend.com/sure-analysis-UL/","Unilever plc")</f>
        <v>0</v>
      </c>
      <c r="C426" t="s">
        <v>883</v>
      </c>
      <c r="D426">
        <v>46</v>
      </c>
      <c r="E426">
        <v>50.35</v>
      </c>
      <c r="F426">
        <v>50</v>
      </c>
      <c r="G426">
        <v>1.007</v>
      </c>
      <c r="H426">
        <v>0.03574975173783515</v>
      </c>
      <c r="I426">
        <v>-0.001394150015957552</v>
      </c>
      <c r="J426">
        <v>0.06</v>
      </c>
      <c r="K426">
        <v>0.08969757806063461</v>
      </c>
      <c r="L426" t="s">
        <v>573</v>
      </c>
      <c r="M426" t="s">
        <v>887</v>
      </c>
      <c r="N426">
        <v>18.30909090909091</v>
      </c>
      <c r="O426">
        <v>2.75</v>
      </c>
      <c r="P426">
        <v>1.8</v>
      </c>
      <c r="Q426">
        <v>0.6545454545454545</v>
      </c>
      <c r="R426">
        <v>6</v>
      </c>
      <c r="S426">
        <v>0.05024607263868264</v>
      </c>
      <c r="T426" t="s">
        <v>894</v>
      </c>
      <c r="U426">
        <v>-0.024362832389991</v>
      </c>
      <c r="V426" t="s">
        <v>986</v>
      </c>
      <c r="W426" t="s">
        <v>996</v>
      </c>
      <c r="X426">
        <v>127559.645696</v>
      </c>
      <c r="Y426" s="2">
        <v>44865</v>
      </c>
      <c r="Z426" t="s">
        <v>1003</v>
      </c>
    </row>
    <row r="427" spans="1:26">
      <c r="A427" s="1" t="s">
        <v>451</v>
      </c>
      <c r="B427">
        <f>HYPERLINK("https://www.suredividend.com/sure-analysis-RCI/","Rogers Communications Inc.")</f>
        <v>0</v>
      </c>
      <c r="C427" t="s">
        <v>883</v>
      </c>
      <c r="D427">
        <v>44</v>
      </c>
      <c r="E427">
        <v>46.84</v>
      </c>
      <c r="F427">
        <v>43</v>
      </c>
      <c r="G427">
        <v>1.089302325581395</v>
      </c>
      <c r="H427">
        <v>0.03181041844577284</v>
      </c>
      <c r="I427">
        <v>-0.01696198249894865</v>
      </c>
      <c r="J427">
        <v>0.08</v>
      </c>
      <c r="K427">
        <v>0.0892492132103635</v>
      </c>
      <c r="L427" t="s">
        <v>573</v>
      </c>
      <c r="M427" t="s">
        <v>573</v>
      </c>
      <c r="N427">
        <v>16.43508771929825</v>
      </c>
      <c r="O427">
        <v>2.85</v>
      </c>
      <c r="P427">
        <v>1.49</v>
      </c>
      <c r="Q427">
        <v>0.5228070175438596</v>
      </c>
      <c r="R427">
        <v>0</v>
      </c>
      <c r="S427">
        <v>0.04981667453303262</v>
      </c>
      <c r="T427" t="s">
        <v>920</v>
      </c>
      <c r="U427">
        <v>0.026488397218575</v>
      </c>
      <c r="V427" t="s">
        <v>986</v>
      </c>
      <c r="W427" t="s">
        <v>995</v>
      </c>
      <c r="X427">
        <v>18444.3417</v>
      </c>
      <c r="Y427" s="2">
        <v>44885</v>
      </c>
      <c r="Z427" t="s">
        <v>1003</v>
      </c>
    </row>
    <row r="428" spans="1:26">
      <c r="A428" s="1" t="s">
        <v>452</v>
      </c>
      <c r="B428">
        <f>HYPERLINK("https://www.suredividend.com/sure-analysis-AON/","Aon plc.")</f>
        <v>0</v>
      </c>
      <c r="C428" t="s">
        <v>884</v>
      </c>
      <c r="D428">
        <v>293</v>
      </c>
      <c r="E428">
        <v>300.14</v>
      </c>
      <c r="F428">
        <v>275</v>
      </c>
      <c r="G428">
        <v>1.091418181818182</v>
      </c>
      <c r="H428">
        <v>0.007463183847537817</v>
      </c>
      <c r="I428">
        <v>-0.01734342784198628</v>
      </c>
      <c r="J428">
        <v>0.1</v>
      </c>
      <c r="K428">
        <v>0.0883714971608407</v>
      </c>
      <c r="L428" t="s">
        <v>573</v>
      </c>
      <c r="M428" t="s">
        <v>631</v>
      </c>
      <c r="N428">
        <v>22.91145038167939</v>
      </c>
      <c r="O428">
        <v>13.1</v>
      </c>
      <c r="P428">
        <v>2.24</v>
      </c>
      <c r="Q428">
        <v>0.1709923664122138</v>
      </c>
      <c r="R428">
        <v>11</v>
      </c>
      <c r="S428">
        <v>0.1097334231073244</v>
      </c>
      <c r="T428" t="s">
        <v>932</v>
      </c>
      <c r="U428">
        <v>0.008574936775046001</v>
      </c>
      <c r="V428" t="s">
        <v>986</v>
      </c>
      <c r="W428" t="s">
        <v>994</v>
      </c>
      <c r="X428">
        <v>62084.840211</v>
      </c>
      <c r="Y428" s="2">
        <v>44878</v>
      </c>
      <c r="Z428" t="s">
        <v>1005</v>
      </c>
    </row>
    <row r="429" spans="1:26">
      <c r="A429" s="1" t="s">
        <v>453</v>
      </c>
      <c r="B429">
        <f>HYPERLINK("https://www.suredividend.com/sure-analysis-PAYX/","Paychex Inc.")</f>
        <v>0</v>
      </c>
      <c r="C429" t="s">
        <v>884</v>
      </c>
      <c r="D429">
        <v>116</v>
      </c>
      <c r="E429">
        <v>115.56</v>
      </c>
      <c r="F429">
        <v>107</v>
      </c>
      <c r="G429">
        <v>1.08</v>
      </c>
      <c r="H429">
        <v>0.02734510211145725</v>
      </c>
      <c r="I429">
        <v>-0.01527435364574092</v>
      </c>
      <c r="J429">
        <v>0.08</v>
      </c>
      <c r="K429">
        <v>0.08721509434077901</v>
      </c>
      <c r="L429" t="s">
        <v>573</v>
      </c>
      <c r="M429" t="s">
        <v>572</v>
      </c>
      <c r="N429">
        <v>27.12676056338028</v>
      </c>
      <c r="O429">
        <v>4.26</v>
      </c>
      <c r="P429">
        <v>3.16</v>
      </c>
      <c r="Q429">
        <v>0.7417840375586855</v>
      </c>
      <c r="R429">
        <v>11</v>
      </c>
      <c r="S429">
        <v>0.04984115279430545</v>
      </c>
      <c r="T429" t="s">
        <v>930</v>
      </c>
      <c r="U429">
        <v>-0.131263028987217</v>
      </c>
      <c r="V429" t="s">
        <v>986</v>
      </c>
      <c r="W429" t="s">
        <v>991</v>
      </c>
      <c r="X429">
        <v>41655.514287</v>
      </c>
      <c r="Y429" s="2">
        <v>44922</v>
      </c>
      <c r="Z429" t="s">
        <v>1001</v>
      </c>
    </row>
    <row r="430" spans="1:26">
      <c r="A430" s="1" t="s">
        <v>454</v>
      </c>
      <c r="B430">
        <f>HYPERLINK("https://www.suredividend.com/sure-analysis-PSA/","Public Storage")</f>
        <v>0</v>
      </c>
      <c r="C430" t="s">
        <v>884</v>
      </c>
      <c r="D430">
        <v>274</v>
      </c>
      <c r="E430">
        <v>280.19</v>
      </c>
      <c r="F430">
        <v>311</v>
      </c>
      <c r="G430">
        <v>0.9009324758842444</v>
      </c>
      <c r="H430">
        <v>0.02855205396338199</v>
      </c>
      <c r="I430">
        <v>0.02108418937123124</v>
      </c>
      <c r="J430">
        <v>0.04</v>
      </c>
      <c r="K430">
        <v>0.08609184080385801</v>
      </c>
      <c r="L430" t="s">
        <v>573</v>
      </c>
      <c r="M430" t="s">
        <v>573</v>
      </c>
      <c r="N430">
        <v>18.01864951768489</v>
      </c>
      <c r="O430">
        <v>15.55</v>
      </c>
      <c r="P430">
        <v>8</v>
      </c>
      <c r="Q430">
        <v>0.5144694533762058</v>
      </c>
      <c r="R430">
        <v>0</v>
      </c>
      <c r="S430">
        <v>0.03993111034207586</v>
      </c>
      <c r="T430" t="s">
        <v>955</v>
      </c>
      <c r="U430">
        <v>-0.197473066985321</v>
      </c>
      <c r="V430" t="s">
        <v>987</v>
      </c>
      <c r="W430" t="s">
        <v>1000</v>
      </c>
      <c r="X430">
        <v>49212.119934</v>
      </c>
      <c r="Y430" s="2">
        <v>44871</v>
      </c>
      <c r="Z430" t="s">
        <v>1001</v>
      </c>
    </row>
    <row r="431" spans="1:26">
      <c r="A431" s="1" t="s">
        <v>455</v>
      </c>
      <c r="B431">
        <f>HYPERLINK("https://www.suredividend.com/sure-analysis-SAXPY/","Sampo Plc")</f>
        <v>0</v>
      </c>
      <c r="C431" t="s">
        <v>883</v>
      </c>
      <c r="D431">
        <v>23.84</v>
      </c>
      <c r="E431">
        <v>26.08</v>
      </c>
      <c r="F431">
        <v>24.2</v>
      </c>
      <c r="G431">
        <v>1.077685950413223</v>
      </c>
      <c r="H431">
        <v>0.08397239263803681</v>
      </c>
      <c r="I431">
        <v>-0.01485182808106666</v>
      </c>
      <c r="J431">
        <v>0.025</v>
      </c>
      <c r="K431">
        <v>0.08483555253706676</v>
      </c>
      <c r="L431" t="s">
        <v>573</v>
      </c>
      <c r="M431" t="s">
        <v>886</v>
      </c>
      <c r="N431">
        <v>1.185454545454545</v>
      </c>
      <c r="O431">
        <v>22</v>
      </c>
      <c r="P431">
        <v>2.19</v>
      </c>
      <c r="Q431">
        <v>0.09954545454545455</v>
      </c>
      <c r="R431">
        <v>2</v>
      </c>
      <c r="S431">
        <v>0.02518327682991406</v>
      </c>
      <c r="T431" t="s">
        <v>933</v>
      </c>
      <c r="U431">
        <v>0.047810365608678</v>
      </c>
      <c r="V431" t="s">
        <v>986</v>
      </c>
      <c r="W431" t="s">
        <v>994</v>
      </c>
      <c r="X431">
        <v>26934.355346</v>
      </c>
      <c r="Y431" s="2">
        <v>44880</v>
      </c>
      <c r="Z431" t="s">
        <v>1001</v>
      </c>
    </row>
    <row r="432" spans="1:26">
      <c r="A432" s="1" t="s">
        <v>456</v>
      </c>
      <c r="B432">
        <f>HYPERLINK("https://www.suredividend.com/sure-analysis-HUN/","Huntsman Corp")</f>
        <v>0</v>
      </c>
      <c r="C432" t="s">
        <v>884</v>
      </c>
      <c r="D432">
        <v>26</v>
      </c>
      <c r="E432">
        <v>27.48</v>
      </c>
      <c r="F432">
        <v>28</v>
      </c>
      <c r="G432">
        <v>0.9814285714285714</v>
      </c>
      <c r="H432">
        <v>0.0309315866084425</v>
      </c>
      <c r="I432">
        <v>0.003756245638377953</v>
      </c>
      <c r="J432">
        <v>0.05</v>
      </c>
      <c r="K432">
        <v>0.08236879046410261</v>
      </c>
      <c r="L432" t="s">
        <v>573</v>
      </c>
      <c r="M432" t="s">
        <v>572</v>
      </c>
      <c r="N432">
        <v>7.851428571428571</v>
      </c>
      <c r="O432">
        <v>3.5</v>
      </c>
      <c r="P432">
        <v>0.85</v>
      </c>
      <c r="Q432">
        <v>0.2428571428571429</v>
      </c>
      <c r="R432">
        <v>2</v>
      </c>
      <c r="S432">
        <v>0.06046706494283782</v>
      </c>
      <c r="T432" t="s">
        <v>901</v>
      </c>
      <c r="U432">
        <v>-0.186941355038566</v>
      </c>
      <c r="V432" t="s">
        <v>986</v>
      </c>
      <c r="W432" t="s">
        <v>990</v>
      </c>
      <c r="X432">
        <v>5278.893023</v>
      </c>
      <c r="Y432" s="2">
        <v>44875</v>
      </c>
      <c r="Z432" t="s">
        <v>1011</v>
      </c>
    </row>
    <row r="433" spans="1:26">
      <c r="A433" s="1" t="s">
        <v>457</v>
      </c>
      <c r="B433">
        <f>HYPERLINK("https://www.suredividend.com/sure-analysis-HIG/","Hartford Financial Services Group Inc.")</f>
        <v>0</v>
      </c>
      <c r="C433" t="s">
        <v>884</v>
      </c>
      <c r="D433">
        <v>70</v>
      </c>
      <c r="E433">
        <v>75.83</v>
      </c>
      <c r="F433">
        <v>80</v>
      </c>
      <c r="G433">
        <v>0.947875</v>
      </c>
      <c r="H433">
        <v>0.02241856784913623</v>
      </c>
      <c r="I433">
        <v>0.01076404836376699</v>
      </c>
      <c r="J433">
        <v>0.05</v>
      </c>
      <c r="K433">
        <v>0.08159955610473912</v>
      </c>
      <c r="L433" t="s">
        <v>573</v>
      </c>
      <c r="M433" t="s">
        <v>572</v>
      </c>
      <c r="N433">
        <v>10.91079136690647</v>
      </c>
      <c r="O433">
        <v>6.95</v>
      </c>
      <c r="P433">
        <v>1.7</v>
      </c>
      <c r="Q433">
        <v>0.2446043165467626</v>
      </c>
      <c r="R433">
        <v>13</v>
      </c>
      <c r="S433">
        <v>0.05953519437746113</v>
      </c>
      <c r="T433" t="s">
        <v>891</v>
      </c>
      <c r="U433">
        <v>0.115901933661006</v>
      </c>
      <c r="V433" t="s">
        <v>986</v>
      </c>
      <c r="W433" t="s">
        <v>994</v>
      </c>
      <c r="X433">
        <v>24121.441786</v>
      </c>
      <c r="Y433" s="2">
        <v>44862</v>
      </c>
      <c r="Z433" t="s">
        <v>1004</v>
      </c>
    </row>
    <row r="434" spans="1:26">
      <c r="A434" s="1" t="s">
        <v>458</v>
      </c>
      <c r="B434">
        <f>HYPERLINK("https://www.suredividend.com/sure-analysis-SIEGY/","Siemens AG")</f>
        <v>0</v>
      </c>
      <c r="C434" t="s">
        <v>884</v>
      </c>
      <c r="D434">
        <v>71</v>
      </c>
      <c r="E434">
        <v>68.79000000000001</v>
      </c>
      <c r="F434">
        <v>66</v>
      </c>
      <c r="G434">
        <v>1.042272727272727</v>
      </c>
      <c r="H434">
        <v>0.03285361244366913</v>
      </c>
      <c r="I434">
        <v>-0.008246537908363605</v>
      </c>
      <c r="J434">
        <v>0.06</v>
      </c>
      <c r="K434">
        <v>0.08074212856018859</v>
      </c>
      <c r="L434" t="s">
        <v>573</v>
      </c>
      <c r="M434" t="s">
        <v>887</v>
      </c>
      <c r="N434">
        <v>16.77804878048781</v>
      </c>
      <c r="O434">
        <v>4.1</v>
      </c>
      <c r="P434">
        <v>2.26</v>
      </c>
      <c r="Q434">
        <v>0.551219512195122</v>
      </c>
      <c r="R434">
        <v>1</v>
      </c>
      <c r="S434">
        <v>0.04967972745840021</v>
      </c>
      <c r="T434" t="s">
        <v>965</v>
      </c>
      <c r="U434">
        <v>-0.201416299048061</v>
      </c>
      <c r="V434" t="s">
        <v>986</v>
      </c>
      <c r="W434" t="s">
        <v>991</v>
      </c>
      <c r="X434">
        <v>116943</v>
      </c>
      <c r="Y434" s="2">
        <v>44902</v>
      </c>
      <c r="Z434" t="s">
        <v>1007</v>
      </c>
    </row>
    <row r="435" spans="1:26">
      <c r="A435" s="1" t="s">
        <v>459</v>
      </c>
      <c r="B435">
        <f>HYPERLINK("https://www.suredividend.com/sure-analysis-SHEL/","Shell Plc")</f>
        <v>0</v>
      </c>
      <c r="C435" t="s">
        <v>884</v>
      </c>
      <c r="D435">
        <v>56</v>
      </c>
      <c r="E435">
        <v>56.95</v>
      </c>
      <c r="F435">
        <v>114</v>
      </c>
      <c r="G435">
        <v>0.4995614035087719</v>
      </c>
      <c r="H435">
        <v>0.03511852502194908</v>
      </c>
      <c r="I435">
        <v>0.1488999871588352</v>
      </c>
      <c r="J435">
        <v>-0.09</v>
      </c>
      <c r="K435">
        <v>0.08028312052938191</v>
      </c>
      <c r="L435" t="s">
        <v>573</v>
      </c>
      <c r="M435" t="s">
        <v>573</v>
      </c>
      <c r="N435">
        <v>5.994736842105263</v>
      </c>
      <c r="O435">
        <v>9.5</v>
      </c>
      <c r="P435">
        <v>2</v>
      </c>
      <c r="Q435">
        <v>0.2105263157894737</v>
      </c>
      <c r="R435">
        <v>1</v>
      </c>
      <c r="S435">
        <v>0.07936299587864237</v>
      </c>
      <c r="T435" t="s">
        <v>890</v>
      </c>
      <c r="U435">
        <v>0.107976653696498</v>
      </c>
      <c r="V435" t="s">
        <v>986</v>
      </c>
      <c r="W435" t="s">
        <v>999</v>
      </c>
      <c r="X435">
        <v>199636.080548</v>
      </c>
      <c r="Y435" s="2">
        <v>44866</v>
      </c>
      <c r="Z435" t="s">
        <v>1003</v>
      </c>
    </row>
    <row r="436" spans="1:26">
      <c r="A436" s="1" t="s">
        <v>460</v>
      </c>
      <c r="B436">
        <f>HYPERLINK("https://www.suredividend.com/sure-analysis-TS/","Tenaris S.A.")</f>
        <v>0</v>
      </c>
      <c r="C436" t="s">
        <v>884</v>
      </c>
      <c r="D436">
        <v>33</v>
      </c>
      <c r="E436">
        <v>35.16</v>
      </c>
      <c r="F436">
        <v>47</v>
      </c>
      <c r="G436">
        <v>0.7480851063829786</v>
      </c>
      <c r="H436">
        <v>0.02559726962457338</v>
      </c>
      <c r="I436">
        <v>0.05976555144516027</v>
      </c>
      <c r="J436">
        <v>0</v>
      </c>
      <c r="K436">
        <v>0.07932359820418067</v>
      </c>
      <c r="L436" t="s">
        <v>573</v>
      </c>
      <c r="M436" t="s">
        <v>572</v>
      </c>
      <c r="N436">
        <v>9.766666666666666</v>
      </c>
      <c r="O436">
        <v>3.6</v>
      </c>
      <c r="P436">
        <v>0.9</v>
      </c>
      <c r="Q436">
        <v>0.25</v>
      </c>
      <c r="R436">
        <v>2</v>
      </c>
      <c r="S436">
        <v>0</v>
      </c>
      <c r="T436" t="s">
        <v>906</v>
      </c>
      <c r="U436">
        <v>0.7442639216172641</v>
      </c>
      <c r="V436" t="s">
        <v>986</v>
      </c>
      <c r="W436" t="s">
        <v>999</v>
      </c>
      <c r="X436">
        <v>20753.837471</v>
      </c>
      <c r="Y436" s="2">
        <v>44898</v>
      </c>
      <c r="Z436" t="s">
        <v>1005</v>
      </c>
    </row>
    <row r="437" spans="1:26">
      <c r="A437" s="1" t="s">
        <v>461</v>
      </c>
      <c r="B437">
        <f>HYPERLINK("https://www.suredividend.com/sure-analysis-PCAR/","Paccar Inc.")</f>
        <v>0</v>
      </c>
      <c r="C437" t="s">
        <v>884</v>
      </c>
      <c r="D437">
        <v>99</v>
      </c>
      <c r="E437">
        <v>98.97</v>
      </c>
      <c r="F437">
        <v>117</v>
      </c>
      <c r="G437">
        <v>0.8458974358974359</v>
      </c>
      <c r="H437">
        <v>0.03011013438415681</v>
      </c>
      <c r="I437">
        <v>0.0340379030933935</v>
      </c>
      <c r="J437">
        <v>0.015</v>
      </c>
      <c r="K437">
        <v>0.07914614197028613</v>
      </c>
      <c r="L437" t="s">
        <v>573</v>
      </c>
      <c r="M437" t="s">
        <v>572</v>
      </c>
      <c r="N437">
        <v>12.24876237623762</v>
      </c>
      <c r="O437">
        <v>8.08</v>
      </c>
      <c r="P437">
        <v>2.98</v>
      </c>
      <c r="Q437">
        <v>0.3688118811881188</v>
      </c>
      <c r="R437">
        <v>13</v>
      </c>
      <c r="S437">
        <v>0.07858555224508978</v>
      </c>
      <c r="T437" t="s">
        <v>907</v>
      </c>
      <c r="U437">
        <v>0.181210905284716</v>
      </c>
      <c r="V437" t="s">
        <v>986</v>
      </c>
      <c r="W437" t="s">
        <v>991</v>
      </c>
      <c r="X437">
        <v>34418.556898</v>
      </c>
      <c r="Y437" s="2">
        <v>44874</v>
      </c>
      <c r="Z437" t="s">
        <v>1008</v>
      </c>
    </row>
    <row r="438" spans="1:26">
      <c r="A438" s="1" t="s">
        <v>462</v>
      </c>
      <c r="B438">
        <f>HYPERLINK("https://www.suredividend.com/sure-analysis-BP/","BP plc")</f>
        <v>0</v>
      </c>
      <c r="C438" t="s">
        <v>884</v>
      </c>
      <c r="D438">
        <v>33</v>
      </c>
      <c r="E438">
        <v>34.93</v>
      </c>
      <c r="F438">
        <v>102</v>
      </c>
      <c r="G438">
        <v>0.3424509803921569</v>
      </c>
      <c r="H438">
        <v>0.04122530775837389</v>
      </c>
      <c r="I438">
        <v>0.2390257073436091</v>
      </c>
      <c r="J438">
        <v>-0.16</v>
      </c>
      <c r="K438">
        <v>0.0771460028288542</v>
      </c>
      <c r="L438" t="s">
        <v>573</v>
      </c>
      <c r="M438" t="s">
        <v>887</v>
      </c>
      <c r="N438">
        <v>4.109411764705882</v>
      </c>
      <c r="O438">
        <v>8.5</v>
      </c>
      <c r="P438">
        <v>1.44</v>
      </c>
      <c r="Q438">
        <v>0.1694117647058823</v>
      </c>
      <c r="R438">
        <v>1</v>
      </c>
      <c r="S438">
        <v>0.03496752704080697</v>
      </c>
      <c r="T438" t="s">
        <v>890</v>
      </c>
      <c r="U438">
        <v>0.3823863478959471</v>
      </c>
      <c r="V438" t="s">
        <v>986</v>
      </c>
      <c r="W438" t="s">
        <v>999</v>
      </c>
      <c r="X438">
        <v>105016.790884</v>
      </c>
      <c r="Y438" s="2">
        <v>44870</v>
      </c>
      <c r="Z438" t="s">
        <v>1003</v>
      </c>
    </row>
    <row r="439" spans="1:26">
      <c r="A439" s="1" t="s">
        <v>463</v>
      </c>
      <c r="B439">
        <f>HYPERLINK("https://www.suredividend.com/sure-analysis-SU/","Suncor Energy, Inc.")</f>
        <v>0</v>
      </c>
      <c r="C439" t="s">
        <v>884</v>
      </c>
      <c r="D439">
        <v>37</v>
      </c>
      <c r="E439">
        <v>31.73</v>
      </c>
      <c r="F439">
        <v>91</v>
      </c>
      <c r="G439">
        <v>0.3486813186813187</v>
      </c>
      <c r="H439">
        <v>0.04506775921840529</v>
      </c>
      <c r="I439">
        <v>0.2345658628025429</v>
      </c>
      <c r="J439">
        <v>-0.16</v>
      </c>
      <c r="K439">
        <v>0.076150582922621</v>
      </c>
      <c r="L439" t="s">
        <v>573</v>
      </c>
      <c r="M439" t="s">
        <v>887</v>
      </c>
      <c r="N439">
        <v>4.532857142857143</v>
      </c>
      <c r="O439">
        <v>7</v>
      </c>
      <c r="P439">
        <v>1.43</v>
      </c>
      <c r="Q439">
        <v>0.2042857142857143</v>
      </c>
      <c r="R439">
        <v>1</v>
      </c>
      <c r="S439">
        <v>0.02652685013443468</v>
      </c>
      <c r="T439" t="s">
        <v>889</v>
      </c>
      <c r="U439">
        <v>0.340736327489531</v>
      </c>
      <c r="V439" t="s">
        <v>986</v>
      </c>
      <c r="W439" t="s">
        <v>999</v>
      </c>
      <c r="X439">
        <v>42817.967874</v>
      </c>
      <c r="Y439" s="2">
        <v>44879</v>
      </c>
      <c r="Z439" t="s">
        <v>1003</v>
      </c>
    </row>
    <row r="440" spans="1:26">
      <c r="A440" s="1" t="s">
        <v>464</v>
      </c>
      <c r="B440">
        <f>HYPERLINK("https://www.suredividend.com/sure-analysis-FAF/","First American Financial Corp")</f>
        <v>0</v>
      </c>
      <c r="C440" t="s">
        <v>884</v>
      </c>
      <c r="D440">
        <v>50</v>
      </c>
      <c r="E440">
        <v>52.34</v>
      </c>
      <c r="F440">
        <v>55</v>
      </c>
      <c r="G440">
        <v>0.9516363636363637</v>
      </c>
      <c r="H440">
        <v>0.03974016048910967</v>
      </c>
      <c r="I440">
        <v>0.009963768690526287</v>
      </c>
      <c r="J440">
        <v>0.03</v>
      </c>
      <c r="K440">
        <v>0.07497082549274858</v>
      </c>
      <c r="L440" t="s">
        <v>573</v>
      </c>
      <c r="M440" t="s">
        <v>573</v>
      </c>
      <c r="N440">
        <v>8.552287581699346</v>
      </c>
      <c r="O440">
        <v>6.12</v>
      </c>
      <c r="P440">
        <v>2.08</v>
      </c>
      <c r="Q440">
        <v>0.3398692810457516</v>
      </c>
      <c r="R440">
        <v>11</v>
      </c>
      <c r="S440">
        <v>0.02988976347130756</v>
      </c>
      <c r="T440" t="s">
        <v>929</v>
      </c>
      <c r="U440">
        <v>-0.305086253480211</v>
      </c>
      <c r="V440" t="s">
        <v>986</v>
      </c>
      <c r="W440" t="s">
        <v>994</v>
      </c>
      <c r="X440">
        <v>5419.373311</v>
      </c>
      <c r="Y440" s="2">
        <v>44867</v>
      </c>
      <c r="Z440" t="s">
        <v>1008</v>
      </c>
    </row>
    <row r="441" spans="1:26">
      <c r="A441" s="1" t="s">
        <v>465</v>
      </c>
      <c r="B441">
        <f>HYPERLINK("https://www.suredividend.com/sure-analysis-LEN/","Lennar Corp.")</f>
        <v>0</v>
      </c>
      <c r="C441" t="s">
        <v>883</v>
      </c>
      <c r="D441">
        <v>77</v>
      </c>
      <c r="E441">
        <v>90.5</v>
      </c>
      <c r="F441">
        <v>110</v>
      </c>
      <c r="G441">
        <v>0.8227272727272728</v>
      </c>
      <c r="H441">
        <v>0.01657458563535912</v>
      </c>
      <c r="I441">
        <v>0.03979762515132412</v>
      </c>
      <c r="J441">
        <v>0.02</v>
      </c>
      <c r="K441">
        <v>0.0749333010220703</v>
      </c>
      <c r="L441" t="s">
        <v>573</v>
      </c>
      <c r="M441" t="s">
        <v>572</v>
      </c>
      <c r="N441">
        <v>5.323529411764706</v>
      </c>
      <c r="O441">
        <v>17</v>
      </c>
      <c r="P441">
        <v>1.5</v>
      </c>
      <c r="Q441">
        <v>0.08823529411764706</v>
      </c>
      <c r="R441">
        <v>3</v>
      </c>
      <c r="S441">
        <v>0.03943186329943948</v>
      </c>
      <c r="T441" t="s">
        <v>966</v>
      </c>
      <c r="U441">
        <v>-0.20017958398733</v>
      </c>
      <c r="V441" t="s">
        <v>986</v>
      </c>
      <c r="W441" t="s">
        <v>1000</v>
      </c>
      <c r="X441">
        <v>25778.381364</v>
      </c>
      <c r="Y441" s="2">
        <v>44926</v>
      </c>
      <c r="Z441" t="s">
        <v>1010</v>
      </c>
    </row>
    <row r="442" spans="1:26">
      <c r="A442" s="1" t="s">
        <v>466</v>
      </c>
      <c r="B442">
        <f>HYPERLINK("https://www.suredividend.com/sure-analysis-DOX/","Amdocs Ltd")</f>
        <v>0</v>
      </c>
      <c r="C442" t="s">
        <v>884</v>
      </c>
      <c r="D442">
        <v>85</v>
      </c>
      <c r="E442">
        <v>90.90000000000001</v>
      </c>
      <c r="F442">
        <v>91</v>
      </c>
      <c r="G442">
        <v>0.998901098901099</v>
      </c>
      <c r="H442">
        <v>0.01738173817381738</v>
      </c>
      <c r="I442">
        <v>0.0002199252466952295</v>
      </c>
      <c r="J442">
        <v>0.06</v>
      </c>
      <c r="K442">
        <v>0.07486015158961035</v>
      </c>
      <c r="L442" t="s">
        <v>573</v>
      </c>
      <c r="M442" t="s">
        <v>631</v>
      </c>
      <c r="N442">
        <v>18</v>
      </c>
      <c r="O442">
        <v>5.05</v>
      </c>
      <c r="P442">
        <v>1.58</v>
      </c>
      <c r="Q442">
        <v>0.3128712871287129</v>
      </c>
      <c r="R442">
        <v>10</v>
      </c>
      <c r="S442">
        <v>0.02981402116536103</v>
      </c>
      <c r="T442" t="s">
        <v>905</v>
      </c>
      <c r="U442">
        <v>0.235559651433534</v>
      </c>
      <c r="V442" t="s">
        <v>986</v>
      </c>
      <c r="W442" t="s">
        <v>995</v>
      </c>
      <c r="X442">
        <v>10982.229122</v>
      </c>
      <c r="Y442" s="2">
        <v>44885</v>
      </c>
      <c r="Z442" t="s">
        <v>1002</v>
      </c>
    </row>
    <row r="443" spans="1:26">
      <c r="A443" s="1" t="s">
        <v>467</v>
      </c>
      <c r="B443">
        <f>HYPERLINK("https://www.suredividend.com/sure-analysis-LYB/","LyondellBasell Industries NV")</f>
        <v>0</v>
      </c>
      <c r="C443" t="s">
        <v>884</v>
      </c>
      <c r="D443">
        <v>78</v>
      </c>
      <c r="E443">
        <v>83.03</v>
      </c>
      <c r="F443">
        <v>117</v>
      </c>
      <c r="G443">
        <v>0.7096581196581196</v>
      </c>
      <c r="H443">
        <v>0.05732867638203059</v>
      </c>
      <c r="I443">
        <v>0.07100171128709865</v>
      </c>
      <c r="J443">
        <v>-0.05</v>
      </c>
      <c r="K443">
        <v>0.0745933429229686</v>
      </c>
      <c r="L443" t="s">
        <v>573</v>
      </c>
      <c r="M443" t="s">
        <v>887</v>
      </c>
      <c r="N443">
        <v>5.686986301369863</v>
      </c>
      <c r="O443">
        <v>14.6</v>
      </c>
      <c r="P443">
        <v>4.76</v>
      </c>
      <c r="Q443">
        <v>0.326027397260274</v>
      </c>
      <c r="R443">
        <v>12</v>
      </c>
      <c r="S443">
        <v>0.06000153927394081</v>
      </c>
      <c r="T443" t="s">
        <v>908</v>
      </c>
      <c r="U443">
        <v>-0.033218487032925</v>
      </c>
      <c r="V443" t="s">
        <v>986</v>
      </c>
      <c r="W443" t="s">
        <v>990</v>
      </c>
      <c r="X443">
        <v>27036.596672</v>
      </c>
      <c r="Y443" s="2">
        <v>44864</v>
      </c>
      <c r="Z443" t="s">
        <v>1011</v>
      </c>
    </row>
    <row r="444" spans="1:26">
      <c r="A444" s="1" t="s">
        <v>468</v>
      </c>
      <c r="B444">
        <f>HYPERLINK("https://www.suredividend.com/sure-analysis-INTC/","Intel Corp.")</f>
        <v>0</v>
      </c>
      <c r="C444" t="s">
        <v>884</v>
      </c>
      <c r="D444">
        <v>29</v>
      </c>
      <c r="E444">
        <v>26.43</v>
      </c>
      <c r="F444">
        <v>23</v>
      </c>
      <c r="G444">
        <v>1.149130434782609</v>
      </c>
      <c r="H444">
        <v>0.05524025728339008</v>
      </c>
      <c r="I444">
        <v>-0.02741820838472919</v>
      </c>
      <c r="J444">
        <v>0.05</v>
      </c>
      <c r="K444">
        <v>0.074274243885184</v>
      </c>
      <c r="L444" t="s">
        <v>573</v>
      </c>
      <c r="M444" t="s">
        <v>887</v>
      </c>
      <c r="N444">
        <v>13.55384615384615</v>
      </c>
      <c r="O444">
        <v>1.95</v>
      </c>
      <c r="P444">
        <v>1.46</v>
      </c>
      <c r="Q444">
        <v>0.7487179487179487</v>
      </c>
      <c r="R444">
        <v>8</v>
      </c>
      <c r="S444">
        <v>0.04961980739136629</v>
      </c>
      <c r="T444" t="s">
        <v>911</v>
      </c>
      <c r="U444">
        <v>-0.468901713661061</v>
      </c>
      <c r="V444" t="s">
        <v>986</v>
      </c>
      <c r="W444" t="s">
        <v>993</v>
      </c>
      <c r="X444">
        <v>109076.61</v>
      </c>
      <c r="Y444" s="2">
        <v>44866</v>
      </c>
      <c r="Z444" t="s">
        <v>1001</v>
      </c>
    </row>
    <row r="445" spans="1:26">
      <c r="A445" s="1" t="s">
        <v>469</v>
      </c>
      <c r="B445">
        <f>HYPERLINK("https://www.suredividend.com/sure-analysis-SXI/","Standex International Corp.")</f>
        <v>0</v>
      </c>
      <c r="C445" t="s">
        <v>884</v>
      </c>
      <c r="D445">
        <v>102</v>
      </c>
      <c r="E445">
        <v>102.41</v>
      </c>
      <c r="F445">
        <v>120</v>
      </c>
      <c r="G445">
        <v>0.8534166666666666</v>
      </c>
      <c r="H445">
        <v>0.01093643198906357</v>
      </c>
      <c r="I445">
        <v>0.03220931978253194</v>
      </c>
      <c r="J445">
        <v>0.03</v>
      </c>
      <c r="K445">
        <v>0.07382486198910065</v>
      </c>
      <c r="L445" t="s">
        <v>573</v>
      </c>
      <c r="M445" t="s">
        <v>631</v>
      </c>
      <c r="N445">
        <v>15.37687687687688</v>
      </c>
      <c r="O445">
        <v>6.66</v>
      </c>
      <c r="P445">
        <v>1.12</v>
      </c>
      <c r="Q445">
        <v>0.1681681681681682</v>
      </c>
      <c r="R445">
        <v>13</v>
      </c>
      <c r="S445">
        <v>0.08057069246502624</v>
      </c>
      <c r="T445" t="s">
        <v>930</v>
      </c>
      <c r="U445">
        <v>-0.06004220218684</v>
      </c>
      <c r="V445" t="s">
        <v>986</v>
      </c>
      <c r="W445" t="s">
        <v>991</v>
      </c>
      <c r="X445">
        <v>1227.507152</v>
      </c>
      <c r="Y445" s="2">
        <v>44917</v>
      </c>
      <c r="Z445" t="s">
        <v>1008</v>
      </c>
    </row>
    <row r="446" spans="1:26">
      <c r="A446" s="1" t="s">
        <v>470</v>
      </c>
      <c r="B446">
        <f>HYPERLINK("https://www.suredividend.com/sure-analysis-OGE/","Oge Energy Corp.")</f>
        <v>0</v>
      </c>
      <c r="C446" t="s">
        <v>884</v>
      </c>
      <c r="D446">
        <v>38</v>
      </c>
      <c r="E446">
        <v>39.55</v>
      </c>
      <c r="F446">
        <v>36</v>
      </c>
      <c r="G446">
        <v>1.098611111111111</v>
      </c>
      <c r="H446">
        <v>0.04197218710493047</v>
      </c>
      <c r="I446">
        <v>-0.01863355920903254</v>
      </c>
      <c r="J446">
        <v>0.05</v>
      </c>
      <c r="K446">
        <v>0.07128722251600639</v>
      </c>
      <c r="L446" t="s">
        <v>573</v>
      </c>
      <c r="M446" t="s">
        <v>887</v>
      </c>
      <c r="N446">
        <v>18.65566037735849</v>
      </c>
      <c r="O446">
        <v>2.12</v>
      </c>
      <c r="P446">
        <v>1.66</v>
      </c>
      <c r="Q446">
        <v>0.7830188679245282</v>
      </c>
      <c r="R446">
        <v>16</v>
      </c>
      <c r="S446">
        <v>0.0579445814679882</v>
      </c>
      <c r="T446" t="s">
        <v>967</v>
      </c>
      <c r="U446">
        <v>0.07948032097821901</v>
      </c>
      <c r="V446" t="s">
        <v>986</v>
      </c>
      <c r="W446" t="s">
        <v>997</v>
      </c>
      <c r="X446">
        <v>7918.015678</v>
      </c>
      <c r="Y446" s="2">
        <v>44872</v>
      </c>
      <c r="Z446" t="s">
        <v>1003</v>
      </c>
    </row>
    <row r="447" spans="1:26">
      <c r="A447" s="1" t="s">
        <v>471</v>
      </c>
      <c r="B447">
        <f>HYPERLINK("https://www.suredividend.com/sure-analysis-SAN/","Banco Santander S.A.")</f>
        <v>0</v>
      </c>
      <c r="C447" t="s">
        <v>884</v>
      </c>
      <c r="D447">
        <v>2.65</v>
      </c>
      <c r="E447">
        <v>2.95</v>
      </c>
      <c r="F447">
        <v>3.58</v>
      </c>
      <c r="G447">
        <v>0.8240223463687151</v>
      </c>
      <c r="H447">
        <v>0.03728813559322033</v>
      </c>
      <c r="I447">
        <v>0.03947058017157357</v>
      </c>
      <c r="J447">
        <v>0</v>
      </c>
      <c r="K447">
        <v>0.07114187176087228</v>
      </c>
      <c r="L447" t="s">
        <v>573</v>
      </c>
      <c r="M447" t="s">
        <v>573</v>
      </c>
      <c r="N447">
        <v>5.363636363636363</v>
      </c>
      <c r="O447">
        <v>0.55</v>
      </c>
      <c r="P447">
        <v>0.11</v>
      </c>
      <c r="Q447">
        <v>0.2</v>
      </c>
      <c r="R447">
        <v>1</v>
      </c>
      <c r="S447">
        <v>0.01755457717558762</v>
      </c>
      <c r="T447" t="s">
        <v>932</v>
      </c>
      <c r="U447">
        <v>-0.069048220146427</v>
      </c>
      <c r="V447" t="s">
        <v>986</v>
      </c>
      <c r="W447" t="s">
        <v>994</v>
      </c>
      <c r="X447">
        <v>49543.484673</v>
      </c>
      <c r="Y447" s="2">
        <v>44878</v>
      </c>
      <c r="Z447" t="s">
        <v>1005</v>
      </c>
    </row>
    <row r="448" spans="1:26">
      <c r="A448" s="1" t="s">
        <v>472</v>
      </c>
      <c r="B448">
        <f>HYPERLINK("https://www.suredividend.com/sure-analysis-AGM/","Federal Agricultural Mortgage Corp.")</f>
        <v>0</v>
      </c>
      <c r="C448" t="s">
        <v>884</v>
      </c>
      <c r="D448">
        <v>126</v>
      </c>
      <c r="E448">
        <v>112.71</v>
      </c>
      <c r="F448">
        <v>101</v>
      </c>
      <c r="G448">
        <v>1.115940594059406</v>
      </c>
      <c r="H448">
        <v>0.03371484340342472</v>
      </c>
      <c r="I448">
        <v>-0.02170060533643003</v>
      </c>
      <c r="J448">
        <v>0.06</v>
      </c>
      <c r="K448">
        <v>0.06972720027523849</v>
      </c>
      <c r="L448" t="s">
        <v>573</v>
      </c>
      <c r="M448" t="s">
        <v>573</v>
      </c>
      <c r="N448">
        <v>10.06339285714286</v>
      </c>
      <c r="O448">
        <v>11.2</v>
      </c>
      <c r="P448">
        <v>3.8</v>
      </c>
      <c r="Q448">
        <v>0.3392857142857143</v>
      </c>
      <c r="R448">
        <v>11</v>
      </c>
      <c r="S448">
        <v>0.06019764974536046</v>
      </c>
      <c r="T448" t="s">
        <v>901</v>
      </c>
      <c r="U448">
        <v>-0.05485544848035501</v>
      </c>
      <c r="V448" t="s">
        <v>986</v>
      </c>
      <c r="W448" t="s">
        <v>994</v>
      </c>
      <c r="X448">
        <v>1139.931012</v>
      </c>
      <c r="Y448" s="2">
        <v>44889</v>
      </c>
      <c r="Z448" t="s">
        <v>1008</v>
      </c>
    </row>
    <row r="449" spans="1:26">
      <c r="A449" s="1" t="s">
        <v>473</v>
      </c>
      <c r="B449">
        <f>HYPERLINK("https://www.suredividend.com/sure-analysis-MDC/","M.D.C. Holdings, Inc.")</f>
        <v>0</v>
      </c>
      <c r="C449" t="s">
        <v>884</v>
      </c>
      <c r="D449">
        <v>31</v>
      </c>
      <c r="E449">
        <v>31.6</v>
      </c>
      <c r="F449">
        <v>46</v>
      </c>
      <c r="G449">
        <v>0.6869565217391305</v>
      </c>
      <c r="H449">
        <v>0.06329113924050632</v>
      </c>
      <c r="I449">
        <v>0.07798855460321041</v>
      </c>
      <c r="J449">
        <v>-0.07000000000000001</v>
      </c>
      <c r="K449">
        <v>0.06826357707652009</v>
      </c>
      <c r="L449" t="s">
        <v>573</v>
      </c>
      <c r="M449" t="s">
        <v>887</v>
      </c>
      <c r="N449">
        <v>3.775388291517324</v>
      </c>
      <c r="O449">
        <v>8.369999999999999</v>
      </c>
      <c r="P449">
        <v>2</v>
      </c>
      <c r="Q449">
        <v>0.2389486260454003</v>
      </c>
      <c r="R449">
        <v>6</v>
      </c>
      <c r="S449">
        <v>0.0602809527753625</v>
      </c>
      <c r="T449" t="s">
        <v>930</v>
      </c>
      <c r="U449">
        <v>-0.39685563281487</v>
      </c>
      <c r="V449" t="s">
        <v>986</v>
      </c>
      <c r="W449" t="s">
        <v>994</v>
      </c>
      <c r="X449">
        <v>2251.948151</v>
      </c>
      <c r="Y449" s="2">
        <v>44862</v>
      </c>
      <c r="Z449" t="s">
        <v>1011</v>
      </c>
    </row>
    <row r="450" spans="1:26">
      <c r="A450" s="1" t="s">
        <v>474</v>
      </c>
      <c r="B450">
        <f>HYPERLINK("https://www.suredividend.com/sure-analysis-IEX/","Idex Corporation")</f>
        <v>0</v>
      </c>
      <c r="C450" t="s">
        <v>884</v>
      </c>
      <c r="D450">
        <v>223</v>
      </c>
      <c r="E450">
        <v>228.33</v>
      </c>
      <c r="F450">
        <v>225</v>
      </c>
      <c r="G450">
        <v>1.0148</v>
      </c>
      <c r="H450">
        <v>0.01051110235185915</v>
      </c>
      <c r="I450">
        <v>-0.002933997141467914</v>
      </c>
      <c r="J450">
        <v>0.06</v>
      </c>
      <c r="K450">
        <v>0.06648343797264733</v>
      </c>
      <c r="L450" t="s">
        <v>573</v>
      </c>
      <c r="M450" t="s">
        <v>631</v>
      </c>
      <c r="N450">
        <v>28.3639751552795</v>
      </c>
      <c r="O450">
        <v>8.050000000000001</v>
      </c>
      <c r="P450">
        <v>2.4</v>
      </c>
      <c r="Q450">
        <v>0.2981366459627329</v>
      </c>
      <c r="R450">
        <v>13</v>
      </c>
      <c r="S450">
        <v>0.04978904632428516</v>
      </c>
      <c r="T450" t="s">
        <v>912</v>
      </c>
      <c r="U450">
        <v>-0.018526056794212</v>
      </c>
      <c r="V450" t="s">
        <v>986</v>
      </c>
      <c r="W450" t="s">
        <v>991</v>
      </c>
      <c r="X450">
        <v>17220.901818</v>
      </c>
      <c r="Y450" s="2">
        <v>44871</v>
      </c>
      <c r="Z450" t="s">
        <v>1002</v>
      </c>
    </row>
    <row r="451" spans="1:26">
      <c r="A451" s="1" t="s">
        <v>475</v>
      </c>
      <c r="B451">
        <f>HYPERLINK("https://www.suredividend.com/sure-analysis-OKE/","Oneok Inc.")</f>
        <v>0</v>
      </c>
      <c r="C451" t="s">
        <v>884</v>
      </c>
      <c r="D451">
        <v>65</v>
      </c>
      <c r="E451">
        <v>65.7</v>
      </c>
      <c r="F451">
        <v>61</v>
      </c>
      <c r="G451">
        <v>1.077049180327869</v>
      </c>
      <c r="H451">
        <v>0.05692541856925418</v>
      </c>
      <c r="I451">
        <v>-0.01473536829477462</v>
      </c>
      <c r="J451">
        <v>0.03</v>
      </c>
      <c r="K451">
        <v>0.06631136183277375</v>
      </c>
      <c r="L451" t="s">
        <v>573</v>
      </c>
      <c r="M451" t="s">
        <v>887</v>
      </c>
      <c r="N451">
        <v>11.94545454545455</v>
      </c>
      <c r="O451">
        <v>5.5</v>
      </c>
      <c r="P451">
        <v>3.74</v>
      </c>
      <c r="Q451">
        <v>0.68</v>
      </c>
      <c r="R451">
        <v>0</v>
      </c>
      <c r="S451">
        <v>0.02003644710053942</v>
      </c>
      <c r="T451" t="s">
        <v>932</v>
      </c>
      <c r="U451">
        <v>0.194269686817771</v>
      </c>
      <c r="V451" t="s">
        <v>986</v>
      </c>
      <c r="W451" t="s">
        <v>999</v>
      </c>
      <c r="X451">
        <v>29364.867419</v>
      </c>
      <c r="Y451" s="2">
        <v>44897</v>
      </c>
      <c r="Z451" t="s">
        <v>1007</v>
      </c>
    </row>
    <row r="452" spans="1:26">
      <c r="A452" s="1" t="s">
        <v>476</v>
      </c>
      <c r="B452">
        <f>HYPERLINK("https://www.suredividend.com/sure-analysis-NWE/","Northwestern Corp.")</f>
        <v>0</v>
      </c>
      <c r="C452" t="s">
        <v>884</v>
      </c>
      <c r="D452">
        <v>52</v>
      </c>
      <c r="E452">
        <v>59.34</v>
      </c>
      <c r="F452">
        <v>55</v>
      </c>
      <c r="G452">
        <v>1.078909090909091</v>
      </c>
      <c r="H452">
        <v>0.04246713852376138</v>
      </c>
      <c r="I452">
        <v>-0.01507529851600142</v>
      </c>
      <c r="J452">
        <v>0.045</v>
      </c>
      <c r="K452">
        <v>0.06613188781197876</v>
      </c>
      <c r="L452" t="s">
        <v>573</v>
      </c>
      <c r="M452" t="s">
        <v>887</v>
      </c>
      <c r="N452">
        <v>18.25846153846154</v>
      </c>
      <c r="O452">
        <v>3.25</v>
      </c>
      <c r="P452">
        <v>2.52</v>
      </c>
      <c r="Q452">
        <v>0.7753846153846153</v>
      </c>
      <c r="R452">
        <v>17</v>
      </c>
      <c r="S452">
        <v>0.01539184863075338</v>
      </c>
      <c r="T452" t="s">
        <v>901</v>
      </c>
      <c r="U452">
        <v>0.079818101419922</v>
      </c>
      <c r="V452" t="s">
        <v>986</v>
      </c>
      <c r="W452" t="s">
        <v>997</v>
      </c>
      <c r="X452">
        <v>3428.59061</v>
      </c>
      <c r="Y452" s="2">
        <v>44860</v>
      </c>
      <c r="Z452" t="s">
        <v>1017</v>
      </c>
    </row>
    <row r="453" spans="1:26">
      <c r="A453" s="1" t="s">
        <v>477</v>
      </c>
      <c r="B453">
        <f>HYPERLINK("https://www.suredividend.com/sure-analysis-IDA/","Idacorp, Inc.")</f>
        <v>0</v>
      </c>
      <c r="C453" t="s">
        <v>884</v>
      </c>
      <c r="D453">
        <v>103</v>
      </c>
      <c r="E453">
        <v>107.85</v>
      </c>
      <c r="F453">
        <v>107</v>
      </c>
      <c r="G453">
        <v>1.007943925233645</v>
      </c>
      <c r="H453">
        <v>0.02929995363931387</v>
      </c>
      <c r="I453">
        <v>-0.001581256169640777</v>
      </c>
      <c r="J453">
        <v>0.04</v>
      </c>
      <c r="K453">
        <v>0.066069552057056</v>
      </c>
      <c r="L453" t="s">
        <v>573</v>
      </c>
      <c r="M453" t="s">
        <v>573</v>
      </c>
      <c r="N453">
        <v>21.14705882352941</v>
      </c>
      <c r="O453">
        <v>5.1</v>
      </c>
      <c r="P453">
        <v>3.16</v>
      </c>
      <c r="Q453">
        <v>0.6196078431372549</v>
      </c>
      <c r="R453">
        <v>12</v>
      </c>
      <c r="S453">
        <v>0.04984115279430545</v>
      </c>
      <c r="T453" t="s">
        <v>928</v>
      </c>
      <c r="U453">
        <v>-0.01795632933292</v>
      </c>
      <c r="V453" t="s">
        <v>986</v>
      </c>
      <c r="W453" t="s">
        <v>997</v>
      </c>
      <c r="X453">
        <v>5453.100052</v>
      </c>
      <c r="Y453" s="2">
        <v>44869</v>
      </c>
      <c r="Z453" t="s">
        <v>1004</v>
      </c>
    </row>
    <row r="454" spans="1:26">
      <c r="A454" s="1" t="s">
        <v>478</v>
      </c>
      <c r="B454">
        <f>HYPERLINK("https://www.suredividend.com/sure-analysis-CLX/","Clorox Co.")</f>
        <v>0</v>
      </c>
      <c r="C454" t="s">
        <v>884</v>
      </c>
      <c r="D454">
        <v>149</v>
      </c>
      <c r="E454">
        <v>140.33</v>
      </c>
      <c r="F454">
        <v>94</v>
      </c>
      <c r="G454">
        <v>1.492872340425532</v>
      </c>
      <c r="H454">
        <v>0.03363500320672699</v>
      </c>
      <c r="I454">
        <v>-0.0770132518029043</v>
      </c>
      <c r="J454">
        <v>0.12</v>
      </c>
      <c r="K454">
        <v>0.06497350366008647</v>
      </c>
      <c r="L454" t="s">
        <v>573</v>
      </c>
      <c r="M454" t="s">
        <v>573</v>
      </c>
      <c r="N454">
        <v>34.22682926829269</v>
      </c>
      <c r="O454">
        <v>4.1</v>
      </c>
      <c r="P454">
        <v>4.72</v>
      </c>
      <c r="Q454">
        <v>1.151219512195122</v>
      </c>
      <c r="R454">
        <v>45</v>
      </c>
      <c r="S454">
        <v>0.03990574802440205</v>
      </c>
      <c r="T454" t="s">
        <v>937</v>
      </c>
      <c r="U454">
        <v>-0.160175326043242</v>
      </c>
      <c r="V454" t="s">
        <v>986</v>
      </c>
      <c r="W454" t="s">
        <v>996</v>
      </c>
      <c r="X454">
        <v>17314.588563</v>
      </c>
      <c r="Y454" s="2">
        <v>44898</v>
      </c>
      <c r="Z454" t="s">
        <v>1005</v>
      </c>
    </row>
    <row r="455" spans="1:26">
      <c r="A455" s="1" t="s">
        <v>479</v>
      </c>
      <c r="B455">
        <f>HYPERLINK("https://www.suredividend.com/sure-analysis-GS/","Goldman Sachs Group, Inc.")</f>
        <v>0</v>
      </c>
      <c r="C455" t="s">
        <v>884</v>
      </c>
      <c r="D455">
        <v>311</v>
      </c>
      <c r="E455">
        <v>343.38</v>
      </c>
      <c r="F455">
        <v>357</v>
      </c>
      <c r="G455">
        <v>0.9618487394957983</v>
      </c>
      <c r="H455">
        <v>0.02912225522744481</v>
      </c>
      <c r="I455">
        <v>0.007809955059023377</v>
      </c>
      <c r="J455">
        <v>0.03</v>
      </c>
      <c r="K455">
        <v>0.06488232036086594</v>
      </c>
      <c r="L455" t="s">
        <v>573</v>
      </c>
      <c r="M455" t="s">
        <v>572</v>
      </c>
      <c r="N455">
        <v>10.09941176470588</v>
      </c>
      <c r="O455">
        <v>34</v>
      </c>
      <c r="P455">
        <v>10</v>
      </c>
      <c r="Q455">
        <v>0.2941176470588235</v>
      </c>
      <c r="R455">
        <v>11</v>
      </c>
      <c r="S455">
        <v>0.04005933332616518</v>
      </c>
      <c r="T455" t="s">
        <v>891</v>
      </c>
      <c r="U455">
        <v>-0.09137216351490601</v>
      </c>
      <c r="V455" t="s">
        <v>986</v>
      </c>
      <c r="W455" t="s">
        <v>994</v>
      </c>
      <c r="X455">
        <v>116280.344827</v>
      </c>
      <c r="Y455" s="2">
        <v>44855</v>
      </c>
      <c r="Z455" t="s">
        <v>1005</v>
      </c>
    </row>
    <row r="456" spans="1:26">
      <c r="A456" s="1" t="s">
        <v>480</v>
      </c>
      <c r="B456">
        <f>HYPERLINK("https://www.suredividend.com/sure-analysis-FANG/","Diamondback Energy Inc")</f>
        <v>0</v>
      </c>
      <c r="C456" t="s">
        <v>885</v>
      </c>
      <c r="D456">
        <v>167</v>
      </c>
      <c r="E456">
        <v>136.78</v>
      </c>
      <c r="F456">
        <v>306</v>
      </c>
      <c r="G456">
        <v>0.4469934640522876</v>
      </c>
      <c r="H456">
        <v>0.02193303114490423</v>
      </c>
      <c r="I456">
        <v>0.1747346135256456</v>
      </c>
      <c r="J456">
        <v>-0.11</v>
      </c>
      <c r="K456">
        <v>0.064867302073087</v>
      </c>
      <c r="L456" t="s">
        <v>573</v>
      </c>
      <c r="M456" t="s">
        <v>572</v>
      </c>
      <c r="N456">
        <v>5.582857142857143</v>
      </c>
      <c r="O456">
        <v>24.5</v>
      </c>
      <c r="P456">
        <v>3</v>
      </c>
      <c r="Q456">
        <v>0.1224489795918367</v>
      </c>
      <c r="R456">
        <v>4</v>
      </c>
      <c r="S456">
        <v>0.03012896281839894</v>
      </c>
      <c r="T456" t="s">
        <v>897</v>
      </c>
      <c r="U456">
        <v>0.315721126375793</v>
      </c>
      <c r="V456" t="s">
        <v>986</v>
      </c>
      <c r="W456" t="s">
        <v>999</v>
      </c>
      <c r="X456">
        <v>24073.085362</v>
      </c>
      <c r="Y456" s="2">
        <v>44888</v>
      </c>
      <c r="Z456" t="s">
        <v>1002</v>
      </c>
    </row>
    <row r="457" spans="1:26">
      <c r="A457" s="1" t="s">
        <v>481</v>
      </c>
      <c r="B457">
        <f>HYPERLINK("https://www.suredividend.com/sure-analysis-HE/","Hawaiian Electric Industries, Inc.")</f>
        <v>0</v>
      </c>
      <c r="C457" t="s">
        <v>884</v>
      </c>
      <c r="D457">
        <v>38</v>
      </c>
      <c r="E457">
        <v>41.85</v>
      </c>
      <c r="F457">
        <v>39</v>
      </c>
      <c r="G457">
        <v>1.073076923076923</v>
      </c>
      <c r="H457">
        <v>0.03345280764635603</v>
      </c>
      <c r="I457">
        <v>-0.01400700627583007</v>
      </c>
      <c r="J457">
        <v>0.047</v>
      </c>
      <c r="K457">
        <v>0.06416997596564245</v>
      </c>
      <c r="L457" t="s">
        <v>573</v>
      </c>
      <c r="M457" t="s">
        <v>573</v>
      </c>
      <c r="N457">
        <v>19.55607476635514</v>
      </c>
      <c r="O457">
        <v>2.14</v>
      </c>
      <c r="P457">
        <v>1.4</v>
      </c>
      <c r="Q457">
        <v>0.6542056074766355</v>
      </c>
      <c r="R457">
        <v>4</v>
      </c>
      <c r="S457">
        <v>0.04683184708394994</v>
      </c>
      <c r="T457" t="s">
        <v>906</v>
      </c>
      <c r="U457">
        <v>0.040607306878451</v>
      </c>
      <c r="V457" t="s">
        <v>986</v>
      </c>
      <c r="W457" t="s">
        <v>997</v>
      </c>
      <c r="X457">
        <v>4581.337872</v>
      </c>
      <c r="Y457" s="2">
        <v>44875</v>
      </c>
      <c r="Z457" t="s">
        <v>1011</v>
      </c>
    </row>
    <row r="458" spans="1:26">
      <c r="A458" s="1" t="s">
        <v>482</v>
      </c>
      <c r="B458">
        <f>HYPERLINK("https://www.suredividend.com/sure-analysis-RGA/","Reinsurance Group Of America, Inc.")</f>
        <v>0</v>
      </c>
      <c r="C458" t="s">
        <v>884</v>
      </c>
      <c r="D458">
        <v>135</v>
      </c>
      <c r="E458">
        <v>142.09</v>
      </c>
      <c r="F458">
        <v>174</v>
      </c>
      <c r="G458">
        <v>0.8166091954022988</v>
      </c>
      <c r="H458">
        <v>0.02252093743402069</v>
      </c>
      <c r="I458">
        <v>0.04135102011739478</v>
      </c>
      <c r="J458">
        <v>0</v>
      </c>
      <c r="K458">
        <v>0.06266912668814939</v>
      </c>
      <c r="L458" t="s">
        <v>573</v>
      </c>
      <c r="M458" t="s">
        <v>572</v>
      </c>
      <c r="N458">
        <v>9.799310344827587</v>
      </c>
      <c r="O458">
        <v>14.5</v>
      </c>
      <c r="P458">
        <v>3.2</v>
      </c>
      <c r="Q458">
        <v>0.2206896551724138</v>
      </c>
      <c r="R458">
        <v>13</v>
      </c>
      <c r="S458">
        <v>0.04978904632428516</v>
      </c>
      <c r="T458" t="s">
        <v>907</v>
      </c>
      <c r="U458">
        <v>0.32418299800846</v>
      </c>
      <c r="V458" t="s">
        <v>986</v>
      </c>
      <c r="W458" t="s">
        <v>994</v>
      </c>
      <c r="X458">
        <v>9496.727097999999</v>
      </c>
      <c r="Y458" s="2">
        <v>44882</v>
      </c>
      <c r="Z458" t="s">
        <v>1008</v>
      </c>
    </row>
    <row r="459" spans="1:26">
      <c r="A459" s="1" t="s">
        <v>483</v>
      </c>
      <c r="B459">
        <f>HYPERLINK("https://www.suredividend.com/sure-analysis-BG/","Bunge Ltd.")</f>
        <v>0</v>
      </c>
      <c r="C459" t="s">
        <v>884</v>
      </c>
      <c r="D459">
        <v>98</v>
      </c>
      <c r="E459">
        <v>99.77</v>
      </c>
      <c r="F459">
        <v>135</v>
      </c>
      <c r="G459">
        <v>0.739037037037037</v>
      </c>
      <c r="H459">
        <v>0.02505763255487622</v>
      </c>
      <c r="I459">
        <v>0.06234788903094413</v>
      </c>
      <c r="J459">
        <v>-0.022</v>
      </c>
      <c r="K459">
        <v>0.06258525231325085</v>
      </c>
      <c r="L459" t="s">
        <v>573</v>
      </c>
      <c r="M459" t="s">
        <v>572</v>
      </c>
      <c r="N459">
        <v>7.39037037037037</v>
      </c>
      <c r="O459">
        <v>13.5</v>
      </c>
      <c r="P459">
        <v>2.5</v>
      </c>
      <c r="Q459">
        <v>0.1851851851851852</v>
      </c>
      <c r="R459">
        <v>2</v>
      </c>
      <c r="S459">
        <v>0.04664144477104482</v>
      </c>
      <c r="T459" t="s">
        <v>894</v>
      </c>
      <c r="U459">
        <v>0.108197238448457</v>
      </c>
      <c r="V459" t="s">
        <v>986</v>
      </c>
      <c r="W459" t="s">
        <v>996</v>
      </c>
      <c r="X459">
        <v>14945.562263</v>
      </c>
      <c r="Y459" s="2">
        <v>44864</v>
      </c>
      <c r="Z459" t="s">
        <v>1010</v>
      </c>
    </row>
    <row r="460" spans="1:26">
      <c r="A460" s="1" t="s">
        <v>484</v>
      </c>
      <c r="B460">
        <f>HYPERLINK("https://www.suredividend.com/sure-analysis-MMC/","Marsh &amp; McLennan Cos., Inc.")</f>
        <v>0</v>
      </c>
      <c r="C460" t="s">
        <v>884</v>
      </c>
      <c r="D460">
        <v>153</v>
      </c>
      <c r="E460">
        <v>165.48</v>
      </c>
      <c r="F460">
        <v>152</v>
      </c>
      <c r="G460">
        <v>1.088684210526316</v>
      </c>
      <c r="H460">
        <v>0.01426154218032391</v>
      </c>
      <c r="I460">
        <v>-0.01685038123876992</v>
      </c>
      <c r="J460">
        <v>0.065</v>
      </c>
      <c r="K460">
        <v>0.06087005604186846</v>
      </c>
      <c r="L460" t="s">
        <v>573</v>
      </c>
      <c r="M460" t="s">
        <v>631</v>
      </c>
      <c r="N460">
        <v>24.44313146233383</v>
      </c>
      <c r="O460">
        <v>6.77</v>
      </c>
      <c r="P460">
        <v>2.36</v>
      </c>
      <c r="Q460">
        <v>0.3485967503692762</v>
      </c>
      <c r="R460">
        <v>12</v>
      </c>
      <c r="S460">
        <v>0.0601199707922162</v>
      </c>
      <c r="T460" t="s">
        <v>903</v>
      </c>
      <c r="U460">
        <v>-0.032665372834194</v>
      </c>
      <c r="V460" t="s">
        <v>986</v>
      </c>
      <c r="W460" t="s">
        <v>994</v>
      </c>
      <c r="X460">
        <v>82079.653053</v>
      </c>
      <c r="Y460" s="2">
        <v>44861</v>
      </c>
      <c r="Z460" t="s">
        <v>1008</v>
      </c>
    </row>
    <row r="461" spans="1:26">
      <c r="A461" s="1" t="s">
        <v>485</v>
      </c>
      <c r="B461">
        <f>HYPERLINK("https://www.suredividend.com/sure-analysis-TKR/","Timken Co.")</f>
        <v>0</v>
      </c>
      <c r="C461" t="s">
        <v>884</v>
      </c>
      <c r="D461">
        <v>72</v>
      </c>
      <c r="E461">
        <v>70.67</v>
      </c>
      <c r="F461">
        <v>76</v>
      </c>
      <c r="G461">
        <v>0.9298684210526316</v>
      </c>
      <c r="H461">
        <v>0.01754634215367199</v>
      </c>
      <c r="I461">
        <v>0.01464869280276648</v>
      </c>
      <c r="J461">
        <v>0.03</v>
      </c>
      <c r="K461">
        <v>0.06071741621822047</v>
      </c>
      <c r="L461" t="s">
        <v>573</v>
      </c>
      <c r="M461" t="s">
        <v>572</v>
      </c>
      <c r="N461">
        <v>12.0187074829932</v>
      </c>
      <c r="O461">
        <v>5.88</v>
      </c>
      <c r="P461">
        <v>1.24</v>
      </c>
      <c r="Q461">
        <v>0.2108843537414966</v>
      </c>
      <c r="R461">
        <v>9</v>
      </c>
      <c r="S461">
        <v>0.03035803310185115</v>
      </c>
      <c r="T461" t="s">
        <v>949</v>
      </c>
      <c r="U461">
        <v>0.034301579333287</v>
      </c>
      <c r="V461" t="s">
        <v>986</v>
      </c>
      <c r="W461" t="s">
        <v>991</v>
      </c>
      <c r="X461">
        <v>5140.789647</v>
      </c>
      <c r="Y461" s="2">
        <v>44866</v>
      </c>
      <c r="Z461" t="s">
        <v>1017</v>
      </c>
    </row>
    <row r="462" spans="1:26">
      <c r="A462" s="1" t="s">
        <v>486</v>
      </c>
      <c r="B462">
        <f>HYPERLINK("https://www.suredividend.com/sure-analysis-AVY/","Avery Dennison Corp.")</f>
        <v>0</v>
      </c>
      <c r="C462" t="s">
        <v>884</v>
      </c>
      <c r="D462">
        <v>169</v>
      </c>
      <c r="E462">
        <v>181</v>
      </c>
      <c r="F462">
        <v>176</v>
      </c>
      <c r="G462">
        <v>1.028409090909091</v>
      </c>
      <c r="H462">
        <v>0.01657458563535912</v>
      </c>
      <c r="I462">
        <v>-0.005586941910787457</v>
      </c>
      <c r="J462">
        <v>0.05</v>
      </c>
      <c r="K462">
        <v>0.06027963558671923</v>
      </c>
      <c r="L462" t="s">
        <v>573</v>
      </c>
      <c r="M462" t="s">
        <v>631</v>
      </c>
      <c r="N462">
        <v>18.46938775510204</v>
      </c>
      <c r="O462">
        <v>9.800000000000001</v>
      </c>
      <c r="P462">
        <v>3</v>
      </c>
      <c r="Q462">
        <v>0.3061224489795918</v>
      </c>
      <c r="R462">
        <v>12</v>
      </c>
      <c r="S462">
        <v>0.05975292415044642</v>
      </c>
      <c r="T462" t="s">
        <v>915</v>
      </c>
      <c r="U462">
        <v>-0.152656235443593</v>
      </c>
      <c r="V462" t="s">
        <v>986</v>
      </c>
      <c r="W462" t="s">
        <v>991</v>
      </c>
      <c r="X462">
        <v>14655.391534</v>
      </c>
      <c r="Y462" s="2">
        <v>44875</v>
      </c>
      <c r="Z462" t="s">
        <v>1002</v>
      </c>
    </row>
    <row r="463" spans="1:26">
      <c r="A463" s="1" t="s">
        <v>487</v>
      </c>
      <c r="B463">
        <f>HYPERLINK("https://www.suredividend.com/sure-analysis-WPC/","W. P. Carey Inc")</f>
        <v>0</v>
      </c>
      <c r="C463" t="s">
        <v>884</v>
      </c>
      <c r="D463">
        <v>79</v>
      </c>
      <c r="E463">
        <v>78.15000000000001</v>
      </c>
      <c r="F463">
        <v>69</v>
      </c>
      <c r="G463">
        <v>1.132608695652174</v>
      </c>
      <c r="H463">
        <v>0.05425463851567498</v>
      </c>
      <c r="I463">
        <v>-0.02459714670488977</v>
      </c>
      <c r="J463">
        <v>0.035</v>
      </c>
      <c r="K463">
        <v>0.0597376670213281</v>
      </c>
      <c r="L463" t="s">
        <v>573</v>
      </c>
      <c r="M463" t="s">
        <v>886</v>
      </c>
      <c r="N463">
        <v>14.80113636363636</v>
      </c>
      <c r="O463">
        <v>5.28</v>
      </c>
      <c r="P463">
        <v>4.24</v>
      </c>
      <c r="Q463">
        <v>0.803030303030303</v>
      </c>
      <c r="R463">
        <v>26</v>
      </c>
      <c r="S463">
        <v>0.01994322923769842</v>
      </c>
      <c r="T463" t="s">
        <v>905</v>
      </c>
      <c r="U463">
        <v>0.005446005040738</v>
      </c>
      <c r="V463" t="s">
        <v>987</v>
      </c>
      <c r="W463" t="s">
        <v>1000</v>
      </c>
      <c r="X463">
        <v>16257.756912</v>
      </c>
      <c r="Y463" s="2">
        <v>44881</v>
      </c>
      <c r="Z463" t="s">
        <v>1007</v>
      </c>
    </row>
    <row r="464" spans="1:26">
      <c r="A464" s="1" t="s">
        <v>488</v>
      </c>
      <c r="B464">
        <f>HYPERLINK("https://www.suredividend.com/sure-analysis-WEC/","WEC Energy Group Inc")</f>
        <v>0</v>
      </c>
      <c r="C464" t="s">
        <v>884</v>
      </c>
      <c r="D464">
        <v>92</v>
      </c>
      <c r="E464">
        <v>93.76000000000001</v>
      </c>
      <c r="F464">
        <v>83</v>
      </c>
      <c r="G464">
        <v>1.129638554216867</v>
      </c>
      <c r="H464">
        <v>0.03327645051194539</v>
      </c>
      <c r="I464">
        <v>-0.02408476293155182</v>
      </c>
      <c r="J464">
        <v>0.052</v>
      </c>
      <c r="K464">
        <v>0.05816164585635231</v>
      </c>
      <c r="L464" t="s">
        <v>573</v>
      </c>
      <c r="M464" t="s">
        <v>887</v>
      </c>
      <c r="N464">
        <v>21.35763097949886</v>
      </c>
      <c r="O464">
        <v>4.39</v>
      </c>
      <c r="P464">
        <v>3.12</v>
      </c>
      <c r="Q464">
        <v>0.7107061503416857</v>
      </c>
      <c r="R464">
        <v>20</v>
      </c>
      <c r="S464">
        <v>0.03746949225212437</v>
      </c>
      <c r="T464" t="s">
        <v>914</v>
      </c>
      <c r="U464">
        <v>0.002691739663751</v>
      </c>
      <c r="V464" t="s">
        <v>986</v>
      </c>
      <c r="W464" t="s">
        <v>997</v>
      </c>
      <c r="X464">
        <v>29575.141627</v>
      </c>
      <c r="Y464" s="2">
        <v>44867</v>
      </c>
      <c r="Z464" t="s">
        <v>1001</v>
      </c>
    </row>
    <row r="465" spans="1:26">
      <c r="A465" s="1" t="s">
        <v>489</v>
      </c>
      <c r="B465">
        <f>HYPERLINK("https://www.suredividend.com/sure-analysis-MU/","Micron Technology Inc.")</f>
        <v>0</v>
      </c>
      <c r="C465" t="s">
        <v>884</v>
      </c>
      <c r="D465">
        <v>50</v>
      </c>
      <c r="E465">
        <v>49.98</v>
      </c>
      <c r="F465">
        <v>53</v>
      </c>
      <c r="G465">
        <v>0.9430188679245283</v>
      </c>
      <c r="H465">
        <v>0.009203681472589037</v>
      </c>
      <c r="I465">
        <v>0.01180290867963496</v>
      </c>
      <c r="J465">
        <v>0.035</v>
      </c>
      <c r="K465">
        <v>0.05606590214385077</v>
      </c>
      <c r="L465" t="s">
        <v>573</v>
      </c>
      <c r="M465" t="s">
        <v>631</v>
      </c>
      <c r="N465">
        <v>8.126829268292681</v>
      </c>
      <c r="O465">
        <v>6.15</v>
      </c>
      <c r="P465">
        <v>0.46</v>
      </c>
      <c r="Q465">
        <v>0.07479674796747968</v>
      </c>
      <c r="R465">
        <v>1</v>
      </c>
      <c r="S465">
        <v>0.05457794330579446</v>
      </c>
      <c r="T465" t="s">
        <v>898</v>
      </c>
      <c r="U465">
        <v>-0.46298715810827</v>
      </c>
      <c r="V465" t="s">
        <v>986</v>
      </c>
      <c r="W465" t="s">
        <v>993</v>
      </c>
      <c r="X465">
        <v>54537.004069</v>
      </c>
      <c r="Y465" s="2">
        <v>44919</v>
      </c>
      <c r="Z465" t="s">
        <v>1017</v>
      </c>
    </row>
    <row r="466" spans="1:26">
      <c r="A466" s="1" t="s">
        <v>490</v>
      </c>
      <c r="B466">
        <f>HYPERLINK("https://www.suredividend.com/sure-analysis-MAR/","Marriott International, Inc.")</f>
        <v>0</v>
      </c>
      <c r="C466" t="s">
        <v>884</v>
      </c>
      <c r="D466">
        <v>161</v>
      </c>
      <c r="E466">
        <v>148.89</v>
      </c>
      <c r="F466">
        <v>118</v>
      </c>
      <c r="G466">
        <v>1.261779661016949</v>
      </c>
      <c r="H466">
        <v>0.006044731009470079</v>
      </c>
      <c r="I466">
        <v>-0.04543985977952192</v>
      </c>
      <c r="J466">
        <v>0.1</v>
      </c>
      <c r="K466">
        <v>0.05494242173755892</v>
      </c>
      <c r="L466" t="s">
        <v>573</v>
      </c>
      <c r="M466" t="s">
        <v>631</v>
      </c>
      <c r="N466">
        <v>22.69664634146341</v>
      </c>
      <c r="O466">
        <v>6.56</v>
      </c>
      <c r="P466">
        <v>0.9</v>
      </c>
      <c r="Q466">
        <v>0.1371951219512195</v>
      </c>
      <c r="R466">
        <v>0</v>
      </c>
      <c r="S466">
        <v>0</v>
      </c>
      <c r="T466" t="s">
        <v>924</v>
      </c>
      <c r="U466">
        <v>-0.09130856692971001</v>
      </c>
      <c r="V466" t="s">
        <v>986</v>
      </c>
      <c r="W466" t="s">
        <v>992</v>
      </c>
      <c r="X466">
        <v>47129.58298</v>
      </c>
      <c r="Y466" s="2">
        <v>44895</v>
      </c>
      <c r="Z466" t="s">
        <v>1006</v>
      </c>
    </row>
    <row r="467" spans="1:26">
      <c r="A467" s="1" t="s">
        <v>491</v>
      </c>
      <c r="B467">
        <f>HYPERLINK("https://www.suredividend.com/sure-analysis-STZ/","Constellation Brands Inc")</f>
        <v>0</v>
      </c>
      <c r="C467" t="s">
        <v>884</v>
      </c>
      <c r="D467">
        <v>226</v>
      </c>
      <c r="E467">
        <v>231.75</v>
      </c>
      <c r="F467">
        <v>217</v>
      </c>
      <c r="G467">
        <v>1.067972350230415</v>
      </c>
      <c r="H467">
        <v>0.01380798274002158</v>
      </c>
      <c r="I467">
        <v>-0.01306625571030495</v>
      </c>
      <c r="J467">
        <v>0.055</v>
      </c>
      <c r="K467">
        <v>0.05449579429468177</v>
      </c>
      <c r="L467" t="s">
        <v>573</v>
      </c>
      <c r="M467" t="s">
        <v>631</v>
      </c>
      <c r="N467">
        <v>20.99184782608696</v>
      </c>
      <c r="O467">
        <v>11.04</v>
      </c>
      <c r="P467">
        <v>3.2</v>
      </c>
      <c r="Q467">
        <v>0.2898550724637682</v>
      </c>
      <c r="R467">
        <v>7</v>
      </c>
      <c r="S467">
        <v>0.04978904632428516</v>
      </c>
      <c r="T467" t="s">
        <v>927</v>
      </c>
      <c r="U467">
        <v>-0.058352484567951</v>
      </c>
      <c r="V467" t="s">
        <v>986</v>
      </c>
      <c r="W467" t="s">
        <v>996</v>
      </c>
      <c r="X467">
        <v>37363.777412</v>
      </c>
      <c r="Y467" s="2">
        <v>44854</v>
      </c>
      <c r="Z467" t="s">
        <v>1008</v>
      </c>
    </row>
    <row r="468" spans="1:26">
      <c r="A468" s="1" t="s">
        <v>492</v>
      </c>
      <c r="B468">
        <f>HYPERLINK("https://www.suredividend.com/sure-analysis-OLN/","Olin Corp.")</f>
        <v>0</v>
      </c>
      <c r="C468" t="s">
        <v>884</v>
      </c>
      <c r="D468">
        <v>54</v>
      </c>
      <c r="E468">
        <v>52.94</v>
      </c>
      <c r="F468">
        <v>56</v>
      </c>
      <c r="G468">
        <v>0.9453571428571428</v>
      </c>
      <c r="H468">
        <v>0.01511144692104269</v>
      </c>
      <c r="I468">
        <v>0.01130188795854559</v>
      </c>
      <c r="J468">
        <v>0.03</v>
      </c>
      <c r="K468">
        <v>0.05417192275008564</v>
      </c>
      <c r="L468" t="s">
        <v>573</v>
      </c>
      <c r="M468" t="s">
        <v>572</v>
      </c>
      <c r="N468">
        <v>5.981920903954802</v>
      </c>
      <c r="O468">
        <v>8.85</v>
      </c>
      <c r="P468">
        <v>0.8</v>
      </c>
      <c r="Q468">
        <v>0.09039548022598871</v>
      </c>
      <c r="R468">
        <v>0</v>
      </c>
      <c r="S468">
        <v>0</v>
      </c>
      <c r="T468" t="s">
        <v>890</v>
      </c>
      <c r="U468">
        <v>-0.064555230821968</v>
      </c>
      <c r="V468" t="s">
        <v>986</v>
      </c>
      <c r="W468" t="s">
        <v>990</v>
      </c>
      <c r="X468">
        <v>7250.706711</v>
      </c>
      <c r="Y468" s="2">
        <v>44874</v>
      </c>
      <c r="Z468" t="s">
        <v>1008</v>
      </c>
    </row>
    <row r="469" spans="1:26">
      <c r="A469" s="1" t="s">
        <v>493</v>
      </c>
      <c r="B469">
        <f>HYPERLINK("https://www.suredividend.com/sure-analysis-BUD/","Anheuser-Busch In Bev SA/NV")</f>
        <v>0</v>
      </c>
      <c r="C469" t="s">
        <v>884</v>
      </c>
      <c r="D469">
        <v>54</v>
      </c>
      <c r="E469">
        <v>60.04</v>
      </c>
      <c r="F469">
        <v>65</v>
      </c>
      <c r="G469">
        <v>0.9236923076923077</v>
      </c>
      <c r="H469">
        <v>0.00882744836775483</v>
      </c>
      <c r="I469">
        <v>0.01600193392714222</v>
      </c>
      <c r="J469">
        <v>0.03</v>
      </c>
      <c r="K469">
        <v>0.05374109693784268</v>
      </c>
      <c r="L469" t="s">
        <v>573</v>
      </c>
      <c r="M469" t="s">
        <v>631</v>
      </c>
      <c r="N469">
        <v>18.58823529411765</v>
      </c>
      <c r="O469">
        <v>3.23</v>
      </c>
      <c r="P469">
        <v>0.53</v>
      </c>
      <c r="Q469">
        <v>0.1640866873065016</v>
      </c>
      <c r="R469">
        <v>0</v>
      </c>
      <c r="S469">
        <v>0</v>
      </c>
      <c r="T469" t="s">
        <v>968</v>
      </c>
      <c r="U469">
        <v>0.001213996985018</v>
      </c>
      <c r="V469" t="s">
        <v>986</v>
      </c>
      <c r="W469" t="s">
        <v>996</v>
      </c>
      <c r="X469">
        <v>104296.712779</v>
      </c>
      <c r="Y469" s="2">
        <v>44877</v>
      </c>
      <c r="Z469" t="s">
        <v>1015</v>
      </c>
    </row>
    <row r="470" spans="1:26">
      <c r="A470" s="1" t="s">
        <v>494</v>
      </c>
      <c r="B470">
        <f>HYPERLINK("https://www.suredividend.com/sure-analysis-PNW/","Pinnacle West Capital Corp.")</f>
        <v>0</v>
      </c>
      <c r="C470" t="s">
        <v>884</v>
      </c>
      <c r="D470">
        <v>77</v>
      </c>
      <c r="E470">
        <v>76.04000000000001</v>
      </c>
      <c r="F470">
        <v>73</v>
      </c>
      <c r="G470">
        <v>1.041643835616438</v>
      </c>
      <c r="H470">
        <v>0.04497632824829037</v>
      </c>
      <c r="I470">
        <v>-0.008126812742055067</v>
      </c>
      <c r="J470">
        <v>0.02</v>
      </c>
      <c r="K470">
        <v>0.05368515923967165</v>
      </c>
      <c r="L470" t="s">
        <v>573</v>
      </c>
      <c r="M470" t="s">
        <v>887</v>
      </c>
      <c r="N470">
        <v>17.76635514018692</v>
      </c>
      <c r="O470">
        <v>4.28</v>
      </c>
      <c r="P470">
        <v>3.42</v>
      </c>
      <c r="Q470">
        <v>0.7990654205607476</v>
      </c>
      <c r="R470">
        <v>11</v>
      </c>
      <c r="S470">
        <v>0.02021836907521135</v>
      </c>
      <c r="T470" t="s">
        <v>932</v>
      </c>
      <c r="U470">
        <v>0.13149373839341</v>
      </c>
      <c r="V470" t="s">
        <v>986</v>
      </c>
      <c r="W470" t="s">
        <v>997</v>
      </c>
      <c r="X470">
        <v>8603.181036</v>
      </c>
      <c r="Y470" s="2">
        <v>44895</v>
      </c>
      <c r="Z470" t="s">
        <v>1006</v>
      </c>
    </row>
    <row r="471" spans="1:26">
      <c r="A471" s="1" t="s">
        <v>495</v>
      </c>
      <c r="B471">
        <f>HYPERLINK("https://www.suredividend.com/sure-analysis-NNN/","National Retail Properties Inc")</f>
        <v>0</v>
      </c>
      <c r="C471" t="s">
        <v>884</v>
      </c>
      <c r="D471">
        <v>44.8</v>
      </c>
      <c r="E471">
        <v>45.76</v>
      </c>
      <c r="F471">
        <v>43.7</v>
      </c>
      <c r="G471">
        <v>1.047139588100686</v>
      </c>
      <c r="H471">
        <v>0.04807692307692308</v>
      </c>
      <c r="I471">
        <v>-0.009170144395090118</v>
      </c>
      <c r="J471">
        <v>0.013</v>
      </c>
      <c r="K471">
        <v>0.0527077946418324</v>
      </c>
      <c r="L471" t="s">
        <v>573</v>
      </c>
      <c r="M471" t="s">
        <v>886</v>
      </c>
      <c r="N471">
        <v>14.66666666666667</v>
      </c>
      <c r="O471">
        <v>3.12</v>
      </c>
      <c r="P471">
        <v>2.2</v>
      </c>
      <c r="Q471">
        <v>0.7051282051282052</v>
      </c>
      <c r="R471">
        <v>21</v>
      </c>
      <c r="S471">
        <v>0.04411417840271858</v>
      </c>
      <c r="T471" t="s">
        <v>926</v>
      </c>
      <c r="U471">
        <v>0.000150809453348</v>
      </c>
      <c r="V471" t="s">
        <v>987</v>
      </c>
      <c r="W471" t="s">
        <v>1000</v>
      </c>
      <c r="X471">
        <v>8178.812425</v>
      </c>
      <c r="Y471" s="2">
        <v>44882</v>
      </c>
      <c r="Z471" t="s">
        <v>1009</v>
      </c>
    </row>
    <row r="472" spans="1:26">
      <c r="A472" s="1" t="s">
        <v>496</v>
      </c>
      <c r="B472">
        <f>HYPERLINK("https://www.suredividend.com/sure-analysis-PHM/","PulteGroup Inc")</f>
        <v>0</v>
      </c>
      <c r="C472" t="s">
        <v>884</v>
      </c>
      <c r="D472">
        <v>38</v>
      </c>
      <c r="E472">
        <v>45.53</v>
      </c>
      <c r="F472">
        <v>71</v>
      </c>
      <c r="G472">
        <v>0.6412676056338028</v>
      </c>
      <c r="H472">
        <v>0.01317812431363936</v>
      </c>
      <c r="I472">
        <v>0.09292947791975981</v>
      </c>
      <c r="J472">
        <v>-0.05</v>
      </c>
      <c r="K472">
        <v>0.05116254861312464</v>
      </c>
      <c r="L472" t="s">
        <v>573</v>
      </c>
      <c r="M472" t="s">
        <v>572</v>
      </c>
      <c r="N472">
        <v>4.463725490196079</v>
      </c>
      <c r="O472">
        <v>10.2</v>
      </c>
      <c r="P472">
        <v>0.6</v>
      </c>
      <c r="Q472">
        <v>0.05882352941176471</v>
      </c>
      <c r="R472">
        <v>4</v>
      </c>
      <c r="S472">
        <v>0.05115774595007161</v>
      </c>
      <c r="T472" t="s">
        <v>955</v>
      </c>
      <c r="U472">
        <v>-0.184976209826111</v>
      </c>
      <c r="V472" t="s">
        <v>986</v>
      </c>
      <c r="W472" t="s">
        <v>992</v>
      </c>
      <c r="X472">
        <v>10372.632034</v>
      </c>
      <c r="Y472" s="2">
        <v>44874</v>
      </c>
      <c r="Z472" t="s">
        <v>1008</v>
      </c>
    </row>
    <row r="473" spans="1:26">
      <c r="A473" s="1" t="s">
        <v>497</v>
      </c>
      <c r="B473">
        <f>HYPERLINK("https://www.suredividend.com/sure-analysis-SO/","Southern Company")</f>
        <v>0</v>
      </c>
      <c r="C473" t="s">
        <v>884</v>
      </c>
      <c r="D473">
        <v>66</v>
      </c>
      <c r="E473">
        <v>71.41</v>
      </c>
      <c r="F473">
        <v>60</v>
      </c>
      <c r="G473">
        <v>1.190166666666667</v>
      </c>
      <c r="H473">
        <v>0.03808990337487747</v>
      </c>
      <c r="I473">
        <v>-0.03421947528144864</v>
      </c>
      <c r="J473">
        <v>0.05</v>
      </c>
      <c r="K473">
        <v>0.05102665766588066</v>
      </c>
      <c r="L473" t="s">
        <v>573</v>
      </c>
      <c r="M473" t="s">
        <v>887</v>
      </c>
      <c r="N473">
        <v>19.94692737430168</v>
      </c>
      <c r="O473">
        <v>3.58</v>
      </c>
      <c r="P473">
        <v>2.72</v>
      </c>
      <c r="Q473">
        <v>0.7597765363128492</v>
      </c>
      <c r="R473">
        <v>21</v>
      </c>
      <c r="S473">
        <v>0.03303780411393231</v>
      </c>
      <c r="T473" t="s">
        <v>949</v>
      </c>
      <c r="U473">
        <v>0.085898675814918</v>
      </c>
      <c r="V473" t="s">
        <v>986</v>
      </c>
      <c r="W473" t="s">
        <v>997</v>
      </c>
      <c r="X473">
        <v>77742.126647</v>
      </c>
      <c r="Y473" s="2">
        <v>44865</v>
      </c>
      <c r="Z473" t="s">
        <v>1003</v>
      </c>
    </row>
    <row r="474" spans="1:26">
      <c r="A474" s="1" t="s">
        <v>498</v>
      </c>
      <c r="B474">
        <f>HYPERLINK("https://www.suredividend.com/sure-analysis-GE/","General Electric Co.")</f>
        <v>0</v>
      </c>
      <c r="C474" t="s">
        <v>884</v>
      </c>
      <c r="D474">
        <v>71</v>
      </c>
      <c r="E474">
        <v>83.79000000000001</v>
      </c>
      <c r="F474">
        <v>42</v>
      </c>
      <c r="G474">
        <v>1.995</v>
      </c>
      <c r="H474">
        <v>0.00381907148824442</v>
      </c>
      <c r="I474">
        <v>-0.1290135073098992</v>
      </c>
      <c r="J474">
        <v>0.2</v>
      </c>
      <c r="K474">
        <v>0.04947147181959677</v>
      </c>
      <c r="L474" t="s">
        <v>573</v>
      </c>
      <c r="M474" t="s">
        <v>631</v>
      </c>
      <c r="N474">
        <v>32.22692307692308</v>
      </c>
      <c r="O474">
        <v>2.6</v>
      </c>
      <c r="P474">
        <v>0.32</v>
      </c>
      <c r="Q474">
        <v>0.1230769230769231</v>
      </c>
      <c r="R474">
        <v>0</v>
      </c>
      <c r="S474">
        <v>0.1019722877214801</v>
      </c>
      <c r="T474" t="s">
        <v>901</v>
      </c>
      <c r="U474">
        <v>-0.111395328860085</v>
      </c>
      <c r="V474" t="s">
        <v>986</v>
      </c>
      <c r="W474" t="s">
        <v>991</v>
      </c>
      <c r="X474">
        <v>91554.663451</v>
      </c>
      <c r="Y474" s="2">
        <v>44860</v>
      </c>
      <c r="Z474" t="s">
        <v>1011</v>
      </c>
    </row>
    <row r="475" spans="1:26">
      <c r="A475" s="1" t="s">
        <v>499</v>
      </c>
      <c r="B475">
        <f>HYPERLINK("https://www.suredividend.com/sure-analysis-DKS/","Dicks Sporting Goods, Inc.")</f>
        <v>0</v>
      </c>
      <c r="C475" t="s">
        <v>884</v>
      </c>
      <c r="D475">
        <v>119</v>
      </c>
      <c r="E475">
        <v>120.29</v>
      </c>
      <c r="F475">
        <v>118</v>
      </c>
      <c r="G475">
        <v>1.019406779661017</v>
      </c>
      <c r="H475">
        <v>0.01621082384238091</v>
      </c>
      <c r="I475">
        <v>-0.003836794530444276</v>
      </c>
      <c r="J475">
        <v>0.035</v>
      </c>
      <c r="K475">
        <v>0.04909939353081727</v>
      </c>
      <c r="L475" t="s">
        <v>573</v>
      </c>
      <c r="M475" t="s">
        <v>572</v>
      </c>
      <c r="N475">
        <v>10.19406779661017</v>
      </c>
      <c r="O475">
        <v>11.8</v>
      </c>
      <c r="P475">
        <v>1.95</v>
      </c>
      <c r="Q475">
        <v>0.1652542372881356</v>
      </c>
      <c r="R475">
        <v>8</v>
      </c>
      <c r="S475">
        <v>0.08997698704834534</v>
      </c>
      <c r="T475" t="s">
        <v>920</v>
      </c>
      <c r="U475">
        <v>0.09607140091027901</v>
      </c>
      <c r="V475" t="s">
        <v>986</v>
      </c>
      <c r="W475" t="s">
        <v>992</v>
      </c>
      <c r="X475">
        <v>6688.522882</v>
      </c>
      <c r="Y475" s="2">
        <v>44895</v>
      </c>
      <c r="Z475" t="s">
        <v>1008</v>
      </c>
    </row>
    <row r="476" spans="1:26">
      <c r="A476" s="1" t="s">
        <v>500</v>
      </c>
      <c r="B476">
        <f>HYPERLINK("https://www.suredividend.com/sure-analysis-UBS/","UBS Group AG")</f>
        <v>0</v>
      </c>
      <c r="C476" t="s">
        <v>884</v>
      </c>
      <c r="D476">
        <v>16</v>
      </c>
      <c r="E476">
        <v>18.67</v>
      </c>
      <c r="F476">
        <v>18</v>
      </c>
      <c r="G476">
        <v>1.037222222222222</v>
      </c>
      <c r="H476">
        <v>0.02678093197643278</v>
      </c>
      <c r="I476">
        <v>-0.007282592401229082</v>
      </c>
      <c r="J476">
        <v>0.03</v>
      </c>
      <c r="K476">
        <v>0.04876337281045862</v>
      </c>
      <c r="L476" t="s">
        <v>573</v>
      </c>
      <c r="M476" t="s">
        <v>572</v>
      </c>
      <c r="N476">
        <v>7.779166666666668</v>
      </c>
      <c r="O476">
        <v>2.4</v>
      </c>
      <c r="P476">
        <v>0.5</v>
      </c>
      <c r="Q476">
        <v>0.2083333333333333</v>
      </c>
      <c r="R476">
        <v>1</v>
      </c>
      <c r="S476">
        <v>0.04057159395880827</v>
      </c>
      <c r="T476" t="s">
        <v>969</v>
      </c>
      <c r="U476">
        <v>0.056204565383418</v>
      </c>
      <c r="V476" t="s">
        <v>986</v>
      </c>
      <c r="W476" t="s">
        <v>994</v>
      </c>
      <c r="X476">
        <v>65804.94893</v>
      </c>
      <c r="Y476" s="2">
        <v>44860</v>
      </c>
      <c r="Z476" t="s">
        <v>1003</v>
      </c>
    </row>
    <row r="477" spans="1:26">
      <c r="A477" s="1" t="s">
        <v>501</v>
      </c>
      <c r="B477">
        <f>HYPERLINK("https://www.suredividend.com/sure-analysis-HPE/","Hewlett Packard Enterprise Co")</f>
        <v>0</v>
      </c>
      <c r="C477" t="s">
        <v>884</v>
      </c>
      <c r="D477">
        <v>15.77</v>
      </c>
      <c r="E477">
        <v>15.96</v>
      </c>
      <c r="F477">
        <v>15</v>
      </c>
      <c r="G477">
        <v>1.064</v>
      </c>
      <c r="H477">
        <v>0.03007518796992481</v>
      </c>
      <c r="I477">
        <v>-0.01233042771961279</v>
      </c>
      <c r="J477">
        <v>0.03</v>
      </c>
      <c r="K477">
        <v>0.04701487564529661</v>
      </c>
      <c r="L477" t="s">
        <v>573</v>
      </c>
      <c r="M477" t="s">
        <v>572</v>
      </c>
      <c r="N477">
        <v>7.98</v>
      </c>
      <c r="O477">
        <v>2</v>
      </c>
      <c r="P477">
        <v>0.48</v>
      </c>
      <c r="Q477">
        <v>0.24</v>
      </c>
      <c r="R477">
        <v>0</v>
      </c>
      <c r="S477">
        <v>0.03857377308425858</v>
      </c>
      <c r="T477" t="s">
        <v>955</v>
      </c>
      <c r="U477">
        <v>0.037016822284166</v>
      </c>
      <c r="V477" t="s">
        <v>986</v>
      </c>
      <c r="W477" t="s">
        <v>993</v>
      </c>
      <c r="X477">
        <v>20457.796942</v>
      </c>
      <c r="Y477" s="2">
        <v>44895</v>
      </c>
      <c r="Z477" t="s">
        <v>1011</v>
      </c>
    </row>
    <row r="478" spans="1:26">
      <c r="A478" s="1" t="s">
        <v>502</v>
      </c>
      <c r="B478">
        <f>HYPERLINK("https://www.suredividend.com/sure-analysis-M/","Macy`s Inc")</f>
        <v>0</v>
      </c>
      <c r="C478" t="s">
        <v>884</v>
      </c>
      <c r="D478">
        <v>22</v>
      </c>
      <c r="E478">
        <v>20.65</v>
      </c>
      <c r="F478">
        <v>25</v>
      </c>
      <c r="G478">
        <v>0.826</v>
      </c>
      <c r="H478">
        <v>0.03050847457627119</v>
      </c>
      <c r="I478">
        <v>0.0389723515130509</v>
      </c>
      <c r="J478">
        <v>-0.02</v>
      </c>
      <c r="K478">
        <v>0.04679208697944581</v>
      </c>
      <c r="L478" t="s">
        <v>573</v>
      </c>
      <c r="M478" t="s">
        <v>573</v>
      </c>
      <c r="N478">
        <v>4.952038369304556</v>
      </c>
      <c r="O478">
        <v>4.17</v>
      </c>
      <c r="P478">
        <v>0.63</v>
      </c>
      <c r="Q478">
        <v>0.1510791366906475</v>
      </c>
      <c r="R478">
        <v>1</v>
      </c>
      <c r="S478">
        <v>0.02129568760013512</v>
      </c>
      <c r="T478" t="s">
        <v>901</v>
      </c>
      <c r="U478">
        <v>-0.206617539707543</v>
      </c>
      <c r="V478" t="s">
        <v>986</v>
      </c>
      <c r="W478" t="s">
        <v>992</v>
      </c>
      <c r="X478">
        <v>5598.462346</v>
      </c>
      <c r="Y478" s="2">
        <v>44912</v>
      </c>
      <c r="Z478" t="s">
        <v>1007</v>
      </c>
    </row>
    <row r="479" spans="1:26">
      <c r="A479" s="1" t="s">
        <v>503</v>
      </c>
      <c r="B479">
        <f>HYPERLINK("https://www.suredividend.com/sure-analysis-ERF/","Enerplus Corporation")</f>
        <v>0</v>
      </c>
      <c r="C479" t="s">
        <v>885</v>
      </c>
      <c r="D479">
        <v>18</v>
      </c>
      <c r="E479">
        <v>17.65</v>
      </c>
      <c r="F479">
        <v>13</v>
      </c>
      <c r="G479">
        <v>1.357692307692308</v>
      </c>
      <c r="H479">
        <v>0.01019830028328612</v>
      </c>
      <c r="I479">
        <v>-0.05932472614322171</v>
      </c>
      <c r="J479">
        <v>0.1</v>
      </c>
      <c r="K479">
        <v>0.04460355921770032</v>
      </c>
      <c r="L479" t="s">
        <v>573</v>
      </c>
      <c r="M479" t="s">
        <v>631</v>
      </c>
      <c r="N479">
        <v>4.104651162790698</v>
      </c>
      <c r="O479">
        <v>4.3</v>
      </c>
      <c r="P479">
        <v>0.18</v>
      </c>
      <c r="Q479">
        <v>0.04186046511627907</v>
      </c>
      <c r="R479">
        <v>3</v>
      </c>
      <c r="S479">
        <v>0.04095039696925684</v>
      </c>
      <c r="T479" t="s">
        <v>917</v>
      </c>
      <c r="U479">
        <v>0.723700144536896</v>
      </c>
      <c r="V479" t="s">
        <v>986</v>
      </c>
      <c r="W479" t="s">
        <v>999</v>
      </c>
      <c r="X479">
        <v>3912.250233</v>
      </c>
      <c r="Y479" s="2">
        <v>44901</v>
      </c>
      <c r="Z479" t="s">
        <v>1006</v>
      </c>
    </row>
    <row r="480" spans="1:26">
      <c r="A480" s="1" t="s">
        <v>504</v>
      </c>
      <c r="B480">
        <f>HYPERLINK("https://www.suredividend.com/sure-analysis-THO/","Thor Industries, Inc.")</f>
        <v>0</v>
      </c>
      <c r="C480" t="s">
        <v>884</v>
      </c>
      <c r="D480">
        <v>77</v>
      </c>
      <c r="E480">
        <v>75.48999999999999</v>
      </c>
      <c r="F480">
        <v>68</v>
      </c>
      <c r="G480">
        <v>1.110147058823529</v>
      </c>
      <c r="H480">
        <v>0.02384421777718903</v>
      </c>
      <c r="I480">
        <v>-0.02068163808966428</v>
      </c>
      <c r="J480">
        <v>0.04</v>
      </c>
      <c r="K480">
        <v>0.04301330313455187</v>
      </c>
      <c r="L480" t="s">
        <v>573</v>
      </c>
      <c r="M480" t="s">
        <v>572</v>
      </c>
      <c r="N480">
        <v>9.377639751552794</v>
      </c>
      <c r="O480">
        <v>8.050000000000001</v>
      </c>
      <c r="P480">
        <v>1.8</v>
      </c>
      <c r="Q480">
        <v>0.2236024844720497</v>
      </c>
      <c r="R480">
        <v>12</v>
      </c>
      <c r="S480">
        <v>0.05024607263868264</v>
      </c>
      <c r="T480" t="s">
        <v>905</v>
      </c>
      <c r="U480">
        <v>-0.259340657184317</v>
      </c>
      <c r="V480" t="s">
        <v>986</v>
      </c>
      <c r="W480" t="s">
        <v>992</v>
      </c>
      <c r="X480">
        <v>4040.129305</v>
      </c>
      <c r="Y480" s="2">
        <v>44917</v>
      </c>
      <c r="Z480" t="s">
        <v>1008</v>
      </c>
    </row>
    <row r="481" spans="1:26">
      <c r="A481" s="1" t="s">
        <v>505</v>
      </c>
      <c r="B481">
        <f>HYPERLINK("https://www.suredividend.com/sure-analysis-RS/","Reliance Steel &amp; Aluminum Co.")</f>
        <v>0</v>
      </c>
      <c r="C481" t="s">
        <v>884</v>
      </c>
      <c r="D481">
        <v>201</v>
      </c>
      <c r="E481">
        <v>202.44</v>
      </c>
      <c r="F481">
        <v>370</v>
      </c>
      <c r="G481">
        <v>0.5471351351351351</v>
      </c>
      <c r="H481">
        <v>0.01728907330567082</v>
      </c>
      <c r="I481">
        <v>0.1281869688403516</v>
      </c>
      <c r="J481">
        <v>-0.09</v>
      </c>
      <c r="K481">
        <v>0.04265384975653919</v>
      </c>
      <c r="L481" t="s">
        <v>573</v>
      </c>
      <c r="M481" t="s">
        <v>572</v>
      </c>
      <c r="N481">
        <v>7.115641476274165</v>
      </c>
      <c r="O481">
        <v>28.45</v>
      </c>
      <c r="P481">
        <v>3.5</v>
      </c>
      <c r="Q481">
        <v>0.1230228471001757</v>
      </c>
      <c r="R481">
        <v>12</v>
      </c>
      <c r="S481">
        <v>0.01977380509826254</v>
      </c>
      <c r="T481" t="s">
        <v>894</v>
      </c>
      <c r="U481">
        <v>0.276708458414268</v>
      </c>
      <c r="V481" t="s">
        <v>986</v>
      </c>
      <c r="W481" t="s">
        <v>990</v>
      </c>
      <c r="X481">
        <v>12906.82274</v>
      </c>
      <c r="Y481" s="2">
        <v>44875</v>
      </c>
      <c r="Z481" t="s">
        <v>1002</v>
      </c>
    </row>
    <row r="482" spans="1:26">
      <c r="A482" s="1" t="s">
        <v>506</v>
      </c>
      <c r="B482">
        <f>HYPERLINK("https://www.suredividend.com/sure-analysis-ABB/","ABB Ltd.")</f>
        <v>0</v>
      </c>
      <c r="C482" t="s">
        <v>884</v>
      </c>
      <c r="D482">
        <v>26</v>
      </c>
      <c r="E482">
        <v>30.46</v>
      </c>
      <c r="F482">
        <v>22</v>
      </c>
      <c r="G482">
        <v>1.384545454545455</v>
      </c>
      <c r="H482">
        <v>0.0288903479973736</v>
      </c>
      <c r="I482">
        <v>-0.0630022320044511</v>
      </c>
      <c r="J482">
        <v>0.08</v>
      </c>
      <c r="K482">
        <v>0.04091865888298463</v>
      </c>
      <c r="L482" t="s">
        <v>573</v>
      </c>
      <c r="M482" t="s">
        <v>573</v>
      </c>
      <c r="N482">
        <v>21.75714285714286</v>
      </c>
      <c r="O482">
        <v>1.4</v>
      </c>
      <c r="P482">
        <v>0.88</v>
      </c>
      <c r="Q482">
        <v>0.6285714285714287</v>
      </c>
      <c r="R482">
        <v>3</v>
      </c>
      <c r="S482">
        <v>0.03595603651015988</v>
      </c>
      <c r="T482" t="s">
        <v>970</v>
      </c>
      <c r="U482">
        <v>-0.180354336641336</v>
      </c>
      <c r="V482" t="s">
        <v>986</v>
      </c>
      <c r="W482" t="s">
        <v>991</v>
      </c>
      <c r="X482">
        <v>59846.134985</v>
      </c>
      <c r="Y482" s="2">
        <v>44855</v>
      </c>
      <c r="Z482" t="s">
        <v>1003</v>
      </c>
    </row>
    <row r="483" spans="1:26">
      <c r="A483" s="1" t="s">
        <v>507</v>
      </c>
      <c r="B483">
        <f>HYPERLINK("https://www.suredividend.com/sure-analysis-MLM/","Martin Marietta Materials, Inc.")</f>
        <v>0</v>
      </c>
      <c r="C483" t="s">
        <v>884</v>
      </c>
      <c r="D483">
        <v>336</v>
      </c>
      <c r="E483">
        <v>337.97</v>
      </c>
      <c r="F483">
        <v>288</v>
      </c>
      <c r="G483">
        <v>1.173506944444445</v>
      </c>
      <c r="H483">
        <v>0.007811344202148119</v>
      </c>
      <c r="I483">
        <v>-0.03149276979819915</v>
      </c>
      <c r="J483">
        <v>0.065</v>
      </c>
      <c r="K483">
        <v>0.04006184693616266</v>
      </c>
      <c r="L483" t="s">
        <v>573</v>
      </c>
      <c r="M483" t="s">
        <v>631</v>
      </c>
      <c r="N483">
        <v>25.79923664122138</v>
      </c>
      <c r="O483">
        <v>13.1</v>
      </c>
      <c r="P483">
        <v>2.64</v>
      </c>
      <c r="Q483">
        <v>0.2015267175572519</v>
      </c>
      <c r="R483">
        <v>8</v>
      </c>
      <c r="S483">
        <v>0.08005422401318252</v>
      </c>
      <c r="T483" t="s">
        <v>891</v>
      </c>
      <c r="U483">
        <v>-0.224244110273618</v>
      </c>
      <c r="V483" t="s">
        <v>986</v>
      </c>
      <c r="W483" t="s">
        <v>990</v>
      </c>
      <c r="X483">
        <v>20984.791851</v>
      </c>
      <c r="Y483" s="2">
        <v>44868</v>
      </c>
      <c r="Z483" t="s">
        <v>1017</v>
      </c>
    </row>
    <row r="484" spans="1:26">
      <c r="A484" s="1" t="s">
        <v>508</v>
      </c>
      <c r="B484">
        <f>HYPERLINK("https://www.suredividend.com/sure-analysis-BBD/","Banco Bradesco S.A.")</f>
        <v>0</v>
      </c>
      <c r="C484" t="s">
        <v>884</v>
      </c>
      <c r="D484">
        <v>2.77</v>
      </c>
      <c r="E484">
        <v>2.88</v>
      </c>
      <c r="F484">
        <v>3.29</v>
      </c>
      <c r="G484">
        <v>0.8753799392097265</v>
      </c>
      <c r="H484">
        <v>0.01388888888888889</v>
      </c>
      <c r="I484">
        <v>0.02697691656473156</v>
      </c>
      <c r="J484">
        <v>0</v>
      </c>
      <c r="K484">
        <v>0.03916996967288378</v>
      </c>
      <c r="L484" t="s">
        <v>573</v>
      </c>
      <c r="M484" t="s">
        <v>631</v>
      </c>
      <c r="N484">
        <v>6.127659574468085</v>
      </c>
      <c r="O484">
        <v>0.47</v>
      </c>
      <c r="P484">
        <v>0.04</v>
      </c>
      <c r="Q484">
        <v>0.08510638297872342</v>
      </c>
      <c r="R484">
        <v>1</v>
      </c>
      <c r="S484">
        <v>0</v>
      </c>
      <c r="T484" t="s">
        <v>902</v>
      </c>
      <c r="U484">
        <v>-0.059929494712103</v>
      </c>
      <c r="V484" t="s">
        <v>986</v>
      </c>
      <c r="W484" t="s">
        <v>994</v>
      </c>
      <c r="X484">
        <v>29094.927356</v>
      </c>
      <c r="Y484" s="2">
        <v>44879</v>
      </c>
      <c r="Z484" t="s">
        <v>1011</v>
      </c>
    </row>
    <row r="485" spans="1:26">
      <c r="A485" s="1" t="s">
        <v>509</v>
      </c>
      <c r="B485">
        <f>HYPERLINK("https://www.suredividend.com/sure-analysis-DHI/","D.R. Horton Inc.")</f>
        <v>0</v>
      </c>
      <c r="C485" t="s">
        <v>884</v>
      </c>
      <c r="D485">
        <v>81</v>
      </c>
      <c r="E485">
        <v>89.14</v>
      </c>
      <c r="F485">
        <v>79</v>
      </c>
      <c r="G485">
        <v>1.128354430379747</v>
      </c>
      <c r="H485">
        <v>0.01121830827911151</v>
      </c>
      <c r="I485">
        <v>-0.02386273589917476</v>
      </c>
      <c r="J485">
        <v>0.05</v>
      </c>
      <c r="K485">
        <v>0.03824507963735213</v>
      </c>
      <c r="L485" t="s">
        <v>573</v>
      </c>
      <c r="M485" t="s">
        <v>631</v>
      </c>
      <c r="N485">
        <v>9.049746192893402</v>
      </c>
      <c r="O485">
        <v>9.85</v>
      </c>
      <c r="P485">
        <v>1</v>
      </c>
      <c r="Q485">
        <v>0.1015228426395939</v>
      </c>
      <c r="R485">
        <v>8</v>
      </c>
      <c r="S485">
        <v>0.09993032380125255</v>
      </c>
      <c r="T485" t="s">
        <v>889</v>
      </c>
      <c r="U485">
        <v>-0.161047927748852</v>
      </c>
      <c r="V485" t="s">
        <v>986</v>
      </c>
      <c r="W485" t="s">
        <v>992</v>
      </c>
      <c r="X485">
        <v>30713.003639</v>
      </c>
      <c r="Y485" s="2">
        <v>44889</v>
      </c>
      <c r="Z485" t="s">
        <v>1008</v>
      </c>
    </row>
    <row r="486" spans="1:26">
      <c r="A486" s="1" t="s">
        <v>510</v>
      </c>
      <c r="B486">
        <f>HYPERLINK("https://www.suredividend.com/sure-analysis-DUK/","Duke Energy Corp.")</f>
        <v>0</v>
      </c>
      <c r="C486" t="s">
        <v>884</v>
      </c>
      <c r="D486">
        <v>98.5</v>
      </c>
      <c r="E486">
        <v>102.99</v>
      </c>
      <c r="F486">
        <v>80</v>
      </c>
      <c r="G486">
        <v>1.287375</v>
      </c>
      <c r="H486">
        <v>0.03903291581706961</v>
      </c>
      <c r="I486">
        <v>-0.04926608666704257</v>
      </c>
      <c r="J486">
        <v>0.05</v>
      </c>
      <c r="K486">
        <v>0.03748499692555707</v>
      </c>
      <c r="L486" t="s">
        <v>573</v>
      </c>
      <c r="M486" t="s">
        <v>887</v>
      </c>
      <c r="N486">
        <v>19.32270168855534</v>
      </c>
      <c r="O486">
        <v>5.33</v>
      </c>
      <c r="P486">
        <v>4.02</v>
      </c>
      <c r="Q486">
        <v>0.7542213883677298</v>
      </c>
      <c r="R486">
        <v>11</v>
      </c>
      <c r="S486">
        <v>0.02552855611039839</v>
      </c>
      <c r="T486" t="s">
        <v>894</v>
      </c>
      <c r="U486">
        <v>0.021336096828096</v>
      </c>
      <c r="V486" t="s">
        <v>986</v>
      </c>
      <c r="W486" t="s">
        <v>997</v>
      </c>
      <c r="X486">
        <v>79308.76488800001</v>
      </c>
      <c r="Y486" s="2">
        <v>44893</v>
      </c>
      <c r="Z486" t="s">
        <v>1009</v>
      </c>
    </row>
    <row r="487" spans="1:26">
      <c r="A487" s="1" t="s">
        <v>511</v>
      </c>
      <c r="B487">
        <f>HYPERLINK("https://www.suredividend.com/sure-analysis-PEG/","Public Service Enterprise Group Inc.")</f>
        <v>0</v>
      </c>
      <c r="C487" t="s">
        <v>884</v>
      </c>
      <c r="D487">
        <v>59</v>
      </c>
      <c r="E487">
        <v>61.27</v>
      </c>
      <c r="F487">
        <v>52</v>
      </c>
      <c r="G487">
        <v>1.178269230769231</v>
      </c>
      <c r="H487">
        <v>0.03525379467928839</v>
      </c>
      <c r="I487">
        <v>-0.03227693414658306</v>
      </c>
      <c r="J487">
        <v>0.03</v>
      </c>
      <c r="K487">
        <v>0.03410446351406948</v>
      </c>
      <c r="L487" t="s">
        <v>573</v>
      </c>
      <c r="M487" t="s">
        <v>887</v>
      </c>
      <c r="N487">
        <v>17.65706051873199</v>
      </c>
      <c r="O487">
        <v>3.47</v>
      </c>
      <c r="P487">
        <v>2.16</v>
      </c>
      <c r="Q487">
        <v>0.622478386167147</v>
      </c>
      <c r="R487">
        <v>11</v>
      </c>
      <c r="S487">
        <v>0.04016060061424764</v>
      </c>
      <c r="T487" t="s">
        <v>920</v>
      </c>
      <c r="U487">
        <v>-0.045048106071823</v>
      </c>
      <c r="V487" t="s">
        <v>986</v>
      </c>
      <c r="W487" t="s">
        <v>997</v>
      </c>
      <c r="X487">
        <v>30570.650815</v>
      </c>
      <c r="Y487" s="2">
        <v>44890</v>
      </c>
      <c r="Z487" t="s">
        <v>1006</v>
      </c>
    </row>
    <row r="488" spans="1:26">
      <c r="A488" s="1" t="s">
        <v>512</v>
      </c>
      <c r="B488">
        <f>HYPERLINK("https://www.suredividend.com/sure-analysis-NSRGY/","Nestle SA")</f>
        <v>0</v>
      </c>
      <c r="C488" t="s">
        <v>885</v>
      </c>
      <c r="D488">
        <v>115</v>
      </c>
      <c r="E488">
        <v>115.34</v>
      </c>
      <c r="F488">
        <v>93</v>
      </c>
      <c r="G488">
        <v>1.240215053763441</v>
      </c>
      <c r="H488">
        <v>0.02574995664990463</v>
      </c>
      <c r="I488">
        <v>-0.04214317006049195</v>
      </c>
      <c r="J488">
        <v>0.05</v>
      </c>
      <c r="K488">
        <v>0.03300118035406729</v>
      </c>
      <c r="L488" t="s">
        <v>573</v>
      </c>
      <c r="M488" t="s">
        <v>573</v>
      </c>
      <c r="N488">
        <v>22.39611650485437</v>
      </c>
      <c r="O488">
        <v>5.15</v>
      </c>
      <c r="P488">
        <v>2.97</v>
      </c>
      <c r="Q488">
        <v>0.5766990291262136</v>
      </c>
      <c r="R488">
        <v>5</v>
      </c>
      <c r="S488">
        <v>0.04493446796295064</v>
      </c>
      <c r="T488" t="s">
        <v>971</v>
      </c>
      <c r="U488">
        <v>-0.173012117301211</v>
      </c>
      <c r="V488" t="s">
        <v>986</v>
      </c>
      <c r="W488" t="s">
        <v>996</v>
      </c>
      <c r="X488">
        <v>317185</v>
      </c>
      <c r="Y488" s="2">
        <v>44885</v>
      </c>
      <c r="Z488" t="s">
        <v>1003</v>
      </c>
    </row>
    <row r="489" spans="1:26">
      <c r="A489" s="1" t="s">
        <v>513</v>
      </c>
      <c r="B489">
        <f>HYPERLINK("https://www.suredividend.com/sure-analysis-SJI/","South Jersey Industries Inc.")</f>
        <v>0</v>
      </c>
      <c r="C489" t="s">
        <v>884</v>
      </c>
      <c r="D489">
        <v>35</v>
      </c>
      <c r="E489">
        <v>35.53</v>
      </c>
      <c r="F489">
        <v>30</v>
      </c>
      <c r="G489">
        <v>1.184333333333333</v>
      </c>
      <c r="H489">
        <v>0.03490008443568815</v>
      </c>
      <c r="I489">
        <v>-0.03326997012194566</v>
      </c>
      <c r="J489">
        <v>0.03</v>
      </c>
      <c r="K489">
        <v>0.03130428772666805</v>
      </c>
      <c r="L489" t="s">
        <v>573</v>
      </c>
      <c r="M489" t="s">
        <v>887</v>
      </c>
      <c r="N489">
        <v>21.02366863905326</v>
      </c>
      <c r="O489">
        <v>1.69</v>
      </c>
      <c r="P489">
        <v>1.24</v>
      </c>
      <c r="Q489">
        <v>0.7337278106508875</v>
      </c>
      <c r="R489">
        <v>23</v>
      </c>
      <c r="S489">
        <v>0.02456913836308061</v>
      </c>
      <c r="T489" t="s">
        <v>904</v>
      </c>
      <c r="U489">
        <v>0.409831121833534</v>
      </c>
      <c r="V489" t="s">
        <v>986</v>
      </c>
      <c r="W489" t="s">
        <v>997</v>
      </c>
      <c r="X489">
        <v>4349.135881</v>
      </c>
      <c r="Y489" s="2">
        <v>44888</v>
      </c>
      <c r="Z489" t="s">
        <v>1015</v>
      </c>
    </row>
    <row r="490" spans="1:26">
      <c r="A490" s="1" t="s">
        <v>514</v>
      </c>
      <c r="B490">
        <f>HYPERLINK("https://www.suredividend.com/sure-analysis-SONY/","Sony Group Corporation")</f>
        <v>0</v>
      </c>
      <c r="C490" t="s">
        <v>885</v>
      </c>
      <c r="D490">
        <v>75</v>
      </c>
      <c r="E490">
        <v>76.28</v>
      </c>
      <c r="F490">
        <v>78</v>
      </c>
      <c r="G490">
        <v>0.977948717948718</v>
      </c>
      <c r="H490">
        <v>0.007210277923439958</v>
      </c>
      <c r="I490">
        <v>0.0044695680472433</v>
      </c>
      <c r="J490">
        <v>0.017</v>
      </c>
      <c r="K490">
        <v>0.02843004551063522</v>
      </c>
      <c r="L490" t="s">
        <v>573</v>
      </c>
      <c r="M490" t="s">
        <v>631</v>
      </c>
      <c r="N490">
        <v>12.71333333333333</v>
      </c>
      <c r="O490">
        <v>6</v>
      </c>
      <c r="P490">
        <v>0.55</v>
      </c>
      <c r="Q490">
        <v>0.09166666666666667</v>
      </c>
      <c r="R490">
        <v>6</v>
      </c>
      <c r="S490">
        <v>0.01755457717558762</v>
      </c>
      <c r="T490" t="s">
        <v>946</v>
      </c>
      <c r="U490">
        <v>-0.391877240200517</v>
      </c>
      <c r="V490" t="s">
        <v>986</v>
      </c>
      <c r="W490" t="s">
        <v>993</v>
      </c>
      <c r="X490">
        <v>96193.563815</v>
      </c>
      <c r="Y490" s="2">
        <v>44873</v>
      </c>
      <c r="Z490" t="s">
        <v>1001</v>
      </c>
    </row>
    <row r="491" spans="1:26">
      <c r="A491" s="1" t="s">
        <v>515</v>
      </c>
      <c r="B491">
        <f>HYPERLINK("https://www.suredividend.com/sure-analysis-HAL/","Halliburton Co.")</f>
        <v>0</v>
      </c>
      <c r="C491" t="s">
        <v>884</v>
      </c>
      <c r="D491">
        <v>35</v>
      </c>
      <c r="E491">
        <v>39.35</v>
      </c>
      <c r="F491">
        <v>26</v>
      </c>
      <c r="G491">
        <v>1.513461538461538</v>
      </c>
      <c r="H491">
        <v>0.01219822109275731</v>
      </c>
      <c r="I491">
        <v>-0.07953830034233456</v>
      </c>
      <c r="J491">
        <v>0.1</v>
      </c>
      <c r="K491">
        <v>0.02698850438444444</v>
      </c>
      <c r="L491" t="s">
        <v>573</v>
      </c>
      <c r="M491" t="s">
        <v>631</v>
      </c>
      <c r="N491">
        <v>19.675</v>
      </c>
      <c r="O491">
        <v>2</v>
      </c>
      <c r="P491">
        <v>0.48</v>
      </c>
      <c r="Q491">
        <v>0.24</v>
      </c>
      <c r="R491">
        <v>1</v>
      </c>
      <c r="S491">
        <v>0.08447177119769855</v>
      </c>
      <c r="T491" t="s">
        <v>929</v>
      </c>
      <c r="U491">
        <v>0.740888538892378</v>
      </c>
      <c r="V491" t="s">
        <v>986</v>
      </c>
      <c r="W491" t="s">
        <v>999</v>
      </c>
      <c r="X491">
        <v>35731.640675</v>
      </c>
      <c r="Y491" s="2">
        <v>44860</v>
      </c>
      <c r="Z491" t="s">
        <v>1003</v>
      </c>
    </row>
    <row r="492" spans="1:26">
      <c r="A492" s="1" t="s">
        <v>516</v>
      </c>
      <c r="B492">
        <f>HYPERLINK("https://www.suredividend.com/sure-analysis-DGX/","Quest Diagnostics, Inc.")</f>
        <v>0</v>
      </c>
      <c r="C492" t="s">
        <v>884</v>
      </c>
      <c r="D492">
        <v>144</v>
      </c>
      <c r="E492">
        <v>156.44</v>
      </c>
      <c r="F492">
        <v>138</v>
      </c>
      <c r="G492">
        <v>1.133623188405797</v>
      </c>
      <c r="H492">
        <v>0.01668371260547175</v>
      </c>
      <c r="I492">
        <v>-0.02477178913406086</v>
      </c>
      <c r="J492">
        <v>0.03</v>
      </c>
      <c r="K492">
        <v>0.02388639147296456</v>
      </c>
      <c r="L492" t="s">
        <v>573</v>
      </c>
      <c r="M492" t="s">
        <v>631</v>
      </c>
      <c r="N492">
        <v>15.88223350253807</v>
      </c>
      <c r="O492">
        <v>9.85</v>
      </c>
      <c r="P492">
        <v>2.61</v>
      </c>
      <c r="Q492">
        <v>0.2649746192893401</v>
      </c>
      <c r="R492">
        <v>11</v>
      </c>
      <c r="S492">
        <v>0.06996141300964465</v>
      </c>
      <c r="T492" t="s">
        <v>939</v>
      </c>
      <c r="U492">
        <v>-0.07749806436166901</v>
      </c>
      <c r="V492" t="s">
        <v>986</v>
      </c>
      <c r="W492" t="s">
        <v>998</v>
      </c>
      <c r="X492">
        <v>17816.555181</v>
      </c>
      <c r="Y492" s="2">
        <v>44867</v>
      </c>
      <c r="Z492" t="s">
        <v>1006</v>
      </c>
    </row>
    <row r="493" spans="1:26">
      <c r="A493" s="1" t="s">
        <v>517</v>
      </c>
      <c r="B493">
        <f>HYPERLINK("https://www.suredividend.com/sure-analysis-CPB/","Campbell Soup Co.")</f>
        <v>0</v>
      </c>
      <c r="C493" t="s">
        <v>885</v>
      </c>
      <c r="D493">
        <v>57</v>
      </c>
      <c r="E493">
        <v>56.75</v>
      </c>
      <c r="F493">
        <v>48</v>
      </c>
      <c r="G493">
        <v>1.182291666666667</v>
      </c>
      <c r="H493">
        <v>0.02607929515418502</v>
      </c>
      <c r="I493">
        <v>-0.03293631666144714</v>
      </c>
      <c r="J493">
        <v>0.03</v>
      </c>
      <c r="K493">
        <v>0.02231871549489584</v>
      </c>
      <c r="L493" t="s">
        <v>573</v>
      </c>
      <c r="M493" t="s">
        <v>573</v>
      </c>
      <c r="N493">
        <v>19.23728813559322</v>
      </c>
      <c r="O493">
        <v>2.95</v>
      </c>
      <c r="P493">
        <v>1.48</v>
      </c>
      <c r="Q493">
        <v>0.5016949152542373</v>
      </c>
      <c r="R493">
        <v>1</v>
      </c>
      <c r="S493">
        <v>0.01444167341264735</v>
      </c>
      <c r="T493" t="s">
        <v>910</v>
      </c>
      <c r="U493">
        <v>0.358116872238894</v>
      </c>
      <c r="V493" t="s">
        <v>986</v>
      </c>
      <c r="W493" t="s">
        <v>996</v>
      </c>
      <c r="X493">
        <v>16994.784257</v>
      </c>
      <c r="Y493" s="2">
        <v>44917</v>
      </c>
      <c r="Z493" t="s">
        <v>1008</v>
      </c>
    </row>
    <row r="494" spans="1:26">
      <c r="A494" s="1" t="s">
        <v>518</v>
      </c>
      <c r="B494">
        <f>HYPERLINK("https://www.suredividend.com/sure-analysis-LOGI/","Logitech International S.A.")</f>
        <v>0</v>
      </c>
      <c r="C494" t="s">
        <v>884</v>
      </c>
      <c r="D494">
        <v>50</v>
      </c>
      <c r="E494">
        <v>62.25</v>
      </c>
      <c r="F494">
        <v>54</v>
      </c>
      <c r="G494">
        <v>1.152777777777778</v>
      </c>
      <c r="H494">
        <v>0.0157429718875502</v>
      </c>
      <c r="I494">
        <v>-0.02803443077401879</v>
      </c>
      <c r="J494">
        <v>0.03</v>
      </c>
      <c r="K494">
        <v>0.02119727332283694</v>
      </c>
      <c r="L494" t="s">
        <v>573</v>
      </c>
      <c r="M494" t="s">
        <v>631</v>
      </c>
      <c r="N494">
        <v>17.43697478991597</v>
      </c>
      <c r="O494">
        <v>3.57</v>
      </c>
      <c r="P494">
        <v>0.98</v>
      </c>
      <c r="Q494">
        <v>0.2745098039215687</v>
      </c>
      <c r="R494">
        <v>8</v>
      </c>
      <c r="S494">
        <v>0.09743726841698619</v>
      </c>
      <c r="T494" t="s">
        <v>972</v>
      </c>
      <c r="U494">
        <v>-0.243471983549617</v>
      </c>
      <c r="V494" t="s">
        <v>986</v>
      </c>
      <c r="W494" t="s">
        <v>993</v>
      </c>
      <c r="X494">
        <v>10775.887095</v>
      </c>
      <c r="Y494" s="2">
        <v>44862</v>
      </c>
      <c r="Z494" t="s">
        <v>1001</v>
      </c>
    </row>
    <row r="495" spans="1:26">
      <c r="A495" s="1" t="s">
        <v>519</v>
      </c>
      <c r="B495">
        <f>HYPERLINK("https://www.suredividend.com/sure-analysis-CMS/","CMS Energy Corporation")</f>
        <v>0</v>
      </c>
      <c r="C495" t="s">
        <v>884</v>
      </c>
      <c r="D495">
        <v>57</v>
      </c>
      <c r="E495">
        <v>63.33</v>
      </c>
      <c r="F495">
        <v>43</v>
      </c>
      <c r="G495">
        <v>1.472790697674419</v>
      </c>
      <c r="H495">
        <v>0.02905416074530238</v>
      </c>
      <c r="I495">
        <v>-0.07450986577590724</v>
      </c>
      <c r="J495">
        <v>0.06</v>
      </c>
      <c r="K495">
        <v>0.01591298969879262</v>
      </c>
      <c r="L495" t="s">
        <v>573</v>
      </c>
      <c r="M495" t="s">
        <v>573</v>
      </c>
      <c r="N495">
        <v>22.22105263157895</v>
      </c>
      <c r="O495">
        <v>2.85</v>
      </c>
      <c r="P495">
        <v>1.84</v>
      </c>
      <c r="Q495">
        <v>0.6456140350877193</v>
      </c>
      <c r="R495">
        <v>15</v>
      </c>
      <c r="S495">
        <v>0.05979888147511248</v>
      </c>
      <c r="T495" t="s">
        <v>927</v>
      </c>
      <c r="U495">
        <v>0.001014766271824</v>
      </c>
      <c r="V495" t="s">
        <v>986</v>
      </c>
      <c r="W495" t="s">
        <v>997</v>
      </c>
      <c r="X495">
        <v>18381.633955</v>
      </c>
      <c r="Y495" s="2">
        <v>44870</v>
      </c>
      <c r="Z495" t="s">
        <v>1013</v>
      </c>
    </row>
    <row r="496" spans="1:26">
      <c r="A496" s="1" t="s">
        <v>520</v>
      </c>
      <c r="B496">
        <f>HYPERLINK("https://www.suredividend.com/sure-analysis-DINO/","HF Sinclair Corporation")</f>
        <v>0</v>
      </c>
      <c r="C496" t="s">
        <v>885</v>
      </c>
      <c r="D496">
        <v>62</v>
      </c>
      <c r="E496">
        <v>51.89</v>
      </c>
      <c r="F496">
        <v>146</v>
      </c>
      <c r="G496">
        <v>0.3554109589041096</v>
      </c>
      <c r="H496">
        <v>0.03083445750626325</v>
      </c>
      <c r="I496">
        <v>0.2298547901983095</v>
      </c>
      <c r="J496">
        <v>-0.2</v>
      </c>
      <c r="K496">
        <v>0.01478570029678083</v>
      </c>
      <c r="L496" t="s">
        <v>573</v>
      </c>
      <c r="M496" t="s">
        <v>573</v>
      </c>
      <c r="N496">
        <v>3.654225352112676</v>
      </c>
      <c r="O496">
        <v>14.2</v>
      </c>
      <c r="P496">
        <v>1.6</v>
      </c>
      <c r="Q496">
        <v>0.1126760563380282</v>
      </c>
      <c r="R496">
        <v>0</v>
      </c>
      <c r="S496">
        <v>0</v>
      </c>
      <c r="T496" t="s">
        <v>949</v>
      </c>
      <c r="U496">
        <v>0.5887936313533371</v>
      </c>
      <c r="V496" t="s">
        <v>986</v>
      </c>
      <c r="W496" t="s">
        <v>999</v>
      </c>
      <c r="X496">
        <v>10415.907513</v>
      </c>
      <c r="Y496" s="2">
        <v>44879</v>
      </c>
      <c r="Z496" t="s">
        <v>1003</v>
      </c>
    </row>
    <row r="497" spans="1:26">
      <c r="A497" s="1" t="s">
        <v>521</v>
      </c>
      <c r="B497">
        <f>HYPERLINK("https://www.suredividend.com/sure-analysis-TRGP/","Targa Resources Corp")</f>
        <v>0</v>
      </c>
      <c r="C497" t="s">
        <v>885</v>
      </c>
      <c r="D497">
        <v>71</v>
      </c>
      <c r="E497">
        <v>73.5</v>
      </c>
      <c r="F497">
        <v>58</v>
      </c>
      <c r="G497">
        <v>1.267241379310345</v>
      </c>
      <c r="H497">
        <v>0.01904761904761905</v>
      </c>
      <c r="I497">
        <v>-0.0462640989445593</v>
      </c>
      <c r="J497">
        <v>0.03</v>
      </c>
      <c r="K497">
        <v>0.005036362037565523</v>
      </c>
      <c r="L497" t="s">
        <v>573</v>
      </c>
      <c r="M497" t="s">
        <v>572</v>
      </c>
      <c r="N497">
        <v>8.855421686746988</v>
      </c>
      <c r="O497">
        <v>8.300000000000001</v>
      </c>
      <c r="P497">
        <v>1.4</v>
      </c>
      <c r="Q497">
        <v>0.1686746987951807</v>
      </c>
      <c r="R497">
        <v>1</v>
      </c>
      <c r="S497">
        <v>0.05037650558764373</v>
      </c>
      <c r="T497" t="s">
        <v>926</v>
      </c>
      <c r="U497">
        <v>0.457740403209012</v>
      </c>
      <c r="V497" t="s">
        <v>986</v>
      </c>
      <c r="W497" t="s">
        <v>999</v>
      </c>
      <c r="X497">
        <v>16638.590945</v>
      </c>
      <c r="Y497" s="2">
        <v>44873</v>
      </c>
      <c r="Z497" t="s">
        <v>1003</v>
      </c>
    </row>
    <row r="498" spans="1:26">
      <c r="A498" s="1" t="s">
        <v>522</v>
      </c>
      <c r="B498">
        <f>HYPERLINK("https://www.suredividend.com/sure-analysis-NEU/","NewMarket Corp.")</f>
        <v>0</v>
      </c>
      <c r="C498" t="s">
        <v>885</v>
      </c>
      <c r="D498">
        <v>317</v>
      </c>
      <c r="E498">
        <v>311.11</v>
      </c>
      <c r="F498">
        <v>262</v>
      </c>
      <c r="G498">
        <v>1.187442748091603</v>
      </c>
      <c r="H498">
        <v>0.02700009642891582</v>
      </c>
      <c r="I498">
        <v>-0.0337767933986709</v>
      </c>
      <c r="J498">
        <v>0.01</v>
      </c>
      <c r="K498">
        <v>0.004798348952709253</v>
      </c>
      <c r="L498" t="s">
        <v>573</v>
      </c>
      <c r="M498" t="s">
        <v>572</v>
      </c>
      <c r="N498">
        <v>14.23844393592677</v>
      </c>
      <c r="O498">
        <v>21.85</v>
      </c>
      <c r="P498">
        <v>8.4</v>
      </c>
      <c r="Q498">
        <v>0.3844393592677345</v>
      </c>
      <c r="R498">
        <v>16</v>
      </c>
      <c r="S498">
        <v>0.01003467480435871</v>
      </c>
      <c r="T498" t="s">
        <v>901</v>
      </c>
      <c r="U498">
        <v>-0.07938026025092301</v>
      </c>
      <c r="V498" t="s">
        <v>986</v>
      </c>
      <c r="W498" t="s">
        <v>991</v>
      </c>
      <c r="X498">
        <v>3071.103698</v>
      </c>
      <c r="Y498" s="2">
        <v>44894</v>
      </c>
      <c r="Z498" t="s">
        <v>1013</v>
      </c>
    </row>
    <row r="499" spans="1:26">
      <c r="A499" s="1" t="s">
        <v>523</v>
      </c>
      <c r="B499">
        <f>HYPERLINK("https://www.suredividend.com/sure-analysis-WY/","Weyerhaeuser Co.")</f>
        <v>0</v>
      </c>
      <c r="C499" t="s">
        <v>885</v>
      </c>
      <c r="D499">
        <v>30.9</v>
      </c>
      <c r="E499">
        <v>31</v>
      </c>
      <c r="F499">
        <v>58</v>
      </c>
      <c r="G499">
        <v>0.5344827586206896</v>
      </c>
      <c r="H499">
        <v>0.0232258064516129</v>
      </c>
      <c r="I499">
        <v>0.1334784299799936</v>
      </c>
      <c r="J499">
        <v>-0.138</v>
      </c>
      <c r="K499">
        <v>0.002072973581677351</v>
      </c>
      <c r="L499" t="s">
        <v>573</v>
      </c>
      <c r="M499" t="s">
        <v>572</v>
      </c>
      <c r="N499">
        <v>9.09090909090909</v>
      </c>
      <c r="O499">
        <v>3.41</v>
      </c>
      <c r="P499">
        <v>0.72</v>
      </c>
      <c r="Q499">
        <v>0.2111436950146627</v>
      </c>
      <c r="R499">
        <v>0</v>
      </c>
      <c r="S499">
        <v>0.01087212085035083</v>
      </c>
      <c r="T499" t="s">
        <v>889</v>
      </c>
      <c r="U499">
        <v>-0.200340500174119</v>
      </c>
      <c r="V499" t="s">
        <v>987</v>
      </c>
      <c r="W499" t="s">
        <v>1000</v>
      </c>
      <c r="X499">
        <v>22813.427</v>
      </c>
      <c r="Y499" s="2">
        <v>44875</v>
      </c>
      <c r="Z499" t="s">
        <v>1009</v>
      </c>
    </row>
    <row r="500" spans="1:26">
      <c r="A500" s="1" t="s">
        <v>524</v>
      </c>
      <c r="B500">
        <f>HYPERLINK("https://www.suredividend.com/sure-analysis-AVA/","Avista Corp.")</f>
        <v>0</v>
      </c>
      <c r="C500" t="s">
        <v>884</v>
      </c>
      <c r="D500">
        <v>38</v>
      </c>
      <c r="E500">
        <v>44.34</v>
      </c>
      <c r="F500">
        <v>30</v>
      </c>
      <c r="G500">
        <v>1.478</v>
      </c>
      <c r="H500">
        <v>0.03969327920613441</v>
      </c>
      <c r="I500">
        <v>-0.07516317691332197</v>
      </c>
      <c r="J500">
        <v>0.03</v>
      </c>
      <c r="K500">
        <v>0.0002781187839899779</v>
      </c>
      <c r="L500" t="s">
        <v>573</v>
      </c>
      <c r="M500" t="s">
        <v>573</v>
      </c>
      <c r="N500">
        <v>22.17</v>
      </c>
      <c r="O500">
        <v>2</v>
      </c>
      <c r="P500">
        <v>1.76</v>
      </c>
      <c r="Q500">
        <v>0.88</v>
      </c>
      <c r="R500">
        <v>19</v>
      </c>
      <c r="S500">
        <v>0.02996744995959233</v>
      </c>
      <c r="T500" t="s">
        <v>894</v>
      </c>
      <c r="U500">
        <v>0.09128497944918901</v>
      </c>
      <c r="V500" t="s">
        <v>986</v>
      </c>
      <c r="W500" t="s">
        <v>997</v>
      </c>
      <c r="X500">
        <v>3271.217198</v>
      </c>
      <c r="Y500" s="2">
        <v>44878</v>
      </c>
      <c r="Z500" t="s">
        <v>1013</v>
      </c>
    </row>
    <row r="501" spans="1:26">
      <c r="A501" s="1" t="s">
        <v>525</v>
      </c>
      <c r="B501">
        <f>HYPERLINK("https://www.suredividend.com/sure-analysis-AUY/","Yamana Gold Inc.")</f>
        <v>0</v>
      </c>
      <c r="C501" t="s">
        <v>885</v>
      </c>
      <c r="D501">
        <v>5.69</v>
      </c>
      <c r="E501">
        <v>5.55</v>
      </c>
      <c r="F501">
        <v>4.23</v>
      </c>
      <c r="G501">
        <v>1.312056737588652</v>
      </c>
      <c r="H501">
        <v>0.02162162162162162</v>
      </c>
      <c r="I501">
        <v>-0.05287025319596306</v>
      </c>
      <c r="J501">
        <v>0.02</v>
      </c>
      <c r="K501">
        <v>-0.007032029897235725</v>
      </c>
      <c r="L501" t="s">
        <v>573</v>
      </c>
      <c r="M501" t="s">
        <v>572</v>
      </c>
      <c r="N501">
        <v>1.180851063829787</v>
      </c>
      <c r="O501">
        <v>4.7</v>
      </c>
      <c r="P501">
        <v>0.12</v>
      </c>
      <c r="Q501">
        <v>0.02553191489361702</v>
      </c>
      <c r="R501">
        <v>3</v>
      </c>
      <c r="S501">
        <v>0.04563955259127317</v>
      </c>
      <c r="T501" t="s">
        <v>905</v>
      </c>
      <c r="U501">
        <v>0.353229463828542</v>
      </c>
      <c r="V501" t="s">
        <v>986</v>
      </c>
      <c r="W501" t="s">
        <v>990</v>
      </c>
      <c r="X501">
        <v>5333.569358</v>
      </c>
      <c r="Y501" s="2">
        <v>44901</v>
      </c>
      <c r="Z501" t="s">
        <v>1006</v>
      </c>
    </row>
    <row r="502" spans="1:26">
      <c r="A502" s="1" t="s">
        <v>526</v>
      </c>
      <c r="B502">
        <f>HYPERLINK("https://www.suredividend.com/sure-analysis-FCX/","Freeport-McMoRan Inc")</f>
        <v>0</v>
      </c>
      <c r="C502" t="s">
        <v>885</v>
      </c>
      <c r="D502">
        <v>32</v>
      </c>
      <c r="E502">
        <v>38</v>
      </c>
      <c r="F502">
        <v>30</v>
      </c>
      <c r="G502">
        <v>1.266666666666667</v>
      </c>
      <c r="H502">
        <v>0.007894736842105263</v>
      </c>
      <c r="I502">
        <v>-0.04617756873980916</v>
      </c>
      <c r="J502">
        <v>0.03</v>
      </c>
      <c r="K502">
        <v>-0.00765997376937011</v>
      </c>
      <c r="L502" t="s">
        <v>573</v>
      </c>
      <c r="M502" t="s">
        <v>631</v>
      </c>
      <c r="N502">
        <v>16.52173913043478</v>
      </c>
      <c r="O502">
        <v>2.3</v>
      </c>
      <c r="P502">
        <v>0.3</v>
      </c>
      <c r="Q502">
        <v>0.1304347826086956</v>
      </c>
      <c r="R502">
        <v>2</v>
      </c>
      <c r="S502">
        <v>0.05922384104881218</v>
      </c>
      <c r="T502" t="s">
        <v>912</v>
      </c>
      <c r="U502">
        <v>-0.079026773661135</v>
      </c>
      <c r="V502" t="s">
        <v>986</v>
      </c>
      <c r="W502" t="s">
        <v>990</v>
      </c>
      <c r="X502">
        <v>54314.433258</v>
      </c>
      <c r="Y502" s="2">
        <v>44864</v>
      </c>
      <c r="Z502" t="s">
        <v>1005</v>
      </c>
    </row>
    <row r="503" spans="1:26">
      <c r="A503" s="1" t="s">
        <v>527</v>
      </c>
      <c r="B503">
        <f>HYPERLINK("https://www.suredividend.com/sure-analysis-NVDA/","NVIDIA Corp")</f>
        <v>0</v>
      </c>
      <c r="C503" t="s">
        <v>885</v>
      </c>
      <c r="D503">
        <v>177</v>
      </c>
      <c r="E503">
        <v>146.14</v>
      </c>
      <c r="F503">
        <v>79</v>
      </c>
      <c r="G503">
        <v>1.849873417721519</v>
      </c>
      <c r="H503">
        <v>0.00109484056384289</v>
      </c>
      <c r="I503">
        <v>-0.1157570667940062</v>
      </c>
      <c r="J503">
        <v>0.12</v>
      </c>
      <c r="K503">
        <v>-0.008512390369114553</v>
      </c>
      <c r="L503" t="s">
        <v>573</v>
      </c>
      <c r="M503" t="s">
        <v>631</v>
      </c>
      <c r="N503">
        <v>44.28484848484848</v>
      </c>
      <c r="O503">
        <v>3.3</v>
      </c>
      <c r="P503">
        <v>0.16</v>
      </c>
      <c r="Q503">
        <v>0.04848484848484849</v>
      </c>
      <c r="R503">
        <v>0</v>
      </c>
      <c r="S503">
        <v>0</v>
      </c>
      <c r="T503" t="s">
        <v>891</v>
      </c>
      <c r="U503">
        <v>-0.505588266737396</v>
      </c>
      <c r="V503" t="s">
        <v>986</v>
      </c>
      <c r="W503" t="s">
        <v>993</v>
      </c>
      <c r="X503">
        <v>363888.6</v>
      </c>
      <c r="Y503" s="2">
        <v>44912</v>
      </c>
      <c r="Z503" t="s">
        <v>1007</v>
      </c>
    </row>
    <row r="504" spans="1:26">
      <c r="A504" s="1" t="s">
        <v>528</v>
      </c>
      <c r="B504">
        <f>HYPERLINK("https://www.suredividend.com/sure-analysis-CF/","CF Industries Holdings Inc")</f>
        <v>0</v>
      </c>
      <c r="C504" t="s">
        <v>885</v>
      </c>
      <c r="D504">
        <v>101</v>
      </c>
      <c r="E504">
        <v>85.2</v>
      </c>
      <c r="F504">
        <v>79</v>
      </c>
      <c r="G504">
        <v>1.078481012658228</v>
      </c>
      <c r="H504">
        <v>0.0187793427230047</v>
      </c>
      <c r="I504">
        <v>-0.01499712228244388</v>
      </c>
      <c r="J504">
        <v>-0.03</v>
      </c>
      <c r="K504">
        <v>-0.02171348914317561</v>
      </c>
      <c r="L504" t="s">
        <v>573</v>
      </c>
      <c r="M504" t="s">
        <v>572</v>
      </c>
      <c r="N504">
        <v>4.681318681318682</v>
      </c>
      <c r="O504">
        <v>18.2</v>
      </c>
      <c r="P504">
        <v>1.6</v>
      </c>
      <c r="Q504">
        <v>0.08791208791208792</v>
      </c>
      <c r="R504">
        <v>0</v>
      </c>
      <c r="S504">
        <v>0.0204004858967195</v>
      </c>
      <c r="T504" t="s">
        <v>907</v>
      </c>
      <c r="U504">
        <v>0.20417730804184</v>
      </c>
      <c r="V504" t="s">
        <v>986</v>
      </c>
      <c r="W504" t="s">
        <v>990</v>
      </c>
      <c r="X504">
        <v>16715.342248</v>
      </c>
      <c r="Y504" s="2">
        <v>44885</v>
      </c>
      <c r="Z504" t="s">
        <v>1005</v>
      </c>
    </row>
    <row r="505" spans="1:26">
      <c r="A505" s="1" t="s">
        <v>529</v>
      </c>
      <c r="B505">
        <f>HYPERLINK("https://www.suredividend.com/sure-analysis-COP/","Conoco Phillips")</f>
        <v>0</v>
      </c>
      <c r="C505" t="s">
        <v>885</v>
      </c>
      <c r="D505">
        <v>132</v>
      </c>
      <c r="E505">
        <v>118</v>
      </c>
      <c r="F505">
        <v>165</v>
      </c>
      <c r="G505">
        <v>0.7151515151515152</v>
      </c>
      <c r="H505">
        <v>0.0173728813559322</v>
      </c>
      <c r="I505">
        <v>0.06935126465402264</v>
      </c>
      <c r="J505">
        <v>-0.11</v>
      </c>
      <c r="K505">
        <v>-0.02555675679838043</v>
      </c>
      <c r="L505" t="s">
        <v>573</v>
      </c>
      <c r="M505" t="s">
        <v>572</v>
      </c>
      <c r="N505">
        <v>8.939393939393939</v>
      </c>
      <c r="O505">
        <v>13.2</v>
      </c>
      <c r="P505">
        <v>2.05</v>
      </c>
      <c r="Q505">
        <v>0.1553030303030303</v>
      </c>
      <c r="R505">
        <v>6</v>
      </c>
      <c r="S505">
        <v>0.03965464247937533</v>
      </c>
      <c r="T505" t="s">
        <v>913</v>
      </c>
      <c r="U505">
        <v>0.7182831148104351</v>
      </c>
      <c r="V505" t="s">
        <v>986</v>
      </c>
      <c r="W505" t="s">
        <v>999</v>
      </c>
      <c r="X505">
        <v>147036.385788</v>
      </c>
      <c r="Y505" s="2">
        <v>44872</v>
      </c>
      <c r="Z505" t="s">
        <v>1003</v>
      </c>
    </row>
    <row r="506" spans="1:26">
      <c r="A506" s="1" t="s">
        <v>530</v>
      </c>
      <c r="B506">
        <f>HYPERLINK("https://www.suredividend.com/sure-analysis-KLIC/","Kulicke &amp; Soffa Industries, Inc.")</f>
        <v>0</v>
      </c>
      <c r="C506" t="s">
        <v>885</v>
      </c>
      <c r="D506">
        <v>48</v>
      </c>
      <c r="E506">
        <v>44.26</v>
      </c>
      <c r="F506">
        <v>30</v>
      </c>
      <c r="G506">
        <v>1.475333333333333</v>
      </c>
      <c r="H506">
        <v>0.01717126073203796</v>
      </c>
      <c r="I506">
        <v>-0.07482908965082258</v>
      </c>
      <c r="J506">
        <v>0.03</v>
      </c>
      <c r="K506">
        <v>-0.02591314841652792</v>
      </c>
      <c r="L506" t="s">
        <v>573</v>
      </c>
      <c r="M506" t="s">
        <v>631</v>
      </c>
      <c r="N506">
        <v>11.64736842105263</v>
      </c>
      <c r="O506">
        <v>3.8</v>
      </c>
      <c r="P506">
        <v>0.76</v>
      </c>
      <c r="Q506">
        <v>0.2</v>
      </c>
      <c r="R506">
        <v>3</v>
      </c>
      <c r="S506">
        <v>0.02021836907521135</v>
      </c>
      <c r="T506" t="s">
        <v>950</v>
      </c>
      <c r="U506">
        <v>-0.244562935451606</v>
      </c>
      <c r="V506" t="s">
        <v>986</v>
      </c>
      <c r="W506" t="s">
        <v>993</v>
      </c>
      <c r="X506">
        <v>2523.660409</v>
      </c>
      <c r="Y506" s="2">
        <v>44886</v>
      </c>
      <c r="Z506" t="s">
        <v>1001</v>
      </c>
    </row>
    <row r="507" spans="1:26">
      <c r="A507" s="1" t="s">
        <v>531</v>
      </c>
      <c r="B507">
        <f>HYPERLINK("https://www.suredividend.com/sure-analysis-NVO/","Novo Nordisk")</f>
        <v>0</v>
      </c>
      <c r="C507" t="s">
        <v>885</v>
      </c>
      <c r="D507">
        <v>113</v>
      </c>
      <c r="E507">
        <v>135.34</v>
      </c>
      <c r="F507">
        <v>76</v>
      </c>
      <c r="G507">
        <v>1.78078947368421</v>
      </c>
      <c r="H507">
        <v>0.01507314910595537</v>
      </c>
      <c r="I507">
        <v>-0.1090004513735554</v>
      </c>
      <c r="J507">
        <v>0.06</v>
      </c>
      <c r="K507">
        <v>-0.03330502901252164</v>
      </c>
      <c r="L507" t="s">
        <v>573</v>
      </c>
      <c r="M507" t="s">
        <v>572</v>
      </c>
      <c r="N507">
        <v>39.34302325581395</v>
      </c>
      <c r="O507">
        <v>3.44</v>
      </c>
      <c r="P507">
        <v>2.04</v>
      </c>
      <c r="Q507">
        <v>0.5930232558139535</v>
      </c>
      <c r="R507">
        <v>3</v>
      </c>
      <c r="S507">
        <v>0.06990981876632385</v>
      </c>
      <c r="T507" t="s">
        <v>973</v>
      </c>
      <c r="U507">
        <v>0.232622697598507</v>
      </c>
      <c r="V507" t="s">
        <v>986</v>
      </c>
      <c r="W507" t="s">
        <v>998</v>
      </c>
      <c r="X507">
        <v>235838.61176</v>
      </c>
      <c r="Y507" s="2">
        <v>44886</v>
      </c>
      <c r="Z507" t="s">
        <v>1015</v>
      </c>
    </row>
    <row r="508" spans="1:26">
      <c r="A508" s="1" t="s">
        <v>532</v>
      </c>
      <c r="B508">
        <f>HYPERLINK("https://www.suredividend.com/sure-analysis-VMC/","Vulcan Materials Co")</f>
        <v>0</v>
      </c>
      <c r="C508" t="s">
        <v>885</v>
      </c>
      <c r="D508">
        <v>170</v>
      </c>
      <c r="E508">
        <v>175.11</v>
      </c>
      <c r="F508">
        <v>106</v>
      </c>
      <c r="G508">
        <v>1.651981132075472</v>
      </c>
      <c r="H508">
        <v>0.009137113814173948</v>
      </c>
      <c r="I508">
        <v>-0.09551996807112473</v>
      </c>
      <c r="J508">
        <v>0.05</v>
      </c>
      <c r="K508">
        <v>-0.0376139494857709</v>
      </c>
      <c r="L508" t="s">
        <v>573</v>
      </c>
      <c r="M508" t="s">
        <v>631</v>
      </c>
      <c r="N508">
        <v>33.16477272727273</v>
      </c>
      <c r="O508">
        <v>5.28</v>
      </c>
      <c r="P508">
        <v>1.6</v>
      </c>
      <c r="Q508">
        <v>0.303030303030303</v>
      </c>
      <c r="R508">
        <v>9</v>
      </c>
      <c r="S508">
        <v>0.04978904632428516</v>
      </c>
      <c r="T508" t="s">
        <v>907</v>
      </c>
      <c r="U508">
        <v>-0.145568554814917</v>
      </c>
      <c r="V508" t="s">
        <v>986</v>
      </c>
      <c r="W508" t="s">
        <v>990</v>
      </c>
      <c r="X508">
        <v>23273.321305</v>
      </c>
      <c r="Y508" s="2">
        <v>44873</v>
      </c>
      <c r="Z508" t="s">
        <v>1001</v>
      </c>
    </row>
    <row r="509" spans="1:26">
      <c r="A509" s="1" t="s">
        <v>533</v>
      </c>
      <c r="B509">
        <f>HYPERLINK("https://www.suredividend.com/sure-analysis-MFGP/","Micro Focus International Plc")</f>
        <v>0</v>
      </c>
      <c r="C509" t="s">
        <v>884</v>
      </c>
      <c r="D509">
        <v>3.26</v>
      </c>
      <c r="E509">
        <v>6.31</v>
      </c>
      <c r="F509">
        <v>4.05</v>
      </c>
      <c r="G509">
        <v>1.558024691358025</v>
      </c>
      <c r="H509">
        <v>0.04595879556259905</v>
      </c>
      <c r="I509">
        <v>-0.08486506907514235</v>
      </c>
      <c r="J509">
        <v>-0.02</v>
      </c>
      <c r="K509">
        <v>-0.04127676707280248</v>
      </c>
      <c r="L509" t="s">
        <v>573</v>
      </c>
      <c r="M509" t="s">
        <v>887</v>
      </c>
      <c r="N509">
        <v>4.674074074074073</v>
      </c>
      <c r="O509">
        <v>1.35</v>
      </c>
      <c r="P509">
        <v>0.29</v>
      </c>
      <c r="Q509">
        <v>0.2148148148148148</v>
      </c>
      <c r="R509">
        <v>1</v>
      </c>
      <c r="S509">
        <v>0</v>
      </c>
      <c r="T509" t="s">
        <v>974</v>
      </c>
      <c r="U509">
        <v>0.21217942560753</v>
      </c>
      <c r="V509" t="s">
        <v>986</v>
      </c>
      <c r="W509" t="s">
        <v>993</v>
      </c>
      <c r="X509">
        <v>2140.165035</v>
      </c>
      <c r="Y509" s="2">
        <v>44759</v>
      </c>
      <c r="Z509" t="s">
        <v>1001</v>
      </c>
    </row>
    <row r="510" spans="1:26">
      <c r="A510" s="1" t="s">
        <v>534</v>
      </c>
      <c r="B510">
        <f>HYPERLINK("https://www.suredividend.com/sure-analysis-OXY/","Occidental Petroleum Corp.")</f>
        <v>0</v>
      </c>
      <c r="C510" t="s">
        <v>885</v>
      </c>
      <c r="D510">
        <v>72</v>
      </c>
      <c r="E510">
        <v>62.99</v>
      </c>
      <c r="F510">
        <v>43</v>
      </c>
      <c r="G510">
        <v>1.464883720930233</v>
      </c>
      <c r="H510">
        <v>0.008255278615653278</v>
      </c>
      <c r="I510">
        <v>-0.07351291562695528</v>
      </c>
      <c r="J510">
        <v>0</v>
      </c>
      <c r="K510">
        <v>-0.05977625151644161</v>
      </c>
      <c r="L510" t="s">
        <v>573</v>
      </c>
      <c r="M510" t="s">
        <v>631</v>
      </c>
      <c r="N510">
        <v>20.99666666666667</v>
      </c>
      <c r="O510">
        <v>3</v>
      </c>
      <c r="P510">
        <v>0.52</v>
      </c>
      <c r="Q510">
        <v>0.1733333333333333</v>
      </c>
      <c r="R510">
        <v>1</v>
      </c>
      <c r="S510">
        <v>0.07885244396237145</v>
      </c>
      <c r="T510" t="s">
        <v>948</v>
      </c>
      <c r="U510">
        <v>1.192496989188925</v>
      </c>
      <c r="V510" t="s">
        <v>986</v>
      </c>
      <c r="W510" t="s">
        <v>999</v>
      </c>
      <c r="X510">
        <v>57252.502246</v>
      </c>
      <c r="Y510" s="2">
        <v>44882</v>
      </c>
      <c r="Z510" t="s">
        <v>1003</v>
      </c>
    </row>
    <row r="511" spans="1:26">
      <c r="A511" s="1" t="s">
        <v>535</v>
      </c>
      <c r="B511">
        <f>HYPERLINK("https://www.suredividend.com/sure-analysis-MPC/","Marathon Petroleum Corp")</f>
        <v>0</v>
      </c>
      <c r="C511" t="s">
        <v>885</v>
      </c>
      <c r="D511">
        <v>119</v>
      </c>
      <c r="E511">
        <v>116.39</v>
      </c>
      <c r="F511">
        <v>274</v>
      </c>
      <c r="G511">
        <v>0.4247810218978102</v>
      </c>
      <c r="H511">
        <v>0.02577541025861328</v>
      </c>
      <c r="I511">
        <v>0.1867711464565085</v>
      </c>
      <c r="J511">
        <v>-0.25</v>
      </c>
      <c r="K511">
        <v>-0.07000610061217782</v>
      </c>
      <c r="L511" t="s">
        <v>573</v>
      </c>
      <c r="M511" t="s">
        <v>572</v>
      </c>
      <c r="N511">
        <v>4.849583333333333</v>
      </c>
      <c r="O511">
        <v>24</v>
      </c>
      <c r="P511">
        <v>3</v>
      </c>
      <c r="Q511">
        <v>0.125</v>
      </c>
      <c r="R511">
        <v>1</v>
      </c>
      <c r="S511">
        <v>0.0204773406453429</v>
      </c>
      <c r="T511" t="s">
        <v>895</v>
      </c>
      <c r="U511">
        <v>0.8827057647450851</v>
      </c>
      <c r="V511" t="s">
        <v>986</v>
      </c>
      <c r="W511" t="s">
        <v>999</v>
      </c>
      <c r="X511">
        <v>54547.434353</v>
      </c>
      <c r="Y511" s="2">
        <v>44867</v>
      </c>
      <c r="Z511" t="s">
        <v>1003</v>
      </c>
    </row>
    <row r="512" spans="1:26">
      <c r="A512" s="1" t="s">
        <v>536</v>
      </c>
      <c r="B512">
        <f>HYPERLINK("https://www.suredividend.com/sure-analysis-PPL/","PPL Corp")</f>
        <v>0</v>
      </c>
      <c r="C512" t="s">
        <v>885</v>
      </c>
      <c r="D512">
        <v>27</v>
      </c>
      <c r="E512">
        <v>29.22</v>
      </c>
      <c r="F512">
        <v>14</v>
      </c>
      <c r="G512">
        <v>2.087142857142857</v>
      </c>
      <c r="H512">
        <v>0.03080082135523614</v>
      </c>
      <c r="I512">
        <v>-0.1368434612876089</v>
      </c>
      <c r="J512">
        <v>0.02</v>
      </c>
      <c r="K512">
        <v>-0.07095642718851525</v>
      </c>
      <c r="L512" t="s">
        <v>573</v>
      </c>
      <c r="M512" t="s">
        <v>573</v>
      </c>
      <c r="N512">
        <v>20.87142857142857</v>
      </c>
      <c r="O512">
        <v>1.4</v>
      </c>
      <c r="P512">
        <v>0.9</v>
      </c>
      <c r="Q512">
        <v>0.6428571428571429</v>
      </c>
      <c r="R512">
        <v>0</v>
      </c>
      <c r="S512">
        <v>0.01924487649145656</v>
      </c>
      <c r="T512" t="s">
        <v>920</v>
      </c>
      <c r="U512">
        <v>0.00719374864277</v>
      </c>
      <c r="V512" t="s">
        <v>986</v>
      </c>
      <c r="W512" t="s">
        <v>997</v>
      </c>
      <c r="X512">
        <v>21515.220258</v>
      </c>
      <c r="Y512" s="2">
        <v>44873</v>
      </c>
      <c r="Z512" t="s">
        <v>1001</v>
      </c>
    </row>
    <row r="513" spans="1:26">
      <c r="A513" s="1" t="s">
        <v>537</v>
      </c>
      <c r="B513">
        <f>HYPERLINK("https://www.suredividend.com/sure-analysis-AGO/","Assured Guaranty Ltd")</f>
        <v>0</v>
      </c>
      <c r="C513" t="s">
        <v>885</v>
      </c>
      <c r="D513">
        <v>60</v>
      </c>
      <c r="E513">
        <v>62.26</v>
      </c>
      <c r="F513">
        <v>32</v>
      </c>
      <c r="G513">
        <v>1.945625</v>
      </c>
      <c r="H513">
        <v>0.016061676839062</v>
      </c>
      <c r="I513">
        <v>-0.1246370270764212</v>
      </c>
      <c r="J513">
        <v>0</v>
      </c>
      <c r="K513">
        <v>-0.0988470234340264</v>
      </c>
      <c r="L513" t="s">
        <v>573</v>
      </c>
      <c r="M513" t="s">
        <v>631</v>
      </c>
      <c r="N513">
        <v>17.53802816901408</v>
      </c>
      <c r="O513">
        <v>3.55</v>
      </c>
      <c r="P513">
        <v>1</v>
      </c>
      <c r="Q513">
        <v>0.2816901408450704</v>
      </c>
      <c r="R513">
        <v>11</v>
      </c>
      <c r="S513">
        <v>0</v>
      </c>
      <c r="T513" t="s">
        <v>895</v>
      </c>
      <c r="U513">
        <v>0.269606923497312</v>
      </c>
      <c r="V513" t="s">
        <v>986</v>
      </c>
      <c r="W513" t="s">
        <v>994</v>
      </c>
      <c r="X513">
        <v>3735.254955</v>
      </c>
      <c r="Y513" s="2">
        <v>44885</v>
      </c>
      <c r="Z513" t="s">
        <v>1013</v>
      </c>
    </row>
    <row r="514" spans="1:26">
      <c r="A514" s="1" t="s">
        <v>538</v>
      </c>
      <c r="B514">
        <f>HYPERLINK("https://www.suredividend.com/sure-analysis-STLD/","Steel Dynamics Inc.")</f>
        <v>0</v>
      </c>
      <c r="C514" t="s">
        <v>885</v>
      </c>
      <c r="D514">
        <v>86</v>
      </c>
      <c r="E514">
        <v>97.7</v>
      </c>
      <c r="F514">
        <v>50</v>
      </c>
      <c r="G514">
        <v>1.954</v>
      </c>
      <c r="H514">
        <v>0.01392016376663255</v>
      </c>
      <c r="I514">
        <v>-0.1253886919793108</v>
      </c>
      <c r="J514">
        <v>0</v>
      </c>
      <c r="K514">
        <v>-0.09899145121994546</v>
      </c>
      <c r="L514" t="s">
        <v>573</v>
      </c>
      <c r="M514" t="s">
        <v>631</v>
      </c>
      <c r="N514">
        <v>21.71111111111111</v>
      </c>
      <c r="O514">
        <v>4.5</v>
      </c>
      <c r="P514">
        <v>1.36</v>
      </c>
      <c r="Q514">
        <v>0.3022222222222222</v>
      </c>
      <c r="R514">
        <v>10</v>
      </c>
      <c r="S514">
        <v>0.05530068195228077</v>
      </c>
      <c r="T514" t="s">
        <v>905</v>
      </c>
      <c r="U514">
        <v>0.6062685575806991</v>
      </c>
      <c r="V514" t="s">
        <v>986</v>
      </c>
      <c r="W514" t="s">
        <v>990</v>
      </c>
      <c r="X514">
        <v>17153.326659</v>
      </c>
      <c r="Y514" s="2">
        <v>44855</v>
      </c>
      <c r="Z514" t="s">
        <v>1003</v>
      </c>
    </row>
    <row r="515" spans="1:26">
      <c r="A515" s="1" t="s">
        <v>539</v>
      </c>
      <c r="B515">
        <f>HYPERLINK("https://www.suredividend.com/sure-analysis-LLY/","Lilly(Eli) &amp; Co")</f>
        <v>0</v>
      </c>
      <c r="C515" t="s">
        <v>885</v>
      </c>
      <c r="D515">
        <v>365</v>
      </c>
      <c r="E515">
        <v>365.84</v>
      </c>
      <c r="F515">
        <v>136</v>
      </c>
      <c r="G515">
        <v>2.69</v>
      </c>
      <c r="H515">
        <v>0.01235512792477586</v>
      </c>
      <c r="I515">
        <v>-0.1795548652227104</v>
      </c>
      <c r="J515">
        <v>0.06</v>
      </c>
      <c r="K515">
        <v>-0.1078687417916585</v>
      </c>
      <c r="L515" t="s">
        <v>573</v>
      </c>
      <c r="M515" t="s">
        <v>572</v>
      </c>
      <c r="N515">
        <v>47.02313624678663</v>
      </c>
      <c r="O515">
        <v>7.78</v>
      </c>
      <c r="P515">
        <v>4.52</v>
      </c>
      <c r="Q515">
        <v>0.5809768637532133</v>
      </c>
      <c r="R515">
        <v>9</v>
      </c>
      <c r="S515">
        <v>0.03039602285319321</v>
      </c>
      <c r="T515" t="s">
        <v>907</v>
      </c>
      <c r="U515">
        <v>0.337565691864117</v>
      </c>
      <c r="V515" t="s">
        <v>986</v>
      </c>
      <c r="W515" t="s">
        <v>998</v>
      </c>
      <c r="X515">
        <v>347613.082936</v>
      </c>
      <c r="Y515" s="2">
        <v>44875</v>
      </c>
      <c r="Z515" t="s">
        <v>1001</v>
      </c>
    </row>
    <row r="516" spans="1:26">
      <c r="A516" s="1" t="s">
        <v>540</v>
      </c>
      <c r="B516">
        <f>HYPERLINK("https://www.suredividend.com/sure-analysis-SLG/","SL Green Realty Corp.")</f>
        <v>0</v>
      </c>
      <c r="C516" t="s">
        <v>883</v>
      </c>
      <c r="D516">
        <v>38</v>
      </c>
      <c r="E516">
        <v>33.72</v>
      </c>
      <c r="F516">
        <v>75</v>
      </c>
      <c r="G516">
        <v>0.4496</v>
      </c>
      <c r="H516">
        <v>0.09638196915776988</v>
      </c>
      <c r="I516">
        <v>0.1733693495154232</v>
      </c>
      <c r="J516">
        <v>0.05</v>
      </c>
      <c r="K516">
        <v>0.2755785406414275</v>
      </c>
      <c r="L516" t="s">
        <v>572</v>
      </c>
      <c r="M516" t="s">
        <v>887</v>
      </c>
      <c r="N516">
        <v>5.109090909090909</v>
      </c>
      <c r="O516">
        <v>6.6</v>
      </c>
      <c r="P516">
        <v>3.25</v>
      </c>
      <c r="Q516">
        <v>0.4924242424242424</v>
      </c>
      <c r="R516">
        <v>0</v>
      </c>
      <c r="S516">
        <v>0.03713728933664817</v>
      </c>
      <c r="T516" t="s">
        <v>905</v>
      </c>
      <c r="U516">
        <v>-0.514156040631078</v>
      </c>
      <c r="V516" t="s">
        <v>987</v>
      </c>
      <c r="W516" t="s">
        <v>1000</v>
      </c>
      <c r="X516">
        <v>2168.73724</v>
      </c>
      <c r="Y516" s="2">
        <v>44854</v>
      </c>
      <c r="Z516" t="s">
        <v>1003</v>
      </c>
    </row>
    <row r="517" spans="1:26">
      <c r="A517" s="1" t="s">
        <v>541</v>
      </c>
      <c r="B517">
        <f>HYPERLINK("https://www.suredividend.com/sure-analysis-ZIM/","Zim Integrated Shipping Services Ltd")</f>
        <v>0</v>
      </c>
      <c r="C517" t="s">
        <v>883</v>
      </c>
      <c r="D517">
        <v>25</v>
      </c>
      <c r="E517">
        <v>17.19</v>
      </c>
      <c r="F517">
        <v>114</v>
      </c>
      <c r="G517">
        <v>0.1507894736842105</v>
      </c>
      <c r="H517">
        <v>1.105293775450843</v>
      </c>
      <c r="I517">
        <v>0.4599090303505509</v>
      </c>
      <c r="J517">
        <v>-0.3</v>
      </c>
      <c r="K517">
        <v>0.2665436681687354</v>
      </c>
      <c r="L517" t="s">
        <v>572</v>
      </c>
      <c r="M517" t="s">
        <v>887</v>
      </c>
      <c r="N517">
        <v>0.4523684210526316</v>
      </c>
      <c r="O517">
        <v>38</v>
      </c>
      <c r="P517">
        <v>19</v>
      </c>
      <c r="Q517">
        <v>0.5</v>
      </c>
      <c r="R517">
        <v>1</v>
      </c>
      <c r="S517">
        <v>-0.3001460527358084</v>
      </c>
      <c r="T517" t="s">
        <v>975</v>
      </c>
      <c r="U517">
        <v>-0.520069686216591</v>
      </c>
      <c r="V517" t="s">
        <v>986</v>
      </c>
      <c r="W517" t="s">
        <v>991</v>
      </c>
      <c r="X517">
        <v>2061.895686</v>
      </c>
      <c r="Y517" s="2">
        <v>44887</v>
      </c>
      <c r="Z517" t="s">
        <v>1011</v>
      </c>
    </row>
    <row r="518" spans="1:26">
      <c r="A518" s="1" t="s">
        <v>542</v>
      </c>
      <c r="B518">
        <f>HYPERLINK("https://www.suredividend.com/sure-analysis-OPI/","Office Properties Income Trust")</f>
        <v>0</v>
      </c>
      <c r="C518" t="s">
        <v>883</v>
      </c>
      <c r="D518">
        <v>14</v>
      </c>
      <c r="E518">
        <v>13.35</v>
      </c>
      <c r="F518">
        <v>28</v>
      </c>
      <c r="G518">
        <v>0.4767857142857143</v>
      </c>
      <c r="H518">
        <v>0.1647940074906367</v>
      </c>
      <c r="I518">
        <v>0.159672485383092</v>
      </c>
      <c r="J518">
        <v>0.02</v>
      </c>
      <c r="K518">
        <v>0.2571181961549691</v>
      </c>
      <c r="L518" t="s">
        <v>572</v>
      </c>
      <c r="M518" t="s">
        <v>887</v>
      </c>
      <c r="N518">
        <v>2.840425531914893</v>
      </c>
      <c r="O518">
        <v>4.7</v>
      </c>
      <c r="P518">
        <v>2.2</v>
      </c>
      <c r="Q518">
        <v>0.4680851063829787</v>
      </c>
      <c r="R518">
        <v>0</v>
      </c>
      <c r="S518">
        <v>0</v>
      </c>
      <c r="T518" t="s">
        <v>934</v>
      </c>
      <c r="U518">
        <v>-0.407330456555324</v>
      </c>
      <c r="V518" t="s">
        <v>987</v>
      </c>
      <c r="W518" t="s">
        <v>1000</v>
      </c>
      <c r="X518">
        <v>648.356888</v>
      </c>
      <c r="Y518" s="2">
        <v>44885</v>
      </c>
      <c r="Z518" t="s">
        <v>1003</v>
      </c>
    </row>
    <row r="519" spans="1:26">
      <c r="A519" s="1" t="s">
        <v>543</v>
      </c>
      <c r="B519">
        <f>HYPERLINK("https://www.suredividend.com/sure-analysis-JHG/","Janus Henderson Group plc")</f>
        <v>0</v>
      </c>
      <c r="C519" t="s">
        <v>883</v>
      </c>
      <c r="D519">
        <v>21</v>
      </c>
      <c r="E519">
        <v>23.52</v>
      </c>
      <c r="F519">
        <v>56</v>
      </c>
      <c r="G519">
        <v>0.42</v>
      </c>
      <c r="H519">
        <v>0.0663265306122449</v>
      </c>
      <c r="I519">
        <v>0.1894608218221061</v>
      </c>
      <c r="J519">
        <v>0.03</v>
      </c>
      <c r="K519">
        <v>0.2557876444503431</v>
      </c>
      <c r="L519" t="s">
        <v>572</v>
      </c>
      <c r="M519" t="s">
        <v>887</v>
      </c>
      <c r="N519">
        <v>6.356756756756757</v>
      </c>
      <c r="O519">
        <v>3.7</v>
      </c>
      <c r="P519">
        <v>1.56</v>
      </c>
      <c r="Q519">
        <v>0.4216216216216216</v>
      </c>
      <c r="R519">
        <v>2</v>
      </c>
      <c r="S519">
        <v>0.03017449941847161</v>
      </c>
      <c r="T519" t="s">
        <v>911</v>
      </c>
      <c r="U519">
        <v>-0.407032414048692</v>
      </c>
      <c r="V519" t="s">
        <v>986</v>
      </c>
      <c r="W519" t="s">
        <v>994</v>
      </c>
      <c r="X519">
        <v>3896.273926</v>
      </c>
      <c r="Y519" s="2">
        <v>44870</v>
      </c>
      <c r="Z519" t="s">
        <v>1013</v>
      </c>
    </row>
    <row r="520" spans="1:26">
      <c r="A520" s="1" t="s">
        <v>544</v>
      </c>
      <c r="B520">
        <f>HYPERLINK("https://www.suredividend.com/sure-analysis-UNIT/","Uniti Group Inc")</f>
        <v>0</v>
      </c>
      <c r="C520" t="s">
        <v>883</v>
      </c>
      <c r="D520">
        <v>7.4</v>
      </c>
      <c r="E520">
        <v>5.53</v>
      </c>
      <c r="F520">
        <v>10.5</v>
      </c>
      <c r="G520">
        <v>0.5266666666666667</v>
      </c>
      <c r="H520">
        <v>0.108499095840868</v>
      </c>
      <c r="I520">
        <v>0.1368229528206397</v>
      </c>
      <c r="J520">
        <v>0.045</v>
      </c>
      <c r="K520">
        <v>0.2394248696120116</v>
      </c>
      <c r="L520" t="s">
        <v>572</v>
      </c>
      <c r="M520" t="s">
        <v>887</v>
      </c>
      <c r="N520">
        <v>3.16</v>
      </c>
      <c r="O520">
        <v>1.75</v>
      </c>
      <c r="P520">
        <v>0.6</v>
      </c>
      <c r="Q520">
        <v>0.3428571428571429</v>
      </c>
      <c r="R520">
        <v>0</v>
      </c>
      <c r="S520">
        <v>0.009805797673485328</v>
      </c>
      <c r="T520" t="s">
        <v>888</v>
      </c>
      <c r="U520">
        <v>-0.5801477454769081</v>
      </c>
      <c r="V520" t="s">
        <v>987</v>
      </c>
      <c r="W520" t="s">
        <v>1000</v>
      </c>
      <c r="X520">
        <v>1311.716277</v>
      </c>
      <c r="Y520" s="2">
        <v>44893</v>
      </c>
      <c r="Z520" t="s">
        <v>1009</v>
      </c>
    </row>
    <row r="521" spans="1:26">
      <c r="A521" s="1" t="s">
        <v>545</v>
      </c>
      <c r="B521">
        <f>HYPERLINK("https://www.suredividend.com/sure-analysis-PBR/","Petroleo Brasileiro S.A. Petrobras")</f>
        <v>0</v>
      </c>
      <c r="C521" t="s">
        <v>885</v>
      </c>
      <c r="D521">
        <v>12</v>
      </c>
      <c r="E521">
        <v>10.65</v>
      </c>
      <c r="F521">
        <v>25</v>
      </c>
      <c r="G521">
        <v>0.426</v>
      </c>
      <c r="H521">
        <v>0.08544600938967137</v>
      </c>
      <c r="I521">
        <v>0.1860911902624662</v>
      </c>
      <c r="J521">
        <v>0.01</v>
      </c>
      <c r="K521">
        <v>0.2368339663434922</v>
      </c>
      <c r="L521" t="s">
        <v>572</v>
      </c>
      <c r="M521" t="s">
        <v>887</v>
      </c>
      <c r="N521">
        <v>3.469055374592834</v>
      </c>
      <c r="O521">
        <v>3.07</v>
      </c>
      <c r="P521">
        <v>0.91</v>
      </c>
      <c r="Q521">
        <v>0.2964169381107492</v>
      </c>
      <c r="R521">
        <v>0</v>
      </c>
      <c r="S521">
        <v>0</v>
      </c>
      <c r="U521">
        <v>0.215226271708619</v>
      </c>
      <c r="V521" t="s">
        <v>986</v>
      </c>
      <c r="W521" t="s">
        <v>999</v>
      </c>
      <c r="X521">
        <v>65651.370859</v>
      </c>
      <c r="Y521" s="2">
        <v>44879</v>
      </c>
      <c r="Z521" t="s">
        <v>1015</v>
      </c>
    </row>
    <row r="522" spans="1:26">
      <c r="A522" s="1" t="s">
        <v>546</v>
      </c>
      <c r="B522">
        <f>HYPERLINK("https://www.suredividend.com/sure-analysis-DEI/","Douglas Emmett Inc")</f>
        <v>0</v>
      </c>
      <c r="C522" t="s">
        <v>883</v>
      </c>
      <c r="D522">
        <v>16</v>
      </c>
      <c r="E522">
        <v>15.68</v>
      </c>
      <c r="F522">
        <v>32</v>
      </c>
      <c r="G522">
        <v>0.49</v>
      </c>
      <c r="H522">
        <v>0.04846938775510204</v>
      </c>
      <c r="I522">
        <v>0.1533491077818532</v>
      </c>
      <c r="J522">
        <v>0.03</v>
      </c>
      <c r="K522">
        <v>0.219220002183109</v>
      </c>
      <c r="L522" t="s">
        <v>572</v>
      </c>
      <c r="M522" t="s">
        <v>573</v>
      </c>
      <c r="N522">
        <v>7.648780487804879</v>
      </c>
      <c r="O522">
        <v>2.05</v>
      </c>
      <c r="P522">
        <v>0.76</v>
      </c>
      <c r="Q522">
        <v>0.3707317073170732</v>
      </c>
      <c r="R522">
        <v>0</v>
      </c>
      <c r="S522">
        <v>0.10286313147853</v>
      </c>
      <c r="T522" t="s">
        <v>905</v>
      </c>
      <c r="U522">
        <v>-0.512060021596323</v>
      </c>
      <c r="V522" t="s">
        <v>987</v>
      </c>
      <c r="W522" t="s">
        <v>1000</v>
      </c>
      <c r="X522">
        <v>2756.37003</v>
      </c>
      <c r="Y522" s="2">
        <v>44885</v>
      </c>
      <c r="Z522" t="s">
        <v>1003</v>
      </c>
    </row>
    <row r="523" spans="1:26">
      <c r="A523" s="1" t="s">
        <v>547</v>
      </c>
      <c r="B523">
        <f>HYPERLINK("https://www.suredividend.com/sure-analysis-WSO/","Watsco Inc.")</f>
        <v>0</v>
      </c>
      <c r="C523" t="s">
        <v>883</v>
      </c>
      <c r="D523">
        <v>242</v>
      </c>
      <c r="E523">
        <v>249.4</v>
      </c>
      <c r="F523">
        <v>361</v>
      </c>
      <c r="G523">
        <v>0.6908587257617729</v>
      </c>
      <c r="H523">
        <v>0.03528468323977546</v>
      </c>
      <c r="I523">
        <v>0.07676802501618796</v>
      </c>
      <c r="J523">
        <v>0.1</v>
      </c>
      <c r="K523">
        <v>0.2075982741933862</v>
      </c>
      <c r="L523" t="s">
        <v>572</v>
      </c>
      <c r="M523" t="s">
        <v>572</v>
      </c>
      <c r="N523">
        <v>17.27146814404432</v>
      </c>
      <c r="O523">
        <v>14.44</v>
      </c>
      <c r="P523">
        <v>8.800000000000001</v>
      </c>
      <c r="Q523">
        <v>0.6094182825484765</v>
      </c>
      <c r="R523">
        <v>9</v>
      </c>
      <c r="S523">
        <v>0.09996137598141042</v>
      </c>
      <c r="T523" t="s">
        <v>925</v>
      </c>
      <c r="U523">
        <v>-0.166857636882216</v>
      </c>
      <c r="V523" t="s">
        <v>986</v>
      </c>
      <c r="W523" t="s">
        <v>991</v>
      </c>
      <c r="X523">
        <v>9677.824452000001</v>
      </c>
      <c r="Y523" s="2">
        <v>44854</v>
      </c>
      <c r="Z523" t="s">
        <v>1001</v>
      </c>
    </row>
    <row r="524" spans="1:26">
      <c r="A524" s="1" t="s">
        <v>548</v>
      </c>
      <c r="B524">
        <f>HYPERLINK("https://www.suredividend.com/sure-analysis-MED/","Medifast Inc")</f>
        <v>0</v>
      </c>
      <c r="C524" t="s">
        <v>883</v>
      </c>
      <c r="D524">
        <v>120</v>
      </c>
      <c r="E524">
        <v>115.35</v>
      </c>
      <c r="F524">
        <v>211</v>
      </c>
      <c r="G524">
        <v>0.5466824644549763</v>
      </c>
      <c r="H524">
        <v>0.05687039445166883</v>
      </c>
      <c r="I524">
        <v>0.1283737420149957</v>
      </c>
      <c r="J524">
        <v>0.03</v>
      </c>
      <c r="K524">
        <v>0.2013518264999352</v>
      </c>
      <c r="L524" t="s">
        <v>572</v>
      </c>
      <c r="M524" t="s">
        <v>887</v>
      </c>
      <c r="N524">
        <v>8.180851063829786</v>
      </c>
      <c r="O524">
        <v>14.1</v>
      </c>
      <c r="P524">
        <v>6.56</v>
      </c>
      <c r="Q524">
        <v>0.4652482269503546</v>
      </c>
      <c r="R524">
        <v>7</v>
      </c>
      <c r="S524">
        <v>0.0998969956090936</v>
      </c>
      <c r="T524" t="s">
        <v>936</v>
      </c>
      <c r="U524">
        <v>-0.426974380017079</v>
      </c>
      <c r="V524" t="s">
        <v>986</v>
      </c>
      <c r="W524" t="s">
        <v>992</v>
      </c>
      <c r="X524">
        <v>1260.428181</v>
      </c>
      <c r="Y524" s="2">
        <v>44888</v>
      </c>
      <c r="Z524" t="s">
        <v>1012</v>
      </c>
    </row>
    <row r="525" spans="1:26">
      <c r="A525" s="1" t="s">
        <v>549</v>
      </c>
      <c r="B525">
        <f>HYPERLINK("https://www.suredividend.com/sure-analysis-ERIC/","Telefonaktiebolaget L M Ericsson")</f>
        <v>0</v>
      </c>
      <c r="C525" t="s">
        <v>884</v>
      </c>
      <c r="D525">
        <v>5.5</v>
      </c>
      <c r="E525">
        <v>5.84</v>
      </c>
      <c r="F525">
        <v>9.1</v>
      </c>
      <c r="G525">
        <v>0.6417582417582418</v>
      </c>
      <c r="H525">
        <v>0.04280821917808219</v>
      </c>
      <c r="I525">
        <v>0.09276231380498046</v>
      </c>
      <c r="J525">
        <v>0.07000000000000001</v>
      </c>
      <c r="K525">
        <v>0.1961436844672151</v>
      </c>
      <c r="L525" t="s">
        <v>572</v>
      </c>
      <c r="M525" t="s">
        <v>573</v>
      </c>
      <c r="N525">
        <v>8.984615384615385</v>
      </c>
      <c r="O525">
        <v>0.65</v>
      </c>
      <c r="P525">
        <v>0.25</v>
      </c>
      <c r="Q525">
        <v>0.3846153846153846</v>
      </c>
      <c r="R525">
        <v>3</v>
      </c>
      <c r="S525">
        <v>0.06961037572506878</v>
      </c>
      <c r="T525" t="s">
        <v>946</v>
      </c>
      <c r="U525">
        <v>-0.447550396836658</v>
      </c>
      <c r="V525" t="s">
        <v>986</v>
      </c>
      <c r="W525" t="s">
        <v>993</v>
      </c>
      <c r="X525">
        <v>17942.791192</v>
      </c>
      <c r="Y525" s="2">
        <v>44855</v>
      </c>
      <c r="Z525" t="s">
        <v>1003</v>
      </c>
    </row>
    <row r="526" spans="1:26">
      <c r="A526" s="1" t="s">
        <v>550</v>
      </c>
      <c r="B526">
        <f>HYPERLINK("https://www.suredividend.com/sure-analysis-SNV/","Synovus Financial Corp.")</f>
        <v>0</v>
      </c>
      <c r="C526" t="s">
        <v>883</v>
      </c>
      <c r="D526">
        <v>36</v>
      </c>
      <c r="E526">
        <v>37.55</v>
      </c>
      <c r="F526">
        <v>54</v>
      </c>
      <c r="G526">
        <v>0.6953703703703703</v>
      </c>
      <c r="H526">
        <v>0.03621837549933422</v>
      </c>
      <c r="I526">
        <v>0.07536714517938869</v>
      </c>
      <c r="J526">
        <v>0.08</v>
      </c>
      <c r="K526">
        <v>0.1915744373716584</v>
      </c>
      <c r="L526" t="s">
        <v>572</v>
      </c>
      <c r="M526" t="s">
        <v>573</v>
      </c>
      <c r="N526">
        <v>7.585858585858585</v>
      </c>
      <c r="O526">
        <v>4.95</v>
      </c>
      <c r="P526">
        <v>1.36</v>
      </c>
      <c r="Q526">
        <v>0.2747474747474747</v>
      </c>
      <c r="R526">
        <v>1</v>
      </c>
      <c r="S526">
        <v>0.1602869961793238</v>
      </c>
      <c r="T526" t="s">
        <v>901</v>
      </c>
      <c r="U526">
        <v>-0.185300256451424</v>
      </c>
      <c r="V526" t="s">
        <v>986</v>
      </c>
      <c r="W526" t="s">
        <v>994</v>
      </c>
      <c r="X526">
        <v>5461.943732</v>
      </c>
      <c r="Y526" s="2">
        <v>44857</v>
      </c>
      <c r="Z526" t="s">
        <v>1004</v>
      </c>
    </row>
    <row r="527" spans="1:26">
      <c r="A527" s="1" t="s">
        <v>551</v>
      </c>
      <c r="B527">
        <f>HYPERLINK("https://www.suredividend.com/sure-analysis-PDM/","Piedmont Office Realty Trust Inc")</f>
        <v>0</v>
      </c>
      <c r="C527" t="s">
        <v>883</v>
      </c>
      <c r="D527">
        <v>10</v>
      </c>
      <c r="E527">
        <v>9.17</v>
      </c>
      <c r="F527">
        <v>16</v>
      </c>
      <c r="G527">
        <v>0.573125</v>
      </c>
      <c r="H527">
        <v>0.0916030534351145</v>
      </c>
      <c r="I527">
        <v>0.1177640290379574</v>
      </c>
      <c r="J527">
        <v>0.01</v>
      </c>
      <c r="K527">
        <v>0.1817573035179856</v>
      </c>
      <c r="L527" t="s">
        <v>572</v>
      </c>
      <c r="M527" t="s">
        <v>887</v>
      </c>
      <c r="N527">
        <v>4.608040201005025</v>
      </c>
      <c r="O527">
        <v>1.99</v>
      </c>
      <c r="P527">
        <v>0.84</v>
      </c>
      <c r="Q527">
        <v>0.4221105527638191</v>
      </c>
      <c r="R527">
        <v>0</v>
      </c>
      <c r="S527">
        <v>0.009347419909568888</v>
      </c>
      <c r="T527" t="s">
        <v>899</v>
      </c>
      <c r="U527">
        <v>-0.469629492533169</v>
      </c>
      <c r="V527" t="s">
        <v>987</v>
      </c>
      <c r="W527" t="s">
        <v>1000</v>
      </c>
      <c r="X527">
        <v>1131.535644</v>
      </c>
      <c r="Y527" s="2">
        <v>44874</v>
      </c>
      <c r="Z527" t="s">
        <v>1008</v>
      </c>
    </row>
    <row r="528" spans="1:26">
      <c r="A528" s="1" t="s">
        <v>552</v>
      </c>
      <c r="B528">
        <f>HYPERLINK("https://www.suredividend.com/sure-analysis-ARLP/","Alliance Resource Partners, LP")</f>
        <v>0</v>
      </c>
      <c r="C528" t="s">
        <v>883</v>
      </c>
      <c r="D528">
        <v>23.67</v>
      </c>
      <c r="E528">
        <v>20.32</v>
      </c>
      <c r="F528">
        <v>28</v>
      </c>
      <c r="G528">
        <v>0.7257142857142858</v>
      </c>
      <c r="H528">
        <v>0.09842519685039369</v>
      </c>
      <c r="I528">
        <v>0.06622010028405012</v>
      </c>
      <c r="J528">
        <v>0.04</v>
      </c>
      <c r="K528">
        <v>0.1812894753199459</v>
      </c>
      <c r="L528" t="s">
        <v>572</v>
      </c>
      <c r="M528" t="s">
        <v>887</v>
      </c>
      <c r="N528">
        <v>5.08</v>
      </c>
      <c r="O528">
        <v>4</v>
      </c>
      <c r="P528">
        <v>2</v>
      </c>
      <c r="Q528">
        <v>0.5</v>
      </c>
      <c r="R528">
        <v>2</v>
      </c>
      <c r="S528">
        <v>0.08009875865888949</v>
      </c>
      <c r="T528" t="s">
        <v>911</v>
      </c>
      <c r="U528">
        <v>0.768355829395434</v>
      </c>
      <c r="V528" t="s">
        <v>988</v>
      </c>
      <c r="W528" t="s">
        <v>999</v>
      </c>
      <c r="X528">
        <v>2584.60685</v>
      </c>
      <c r="Y528" s="2">
        <v>44865</v>
      </c>
      <c r="Z528" t="s">
        <v>1011</v>
      </c>
    </row>
    <row r="529" spans="1:26">
      <c r="A529" s="1" t="s">
        <v>553</v>
      </c>
      <c r="B529">
        <f>HYPERLINK("https://www.suredividend.com/sure-analysis-JWN/","Nordstrom, Inc.")</f>
        <v>0</v>
      </c>
      <c r="C529" t="s">
        <v>883</v>
      </c>
      <c r="D529">
        <v>19</v>
      </c>
      <c r="E529">
        <v>16.14</v>
      </c>
      <c r="F529">
        <v>26</v>
      </c>
      <c r="G529">
        <v>0.6207692307692307</v>
      </c>
      <c r="H529">
        <v>0.04708798017348203</v>
      </c>
      <c r="I529">
        <v>0.1000538960750867</v>
      </c>
      <c r="J529">
        <v>0.05</v>
      </c>
      <c r="K529">
        <v>0.1803762821806549</v>
      </c>
      <c r="L529" t="s">
        <v>572</v>
      </c>
      <c r="M529" t="s">
        <v>573</v>
      </c>
      <c r="N529">
        <v>6.725000000000001</v>
      </c>
      <c r="O529">
        <v>2.4</v>
      </c>
      <c r="P529">
        <v>0.76</v>
      </c>
      <c r="Q529">
        <v>0.3166666666666667</v>
      </c>
      <c r="R529">
        <v>1</v>
      </c>
      <c r="S529">
        <v>0</v>
      </c>
      <c r="T529" t="s">
        <v>975</v>
      </c>
      <c r="U529">
        <v>-0.272442052308441</v>
      </c>
      <c r="V529" t="s">
        <v>986</v>
      </c>
      <c r="W529" t="s">
        <v>992</v>
      </c>
      <c r="X529">
        <v>2583.712553</v>
      </c>
      <c r="Y529" s="2">
        <v>44901</v>
      </c>
      <c r="Z529" t="s">
        <v>1005</v>
      </c>
    </row>
    <row r="530" spans="1:26">
      <c r="A530" s="1" t="s">
        <v>554</v>
      </c>
      <c r="B530">
        <f>HYPERLINK("https://www.suredividend.com/sure-analysis-NXRT/","NexPoint Residential Trust Inc")</f>
        <v>0</v>
      </c>
      <c r="C530" t="s">
        <v>883</v>
      </c>
      <c r="D530">
        <v>46</v>
      </c>
      <c r="E530">
        <v>43.52</v>
      </c>
      <c r="F530">
        <v>57</v>
      </c>
      <c r="G530">
        <v>0.7635087719298246</v>
      </c>
      <c r="H530">
        <v>0.03860294117647058</v>
      </c>
      <c r="I530">
        <v>0.05544885672391242</v>
      </c>
      <c r="J530">
        <v>0.09</v>
      </c>
      <c r="K530">
        <v>0.1786508529527637</v>
      </c>
      <c r="L530" t="s">
        <v>572</v>
      </c>
      <c r="M530" t="s">
        <v>572</v>
      </c>
      <c r="N530">
        <v>12.65116279069768</v>
      </c>
      <c r="O530">
        <v>3.44</v>
      </c>
      <c r="P530">
        <v>1.68</v>
      </c>
      <c r="Q530">
        <v>0.4883720930232558</v>
      </c>
      <c r="R530">
        <v>7</v>
      </c>
      <c r="S530">
        <v>0.1003529239440031</v>
      </c>
      <c r="T530" t="s">
        <v>901</v>
      </c>
      <c r="U530">
        <v>-0.459816397154106</v>
      </c>
      <c r="V530" t="s">
        <v>987</v>
      </c>
      <c r="W530" t="s">
        <v>1000</v>
      </c>
      <c r="X530">
        <v>1111.906363</v>
      </c>
      <c r="Y530" s="2">
        <v>44860</v>
      </c>
      <c r="Z530" t="s">
        <v>1011</v>
      </c>
    </row>
    <row r="531" spans="1:26">
      <c r="A531" s="1" t="s">
        <v>555</v>
      </c>
      <c r="B531">
        <f>HYPERLINK("https://www.suredividend.com/sure-analysis-BXP/","Boston Properties, Inc.")</f>
        <v>0</v>
      </c>
      <c r="C531" t="s">
        <v>883</v>
      </c>
      <c r="D531">
        <v>75.40000000000001</v>
      </c>
      <c r="E531">
        <v>67.58</v>
      </c>
      <c r="F531">
        <v>120.2</v>
      </c>
      <c r="G531">
        <v>0.5622296173044925</v>
      </c>
      <c r="H531">
        <v>0.05800532701982835</v>
      </c>
      <c r="I531">
        <v>0.1220630369228357</v>
      </c>
      <c r="J531">
        <v>0.018</v>
      </c>
      <c r="K531">
        <v>0.1765272305858534</v>
      </c>
      <c r="L531" t="s">
        <v>572</v>
      </c>
      <c r="M531" t="s">
        <v>573</v>
      </c>
      <c r="N531">
        <v>8.99866844207723</v>
      </c>
      <c r="O531">
        <v>7.51</v>
      </c>
      <c r="P531">
        <v>3.92</v>
      </c>
      <c r="Q531">
        <v>0.521970705725699</v>
      </c>
      <c r="R531">
        <v>0</v>
      </c>
      <c r="S531">
        <v>0.02197218080229324</v>
      </c>
      <c r="T531" t="s">
        <v>905</v>
      </c>
      <c r="U531">
        <v>-0.388525856905278</v>
      </c>
      <c r="V531" t="s">
        <v>987</v>
      </c>
      <c r="W531" t="s">
        <v>1000</v>
      </c>
      <c r="X531">
        <v>10593.483437</v>
      </c>
      <c r="Y531" s="2">
        <v>44879</v>
      </c>
      <c r="Z531" t="s">
        <v>1009</v>
      </c>
    </row>
    <row r="532" spans="1:26">
      <c r="A532" s="1" t="s">
        <v>556</v>
      </c>
      <c r="B532">
        <f>HYPERLINK("https://www.suredividend.com/sure-analysis-AAT/","American Assets Trust Inc")</f>
        <v>0</v>
      </c>
      <c r="C532" t="s">
        <v>883</v>
      </c>
      <c r="D532">
        <v>28</v>
      </c>
      <c r="E532">
        <v>26.5</v>
      </c>
      <c r="F532">
        <v>43</v>
      </c>
      <c r="G532">
        <v>0.6162790697674418</v>
      </c>
      <c r="H532">
        <v>0.04830188679245283</v>
      </c>
      <c r="I532">
        <v>0.1016522260096973</v>
      </c>
      <c r="J532">
        <v>0.04</v>
      </c>
      <c r="K532">
        <v>0.1757195522178499</v>
      </c>
      <c r="L532" t="s">
        <v>572</v>
      </c>
      <c r="M532" t="s">
        <v>573</v>
      </c>
      <c r="N532">
        <v>11.52173913043478</v>
      </c>
      <c r="O532">
        <v>2.3</v>
      </c>
      <c r="P532">
        <v>1.28</v>
      </c>
      <c r="Q532">
        <v>0.5565217391304348</v>
      </c>
      <c r="R532">
        <v>2</v>
      </c>
      <c r="S532">
        <v>0.0403582746309219</v>
      </c>
      <c r="T532" t="s">
        <v>929</v>
      </c>
      <c r="U532">
        <v>-0.263049584248727</v>
      </c>
      <c r="V532" t="s">
        <v>987</v>
      </c>
      <c r="W532" t="s">
        <v>1000</v>
      </c>
      <c r="X532">
        <v>1603.83414</v>
      </c>
      <c r="Y532" s="2">
        <v>44860</v>
      </c>
      <c r="Z532" t="s">
        <v>1003</v>
      </c>
    </row>
    <row r="533" spans="1:26">
      <c r="A533" s="1" t="s">
        <v>557</v>
      </c>
      <c r="B533">
        <f>HYPERLINK("https://www.suredividend.com/sure-analysis-SAFE/","Safehold Inc")</f>
        <v>0</v>
      </c>
      <c r="C533" t="s">
        <v>883</v>
      </c>
      <c r="D533">
        <v>32.5</v>
      </c>
      <c r="E533">
        <v>28.62</v>
      </c>
      <c r="F533">
        <v>52.4</v>
      </c>
      <c r="G533">
        <v>0.5461832061068702</v>
      </c>
      <c r="H533">
        <v>0.02480782669461915</v>
      </c>
      <c r="I533">
        <v>0.1285799527285343</v>
      </c>
      <c r="J533">
        <v>0.027</v>
      </c>
      <c r="K533">
        <v>0.1734636027881982</v>
      </c>
      <c r="L533" t="s">
        <v>572</v>
      </c>
      <c r="M533" t="s">
        <v>572</v>
      </c>
      <c r="N533">
        <v>14.45454545454546</v>
      </c>
      <c r="O533">
        <v>1.98</v>
      </c>
      <c r="P533">
        <v>0.71</v>
      </c>
      <c r="Q533">
        <v>0.3585858585858586</v>
      </c>
      <c r="R533">
        <v>5</v>
      </c>
      <c r="S533">
        <v>0.02415650466561892</v>
      </c>
      <c r="T533" t="s">
        <v>905</v>
      </c>
      <c r="U533">
        <v>-0.6278380276195671</v>
      </c>
      <c r="V533" t="s">
        <v>987</v>
      </c>
      <c r="W533" t="s">
        <v>1000</v>
      </c>
      <c r="X533">
        <v>1779.804332</v>
      </c>
      <c r="Y533" s="2">
        <v>44882</v>
      </c>
      <c r="Z533" t="s">
        <v>1009</v>
      </c>
    </row>
    <row r="534" spans="1:26">
      <c r="A534" s="1" t="s">
        <v>558</v>
      </c>
      <c r="B534">
        <f>HYPERLINK("https://www.suredividend.com/sure-analysis-AGNC/","AGNC Investment Corp")</f>
        <v>0</v>
      </c>
      <c r="C534" t="s">
        <v>883</v>
      </c>
      <c r="D534">
        <v>9.4</v>
      </c>
      <c r="E534">
        <v>10.35</v>
      </c>
      <c r="F534">
        <v>24.3</v>
      </c>
      <c r="G534">
        <v>0.4259259259259259</v>
      </c>
      <c r="H534">
        <v>0.1391304347826087</v>
      </c>
      <c r="I534">
        <v>0.1861324427385767</v>
      </c>
      <c r="J534">
        <v>-0.08500000000000001</v>
      </c>
      <c r="K534">
        <v>0.1709609496955449</v>
      </c>
      <c r="L534" t="s">
        <v>572</v>
      </c>
      <c r="M534" t="s">
        <v>887</v>
      </c>
      <c r="N534">
        <v>3.404605263157895</v>
      </c>
      <c r="O534">
        <v>3.04</v>
      </c>
      <c r="P534">
        <v>1.44</v>
      </c>
      <c r="Q534">
        <v>0.4736842105263158</v>
      </c>
      <c r="R534">
        <v>0</v>
      </c>
      <c r="S534">
        <v>0</v>
      </c>
      <c r="T534" t="s">
        <v>905</v>
      </c>
      <c r="U534">
        <v>-0.225305199811378</v>
      </c>
      <c r="V534" t="s">
        <v>987</v>
      </c>
      <c r="W534" t="s">
        <v>1000</v>
      </c>
      <c r="X534">
        <v>5916.282949</v>
      </c>
      <c r="Y534" s="2">
        <v>44879</v>
      </c>
      <c r="Z534" t="s">
        <v>1009</v>
      </c>
    </row>
    <row r="535" spans="1:26">
      <c r="A535" s="1" t="s">
        <v>559</v>
      </c>
      <c r="B535">
        <f>HYPERLINK("https://www.suredividend.com/sure-analysis-JACK/","Jack In The Box, Inc.")</f>
        <v>0</v>
      </c>
      <c r="C535" t="s">
        <v>883</v>
      </c>
      <c r="D535">
        <v>72</v>
      </c>
      <c r="E535">
        <v>68.23</v>
      </c>
      <c r="F535">
        <v>94</v>
      </c>
      <c r="G535">
        <v>0.7258510638297873</v>
      </c>
      <c r="H535">
        <v>0.02579510479261322</v>
      </c>
      <c r="I535">
        <v>0.06617991392160238</v>
      </c>
      <c r="J535">
        <v>0.08</v>
      </c>
      <c r="K535">
        <v>0.1686938045826261</v>
      </c>
      <c r="L535" t="s">
        <v>572</v>
      </c>
      <c r="M535" t="s">
        <v>572</v>
      </c>
      <c r="N535">
        <v>12.40545454545455</v>
      </c>
      <c r="O535">
        <v>5.5</v>
      </c>
      <c r="P535">
        <v>1.76</v>
      </c>
      <c r="Q535">
        <v>0.32</v>
      </c>
      <c r="R535">
        <v>2</v>
      </c>
      <c r="S535">
        <v>0.06399531281508364</v>
      </c>
      <c r="T535" t="s">
        <v>915</v>
      </c>
      <c r="U535">
        <v>-0.203593226748902</v>
      </c>
      <c r="V535" t="s">
        <v>986</v>
      </c>
      <c r="W535" t="s">
        <v>992</v>
      </c>
      <c r="X535">
        <v>1417.967664</v>
      </c>
      <c r="Y535" s="2">
        <v>44889</v>
      </c>
      <c r="Z535" t="s">
        <v>1003</v>
      </c>
    </row>
    <row r="536" spans="1:26">
      <c r="A536" s="1" t="s">
        <v>560</v>
      </c>
      <c r="B536">
        <f>HYPERLINK("https://www.suredividend.com/sure-analysis-HIW/","Highwoods Properties, Inc.")</f>
        <v>0</v>
      </c>
      <c r="C536" t="s">
        <v>883</v>
      </c>
      <c r="D536">
        <v>28</v>
      </c>
      <c r="E536">
        <v>27.98</v>
      </c>
      <c r="F536">
        <v>44</v>
      </c>
      <c r="G536">
        <v>0.6359090909090909</v>
      </c>
      <c r="H536">
        <v>0.07147962830593281</v>
      </c>
      <c r="I536">
        <v>0.09476522395860654</v>
      </c>
      <c r="J536">
        <v>0.025</v>
      </c>
      <c r="K536">
        <v>0.1663878519392188</v>
      </c>
      <c r="L536" t="s">
        <v>572</v>
      </c>
      <c r="M536" t="s">
        <v>887</v>
      </c>
      <c r="N536">
        <v>6.942928039702233</v>
      </c>
      <c r="O536">
        <v>4.03</v>
      </c>
      <c r="P536">
        <v>2</v>
      </c>
      <c r="Q536">
        <v>0.4962779156327543</v>
      </c>
      <c r="R536">
        <v>4</v>
      </c>
      <c r="S536">
        <v>0.02016978262061087</v>
      </c>
      <c r="T536" t="s">
        <v>949</v>
      </c>
      <c r="U536">
        <v>-0.340354152963337</v>
      </c>
      <c r="V536" t="s">
        <v>987</v>
      </c>
      <c r="W536" t="s">
        <v>1000</v>
      </c>
      <c r="X536">
        <v>2943.430471</v>
      </c>
      <c r="Y536" s="2">
        <v>44867</v>
      </c>
      <c r="Z536" t="s">
        <v>1008</v>
      </c>
    </row>
    <row r="537" spans="1:26">
      <c r="A537" s="1" t="s">
        <v>561</v>
      </c>
      <c r="B537">
        <f>HYPERLINK("https://www.suredividend.com/sure-analysis-PGRE/","Paramount Group Inc")</f>
        <v>0</v>
      </c>
      <c r="C537" t="s">
        <v>883</v>
      </c>
      <c r="D537">
        <v>6.4</v>
      </c>
      <c r="E537">
        <v>5.94</v>
      </c>
      <c r="F537">
        <v>10</v>
      </c>
      <c r="G537">
        <v>0.5940000000000001</v>
      </c>
      <c r="H537">
        <v>0.05218855218855219</v>
      </c>
      <c r="I537">
        <v>0.1097948649830773</v>
      </c>
      <c r="J537">
        <v>0.02</v>
      </c>
      <c r="K537">
        <v>0.1632228647068146</v>
      </c>
      <c r="L537" t="s">
        <v>572</v>
      </c>
      <c r="M537" t="s">
        <v>887</v>
      </c>
      <c r="N537">
        <v>6.123711340206186</v>
      </c>
      <c r="O537">
        <v>0.97</v>
      </c>
      <c r="P537">
        <v>0.31</v>
      </c>
      <c r="Q537">
        <v>0.3195876288659794</v>
      </c>
      <c r="R537">
        <v>1</v>
      </c>
      <c r="S537">
        <v>0.01258257415715436</v>
      </c>
      <c r="T537" t="s">
        <v>905</v>
      </c>
      <c r="U537">
        <v>-0.26605958014654</v>
      </c>
      <c r="V537" t="s">
        <v>987</v>
      </c>
      <c r="W537" t="s">
        <v>1000</v>
      </c>
      <c r="X537">
        <v>1305.753663</v>
      </c>
      <c r="Y537" s="2">
        <v>44874</v>
      </c>
      <c r="Z537" t="s">
        <v>1008</v>
      </c>
    </row>
    <row r="538" spans="1:26">
      <c r="A538" s="1" t="s">
        <v>562</v>
      </c>
      <c r="B538">
        <f>HYPERLINK("https://www.suredividend.com/sure-analysis-PAA/","Plains All American Pipeline LP")</f>
        <v>0</v>
      </c>
      <c r="C538" t="s">
        <v>883</v>
      </c>
      <c r="D538">
        <v>12.5</v>
      </c>
      <c r="E538">
        <v>11.76</v>
      </c>
      <c r="F538">
        <v>14.17</v>
      </c>
      <c r="G538">
        <v>0.8299223712067748</v>
      </c>
      <c r="H538">
        <v>0.07397959183673469</v>
      </c>
      <c r="I538">
        <v>0.03798841339249615</v>
      </c>
      <c r="J538">
        <v>0.05</v>
      </c>
      <c r="K538">
        <v>0.1612273334589553</v>
      </c>
      <c r="L538" t="s">
        <v>572</v>
      </c>
      <c r="M538" t="s">
        <v>887</v>
      </c>
      <c r="N538">
        <v>5.394495412844036</v>
      </c>
      <c r="O538">
        <v>2.18</v>
      </c>
      <c r="P538">
        <v>0.87</v>
      </c>
      <c r="Q538">
        <v>0.3990825688073394</v>
      </c>
      <c r="R538">
        <v>1</v>
      </c>
      <c r="S538">
        <v>0.1500156730872231</v>
      </c>
      <c r="T538" t="s">
        <v>926</v>
      </c>
      <c r="U538">
        <v>0.368125923426829</v>
      </c>
      <c r="V538" t="s">
        <v>988</v>
      </c>
      <c r="W538" t="s">
        <v>999</v>
      </c>
      <c r="X538">
        <v>8212.392376</v>
      </c>
      <c r="Y538" s="2">
        <v>44872</v>
      </c>
      <c r="Z538" t="s">
        <v>1011</v>
      </c>
    </row>
    <row r="539" spans="1:26">
      <c r="A539" s="1" t="s">
        <v>563</v>
      </c>
      <c r="B539">
        <f>HYPERLINK("https://www.suredividend.com/sure-analysis-KRC/","Kilroy Realty Corp.")</f>
        <v>0</v>
      </c>
      <c r="C539" t="s">
        <v>883</v>
      </c>
      <c r="D539">
        <v>43</v>
      </c>
      <c r="E539">
        <v>38.67</v>
      </c>
      <c r="F539">
        <v>56</v>
      </c>
      <c r="G539">
        <v>0.6905357142857144</v>
      </c>
      <c r="H539">
        <v>0.05585725368502716</v>
      </c>
      <c r="I539">
        <v>0.07686874199940585</v>
      </c>
      <c r="J539">
        <v>0.04</v>
      </c>
      <c r="K539">
        <v>0.1565488376549047</v>
      </c>
      <c r="L539" t="s">
        <v>572</v>
      </c>
      <c r="M539" t="s">
        <v>887</v>
      </c>
      <c r="N539">
        <v>8.334051724137932</v>
      </c>
      <c r="O539">
        <v>4.64</v>
      </c>
      <c r="P539">
        <v>2.16</v>
      </c>
      <c r="Q539">
        <v>0.4655172413793104</v>
      </c>
      <c r="R539">
        <v>7</v>
      </c>
      <c r="S539">
        <v>0.03212751059882835</v>
      </c>
      <c r="T539" t="s">
        <v>905</v>
      </c>
      <c r="U539">
        <v>-0.395772753054339</v>
      </c>
      <c r="V539" t="s">
        <v>987</v>
      </c>
      <c r="W539" t="s">
        <v>1000</v>
      </c>
      <c r="X539">
        <v>4519.651108</v>
      </c>
      <c r="Y539" s="2">
        <v>44867</v>
      </c>
      <c r="Z539" t="s">
        <v>1006</v>
      </c>
    </row>
    <row r="540" spans="1:26">
      <c r="A540" s="1" t="s">
        <v>564</v>
      </c>
      <c r="B540">
        <f>HYPERLINK("https://www.suredividend.com/sure-analysis-NTAP/","Netapp Inc")</f>
        <v>0</v>
      </c>
      <c r="C540" t="s">
        <v>883</v>
      </c>
      <c r="D540">
        <v>66</v>
      </c>
      <c r="E540">
        <v>60.06</v>
      </c>
      <c r="F540">
        <v>86</v>
      </c>
      <c r="G540">
        <v>0.6983720930232559</v>
      </c>
      <c r="H540">
        <v>0.0333000333000333</v>
      </c>
      <c r="I540">
        <v>0.07444112937014591</v>
      </c>
      <c r="J540">
        <v>0.05</v>
      </c>
      <c r="K540">
        <v>0.1510541966093091</v>
      </c>
      <c r="L540" t="s">
        <v>572</v>
      </c>
      <c r="M540" t="s">
        <v>572</v>
      </c>
      <c r="N540">
        <v>11.12222222222222</v>
      </c>
      <c r="O540">
        <v>5.4</v>
      </c>
      <c r="P540">
        <v>2</v>
      </c>
      <c r="Q540">
        <v>0.3703703703703703</v>
      </c>
      <c r="R540">
        <v>7</v>
      </c>
      <c r="S540">
        <v>0.04978904632428516</v>
      </c>
      <c r="T540" t="s">
        <v>903</v>
      </c>
      <c r="U540">
        <v>-0.3269781363143811</v>
      </c>
      <c r="V540" t="s">
        <v>986</v>
      </c>
      <c r="W540" t="s">
        <v>993</v>
      </c>
      <c r="X540">
        <v>12947.335821</v>
      </c>
      <c r="Y540" s="2">
        <v>44899</v>
      </c>
      <c r="Z540" t="s">
        <v>1008</v>
      </c>
    </row>
    <row r="541" spans="1:26">
      <c r="A541" s="1" t="s">
        <v>565</v>
      </c>
      <c r="B541">
        <f>HYPERLINK("https://www.suredividend.com/sure-analysis-DEA/","Easterly Government Properties Inc")</f>
        <v>0</v>
      </c>
      <c r="C541" t="s">
        <v>883</v>
      </c>
      <c r="D541">
        <v>16.2</v>
      </c>
      <c r="E541">
        <v>14.27</v>
      </c>
      <c r="F541">
        <v>21.9</v>
      </c>
      <c r="G541">
        <v>0.6515981735159817</v>
      </c>
      <c r="H541">
        <v>0.07428170988086896</v>
      </c>
      <c r="I541">
        <v>0.08944178484650878</v>
      </c>
      <c r="J541">
        <v>0.008999999999999999</v>
      </c>
      <c r="K541">
        <v>0.1504708617975636</v>
      </c>
      <c r="L541" t="s">
        <v>572</v>
      </c>
      <c r="M541" t="s">
        <v>887</v>
      </c>
      <c r="N541">
        <v>10.64925373134328</v>
      </c>
      <c r="O541">
        <v>1.34</v>
      </c>
      <c r="P541">
        <v>1.06</v>
      </c>
      <c r="Q541">
        <v>0.7910447761194029</v>
      </c>
      <c r="R541">
        <v>1</v>
      </c>
      <c r="S541">
        <v>0.03352462704646753</v>
      </c>
      <c r="T541" t="s">
        <v>890</v>
      </c>
      <c r="U541">
        <v>-0.329171406812647</v>
      </c>
      <c r="V541" t="s">
        <v>987</v>
      </c>
      <c r="W541" t="s">
        <v>1000</v>
      </c>
      <c r="X541">
        <v>1295.91608</v>
      </c>
      <c r="Y541" s="2">
        <v>44882</v>
      </c>
      <c r="Z541" t="s">
        <v>1009</v>
      </c>
    </row>
    <row r="542" spans="1:26">
      <c r="A542" s="1" t="s">
        <v>566</v>
      </c>
      <c r="B542">
        <f>HYPERLINK("https://www.suredividend.com/sure-analysis-ETD/","Ethan Allen Interiors, Inc.")</f>
        <v>0</v>
      </c>
      <c r="C542" t="s">
        <v>883</v>
      </c>
      <c r="D542">
        <v>28</v>
      </c>
      <c r="E542">
        <v>26.42</v>
      </c>
      <c r="F542">
        <v>42</v>
      </c>
      <c r="G542">
        <v>0.6290476190476191</v>
      </c>
      <c r="H542">
        <v>0.04844814534443603</v>
      </c>
      <c r="I542">
        <v>0.09714314869058449</v>
      </c>
      <c r="J542">
        <v>0.02</v>
      </c>
      <c r="K542">
        <v>0.1500705741485215</v>
      </c>
      <c r="L542" t="s">
        <v>572</v>
      </c>
      <c r="M542" t="s">
        <v>573</v>
      </c>
      <c r="N542">
        <v>7.548571428571429</v>
      </c>
      <c r="O542">
        <v>3.5</v>
      </c>
      <c r="P542">
        <v>1.28</v>
      </c>
      <c r="Q542">
        <v>0.3657142857142857</v>
      </c>
      <c r="R542">
        <v>3</v>
      </c>
      <c r="S542">
        <v>0.01953427031337696</v>
      </c>
      <c r="T542" t="s">
        <v>915</v>
      </c>
      <c r="U542">
        <v>0.059843871599233</v>
      </c>
      <c r="V542" t="s">
        <v>986</v>
      </c>
      <c r="W542" t="s">
        <v>992</v>
      </c>
      <c r="X542">
        <v>669.678836</v>
      </c>
      <c r="Y542" s="2">
        <v>44877</v>
      </c>
      <c r="Z542" t="s">
        <v>1003</v>
      </c>
    </row>
    <row r="543" spans="1:26">
      <c r="A543" s="1" t="s">
        <v>567</v>
      </c>
      <c r="B543">
        <f>HYPERLINK("https://www.suredividend.com/sure-analysis-TFC/","Truist Financial Corporation")</f>
        <v>0</v>
      </c>
      <c r="C543" t="s">
        <v>883</v>
      </c>
      <c r="D543">
        <v>43</v>
      </c>
      <c r="E543">
        <v>43.03</v>
      </c>
      <c r="F543">
        <v>57</v>
      </c>
      <c r="G543">
        <v>0.7549122807017544</v>
      </c>
      <c r="H543">
        <v>0.04833836858006042</v>
      </c>
      <c r="I543">
        <v>0.05784174642163276</v>
      </c>
      <c r="J543">
        <v>0.055</v>
      </c>
      <c r="K543">
        <v>0.1500075920960526</v>
      </c>
      <c r="L543" t="s">
        <v>572</v>
      </c>
      <c r="M543" t="s">
        <v>887</v>
      </c>
      <c r="N543">
        <v>8.675403225806452</v>
      </c>
      <c r="O543">
        <v>4.96</v>
      </c>
      <c r="P543">
        <v>2.08</v>
      </c>
      <c r="Q543">
        <v>0.4193548387096774</v>
      </c>
      <c r="R543">
        <v>12</v>
      </c>
      <c r="S543">
        <v>0.04963065931551602</v>
      </c>
      <c r="T543" t="s">
        <v>890</v>
      </c>
      <c r="U543">
        <v>-0.234671191408681</v>
      </c>
      <c r="V543" t="s">
        <v>986</v>
      </c>
      <c r="W543" t="s">
        <v>994</v>
      </c>
      <c r="X543">
        <v>57090.753373</v>
      </c>
      <c r="Y543" s="2">
        <v>44861</v>
      </c>
      <c r="Z543" t="s">
        <v>1008</v>
      </c>
    </row>
    <row r="544" spans="1:26">
      <c r="A544" s="1" t="s">
        <v>568</v>
      </c>
      <c r="B544">
        <f>HYPERLINK("https://www.suredividend.com/sure-analysis-MAC/","Macerich Co.")</f>
        <v>0</v>
      </c>
      <c r="C544" t="s">
        <v>884</v>
      </c>
      <c r="D544">
        <v>12</v>
      </c>
      <c r="E544">
        <v>11.26</v>
      </c>
      <c r="F544">
        <v>16</v>
      </c>
      <c r="G544">
        <v>0.70375</v>
      </c>
      <c r="H544">
        <v>0.06039076376554175</v>
      </c>
      <c r="I544">
        <v>0.07279395684913537</v>
      </c>
      <c r="J544">
        <v>0.03</v>
      </c>
      <c r="K544">
        <v>0.1499139718251834</v>
      </c>
      <c r="L544" t="s">
        <v>572</v>
      </c>
      <c r="M544" t="s">
        <v>887</v>
      </c>
      <c r="N544">
        <v>5.774358974358974</v>
      </c>
      <c r="O544">
        <v>1.95</v>
      </c>
      <c r="P544">
        <v>0.68</v>
      </c>
      <c r="Q544">
        <v>0.3487179487179488</v>
      </c>
      <c r="R544">
        <v>1</v>
      </c>
      <c r="S544">
        <v>0.06232103966616465</v>
      </c>
      <c r="T544" t="s">
        <v>930</v>
      </c>
      <c r="U544">
        <v>-0.325821168975798</v>
      </c>
      <c r="V544" t="s">
        <v>987</v>
      </c>
      <c r="W544" t="s">
        <v>1000</v>
      </c>
      <c r="X544">
        <v>2418.476375</v>
      </c>
      <c r="Y544" s="2">
        <v>44872</v>
      </c>
      <c r="Z544" t="s">
        <v>1003</v>
      </c>
    </row>
    <row r="545" spans="1:26">
      <c r="A545" s="1" t="s">
        <v>569</v>
      </c>
      <c r="B545">
        <f>HYPERLINK("https://www.suredividend.com/sure-analysis-IRT/","Independence Realty Trust Inc")</f>
        <v>0</v>
      </c>
      <c r="C545" t="s">
        <v>884</v>
      </c>
      <c r="D545">
        <v>16.3</v>
      </c>
      <c r="E545">
        <v>16.86</v>
      </c>
      <c r="F545">
        <v>20.3</v>
      </c>
      <c r="G545">
        <v>0.8305418719211822</v>
      </c>
      <c r="H545">
        <v>0.03321470937129301</v>
      </c>
      <c r="I545">
        <v>0.03783352017712804</v>
      </c>
      <c r="J545">
        <v>0.082</v>
      </c>
      <c r="K545">
        <v>0.1485571571880995</v>
      </c>
      <c r="L545" t="s">
        <v>572</v>
      </c>
      <c r="M545" t="s">
        <v>572</v>
      </c>
      <c r="N545">
        <v>15.61111111111111</v>
      </c>
      <c r="O545">
        <v>1.08</v>
      </c>
      <c r="P545">
        <v>0.5600000000000001</v>
      </c>
      <c r="Q545">
        <v>0.5185185185185185</v>
      </c>
      <c r="R545">
        <v>5</v>
      </c>
      <c r="S545">
        <v>0.08447177119769855</v>
      </c>
      <c r="T545" t="s">
        <v>905</v>
      </c>
      <c r="U545">
        <v>-0.312569059083996</v>
      </c>
      <c r="V545" t="s">
        <v>987</v>
      </c>
      <c r="W545" t="s">
        <v>1000</v>
      </c>
      <c r="X545">
        <v>3777.894435</v>
      </c>
      <c r="Y545" s="2">
        <v>44879</v>
      </c>
      <c r="Z545" t="s">
        <v>1009</v>
      </c>
    </row>
    <row r="546" spans="1:26">
      <c r="A546" s="1" t="s">
        <v>570</v>
      </c>
      <c r="B546">
        <f>HYPERLINK("https://www.suredividend.com/sure-analysis-TRSWF/","TransAlta Renewables Inc")</f>
        <v>0</v>
      </c>
      <c r="C546" t="s">
        <v>884</v>
      </c>
      <c r="D546">
        <v>10.9</v>
      </c>
      <c r="E546">
        <v>8.26</v>
      </c>
      <c r="F546">
        <v>11</v>
      </c>
      <c r="G546">
        <v>0.7509090909090909</v>
      </c>
      <c r="H546">
        <v>0.08716707021791767</v>
      </c>
      <c r="I546">
        <v>0.05896724609595783</v>
      </c>
      <c r="J546">
        <v>0.03</v>
      </c>
      <c r="K546">
        <v>0.1480182018305933</v>
      </c>
      <c r="L546" t="s">
        <v>572</v>
      </c>
      <c r="M546" t="s">
        <v>887</v>
      </c>
      <c r="N546">
        <v>9.386363636363637</v>
      </c>
      <c r="O546">
        <v>0.88</v>
      </c>
      <c r="P546">
        <v>0.72</v>
      </c>
      <c r="Q546">
        <v>0.8181818181818181</v>
      </c>
      <c r="R546">
        <v>0</v>
      </c>
      <c r="S546">
        <v>0.01087212085035083</v>
      </c>
      <c r="T546" t="s">
        <v>901</v>
      </c>
      <c r="U546">
        <v>-0.43656207366985</v>
      </c>
      <c r="V546" t="s">
        <v>986</v>
      </c>
      <c r="W546" t="s">
        <v>997</v>
      </c>
      <c r="X546">
        <v>2204.294501</v>
      </c>
      <c r="Y546" s="2">
        <v>44877</v>
      </c>
      <c r="Z546" t="s">
        <v>1008</v>
      </c>
    </row>
    <row r="547" spans="1:26">
      <c r="A547" s="1" t="s">
        <v>571</v>
      </c>
      <c r="B547">
        <f>HYPERLINK("https://www.suredividend.com/sure-analysis-CUZ/","Cousins Properties Inc.")</f>
        <v>0</v>
      </c>
      <c r="C547" t="s">
        <v>883</v>
      </c>
      <c r="D547">
        <v>26</v>
      </c>
      <c r="E547">
        <v>25.29</v>
      </c>
      <c r="F547">
        <v>34</v>
      </c>
      <c r="G547">
        <v>0.7438235294117647</v>
      </c>
      <c r="H547">
        <v>0.05061289047054172</v>
      </c>
      <c r="I547">
        <v>0.06097711782421622</v>
      </c>
      <c r="J547">
        <v>0.04</v>
      </c>
      <c r="K547">
        <v>0.1390837559720108</v>
      </c>
      <c r="L547" t="s">
        <v>572</v>
      </c>
      <c r="M547" t="s">
        <v>573</v>
      </c>
      <c r="N547">
        <v>9.332103321033211</v>
      </c>
      <c r="O547">
        <v>2.71</v>
      </c>
      <c r="P547">
        <v>1.28</v>
      </c>
      <c r="Q547">
        <v>0.4723247232472325</v>
      </c>
      <c r="R547">
        <v>4</v>
      </c>
      <c r="S547">
        <v>0.0363257568172124</v>
      </c>
      <c r="T547" t="s">
        <v>940</v>
      </c>
      <c r="U547">
        <v>-0.354845292972686</v>
      </c>
      <c r="V547" t="s">
        <v>987</v>
      </c>
      <c r="W547" t="s">
        <v>1000</v>
      </c>
      <c r="X547">
        <v>3829.772966</v>
      </c>
      <c r="Y547" s="2">
        <v>44878</v>
      </c>
      <c r="Z547" t="s">
        <v>1003</v>
      </c>
    </row>
    <row r="548" spans="1:26">
      <c r="A548" s="1" t="s">
        <v>572</v>
      </c>
      <c r="B548">
        <f>HYPERLINK("https://www.suredividend.com/sure-analysis-D/","Dominion Energy Inc")</f>
        <v>0</v>
      </c>
      <c r="C548" t="s">
        <v>883</v>
      </c>
      <c r="D548">
        <v>62</v>
      </c>
      <c r="E548">
        <v>61.32</v>
      </c>
      <c r="F548">
        <v>74</v>
      </c>
      <c r="G548">
        <v>0.8286486486486486</v>
      </c>
      <c r="H548">
        <v>0.04354207436399217</v>
      </c>
      <c r="I548">
        <v>0.0383073174583668</v>
      </c>
      <c r="J548">
        <v>0.065</v>
      </c>
      <c r="K548">
        <v>0.1385781845268892</v>
      </c>
      <c r="L548" t="s">
        <v>572</v>
      </c>
      <c r="M548" t="s">
        <v>572</v>
      </c>
      <c r="N548">
        <v>14.95609756097561</v>
      </c>
      <c r="O548">
        <v>4.1</v>
      </c>
      <c r="P548">
        <v>2.67</v>
      </c>
      <c r="Q548">
        <v>0.651219512195122</v>
      </c>
      <c r="R548">
        <v>16</v>
      </c>
      <c r="S548">
        <v>0.05981824312960904</v>
      </c>
      <c r="T548" t="s">
        <v>889</v>
      </c>
      <c r="U548">
        <v>-0.190279123938</v>
      </c>
      <c r="V548" t="s">
        <v>986</v>
      </c>
      <c r="W548" t="s">
        <v>997</v>
      </c>
      <c r="X548">
        <v>51096.435571</v>
      </c>
      <c r="Y548" s="2">
        <v>44877</v>
      </c>
      <c r="Z548" t="s">
        <v>1014</v>
      </c>
    </row>
    <row r="549" spans="1:26">
      <c r="A549" s="1" t="s">
        <v>573</v>
      </c>
      <c r="B549">
        <f>HYPERLINK("https://www.suredividend.com/sure-analysis-C/","Citigroup Inc")</f>
        <v>0</v>
      </c>
      <c r="C549" t="s">
        <v>883</v>
      </c>
      <c r="D549">
        <v>43</v>
      </c>
      <c r="E549">
        <v>45.23</v>
      </c>
      <c r="F549">
        <v>78</v>
      </c>
      <c r="G549">
        <v>0.5798717948717949</v>
      </c>
      <c r="H549">
        <v>0.04510280787088216</v>
      </c>
      <c r="I549">
        <v>0.1151508069542102</v>
      </c>
      <c r="J549">
        <v>-0.01</v>
      </c>
      <c r="K549">
        <v>0.1381098388795476</v>
      </c>
      <c r="L549" t="s">
        <v>572</v>
      </c>
      <c r="M549" t="s">
        <v>887</v>
      </c>
      <c r="N549">
        <v>5.515853658536585</v>
      </c>
      <c r="O549">
        <v>8.199999999999999</v>
      </c>
      <c r="P549">
        <v>2.04</v>
      </c>
      <c r="Q549">
        <v>0.2487804878048781</v>
      </c>
      <c r="R549">
        <v>0</v>
      </c>
      <c r="S549">
        <v>0.06000153927394081</v>
      </c>
      <c r="T549" t="s">
        <v>911</v>
      </c>
      <c r="U549">
        <v>-0.221442268300324</v>
      </c>
      <c r="V549" t="s">
        <v>986</v>
      </c>
      <c r="W549" t="s">
        <v>994</v>
      </c>
      <c r="X549">
        <v>87603.855039</v>
      </c>
      <c r="Y549" s="2">
        <v>44851</v>
      </c>
      <c r="Z549" t="s">
        <v>1005</v>
      </c>
    </row>
    <row r="550" spans="1:26">
      <c r="A550" s="1" t="s">
        <v>574</v>
      </c>
      <c r="B550">
        <f>HYPERLINK("https://www.suredividend.com/sure-analysis-MGA/","Magna International Inc.")</f>
        <v>0</v>
      </c>
      <c r="C550" t="s">
        <v>883</v>
      </c>
      <c r="D550">
        <v>59</v>
      </c>
      <c r="E550">
        <v>56.18</v>
      </c>
      <c r="F550">
        <v>54</v>
      </c>
      <c r="G550">
        <v>1.04037037037037</v>
      </c>
      <c r="H550">
        <v>0.03203987184051264</v>
      </c>
      <c r="I550">
        <v>-0.007884111089752843</v>
      </c>
      <c r="J550">
        <v>0.12</v>
      </c>
      <c r="K550">
        <v>0.1380704002851889</v>
      </c>
      <c r="L550" t="s">
        <v>572</v>
      </c>
      <c r="M550" t="s">
        <v>572</v>
      </c>
      <c r="N550">
        <v>11.53593429158111</v>
      </c>
      <c r="O550">
        <v>4.87</v>
      </c>
      <c r="P550">
        <v>1.8</v>
      </c>
      <c r="Q550">
        <v>0.3696098562628337</v>
      </c>
      <c r="R550">
        <v>12</v>
      </c>
      <c r="S550">
        <v>0.100082101138866</v>
      </c>
      <c r="T550" t="s">
        <v>894</v>
      </c>
      <c r="U550">
        <v>-0.279908841432543</v>
      </c>
      <c r="V550" t="s">
        <v>986</v>
      </c>
      <c r="W550" t="s">
        <v>992</v>
      </c>
      <c r="X550">
        <v>16057.32569</v>
      </c>
      <c r="Y550" s="2">
        <v>44877</v>
      </c>
      <c r="Z550" t="s">
        <v>1014</v>
      </c>
    </row>
    <row r="551" spans="1:26">
      <c r="A551" s="1" t="s">
        <v>575</v>
      </c>
      <c r="B551">
        <f>HYPERLINK("https://www.suredividend.com/sure-analysis-PKG/","Packaging Corp Of America")</f>
        <v>0</v>
      </c>
      <c r="C551" t="s">
        <v>883</v>
      </c>
      <c r="D551">
        <v>132</v>
      </c>
      <c r="E551">
        <v>127.91</v>
      </c>
      <c r="F551">
        <v>176</v>
      </c>
      <c r="G551">
        <v>0.7267613636363636</v>
      </c>
      <c r="H551">
        <v>0.03908998514580565</v>
      </c>
      <c r="I551">
        <v>0.06591269278337064</v>
      </c>
      <c r="J551">
        <v>0.04</v>
      </c>
      <c r="K551">
        <v>0.1370750649656745</v>
      </c>
      <c r="L551" t="s">
        <v>572</v>
      </c>
      <c r="M551" t="s">
        <v>573</v>
      </c>
      <c r="N551">
        <v>11.62818181818182</v>
      </c>
      <c r="O551">
        <v>11</v>
      </c>
      <c r="P551">
        <v>5</v>
      </c>
      <c r="Q551">
        <v>0.4545454545454545</v>
      </c>
      <c r="R551">
        <v>12</v>
      </c>
      <c r="S551">
        <v>0.04995366747811136</v>
      </c>
      <c r="T551" t="s">
        <v>904</v>
      </c>
      <c r="U551">
        <v>-0.015484699257553</v>
      </c>
      <c r="V551" t="s">
        <v>986</v>
      </c>
      <c r="W551" t="s">
        <v>990</v>
      </c>
      <c r="X551">
        <v>11836.085337</v>
      </c>
      <c r="Y551" s="2">
        <v>44889</v>
      </c>
      <c r="Z551" t="s">
        <v>1008</v>
      </c>
    </row>
    <row r="552" spans="1:26">
      <c r="A552" s="1" t="s">
        <v>576</v>
      </c>
      <c r="B552">
        <f>HYPERLINK("https://www.suredividend.com/sure-analysis-HEP/","Holly Energy Partners L.P.")</f>
        <v>0</v>
      </c>
      <c r="C552" t="s">
        <v>883</v>
      </c>
      <c r="D552">
        <v>19</v>
      </c>
      <c r="E552">
        <v>18.12</v>
      </c>
      <c r="F552">
        <v>24</v>
      </c>
      <c r="G552">
        <v>0.755</v>
      </c>
      <c r="H552">
        <v>0.07726269315673288</v>
      </c>
      <c r="I552">
        <v>0.05781716431609585</v>
      </c>
      <c r="J552">
        <v>0.02</v>
      </c>
      <c r="K552">
        <v>0.1366219347291273</v>
      </c>
      <c r="L552" t="s">
        <v>572</v>
      </c>
      <c r="M552" t="s">
        <v>887</v>
      </c>
      <c r="N552">
        <v>6.837735849056604</v>
      </c>
      <c r="O552">
        <v>2.65</v>
      </c>
      <c r="P552">
        <v>1.4</v>
      </c>
      <c r="Q552">
        <v>0.5283018867924528</v>
      </c>
      <c r="R552">
        <v>0</v>
      </c>
      <c r="S552">
        <v>0.03959498820755258</v>
      </c>
      <c r="T552" t="s">
        <v>926</v>
      </c>
      <c r="U552">
        <v>0.206327226246271</v>
      </c>
      <c r="V552" t="s">
        <v>988</v>
      </c>
      <c r="W552" t="s">
        <v>999</v>
      </c>
      <c r="X552">
        <v>2291.096442</v>
      </c>
      <c r="Y552" s="2">
        <v>44879</v>
      </c>
      <c r="Z552" t="s">
        <v>1003</v>
      </c>
    </row>
    <row r="553" spans="1:26">
      <c r="A553" s="1" t="s">
        <v>577</v>
      </c>
      <c r="B553">
        <f>HYPERLINK("https://www.suredividend.com/sure-analysis-KEY/","Keycorp")</f>
        <v>0</v>
      </c>
      <c r="C553" t="s">
        <v>883</v>
      </c>
      <c r="D553">
        <v>16</v>
      </c>
      <c r="E553">
        <v>17.42</v>
      </c>
      <c r="F553">
        <v>27</v>
      </c>
      <c r="G553">
        <v>0.6451851851851852</v>
      </c>
      <c r="H553">
        <v>0.0470723306544202</v>
      </c>
      <c r="I553">
        <v>0.09159898379067877</v>
      </c>
      <c r="J553">
        <v>0.01</v>
      </c>
      <c r="K553">
        <v>0.1363210040114247</v>
      </c>
      <c r="L553" t="s">
        <v>572</v>
      </c>
      <c r="M553" t="s">
        <v>887</v>
      </c>
      <c r="N553">
        <v>7.742222222222223</v>
      </c>
      <c r="O553">
        <v>2.25</v>
      </c>
      <c r="P553">
        <v>0.82</v>
      </c>
      <c r="Q553">
        <v>0.3644444444444444</v>
      </c>
      <c r="R553">
        <v>12</v>
      </c>
      <c r="S553">
        <v>0.04048836820440749</v>
      </c>
      <c r="T553" t="s">
        <v>975</v>
      </c>
      <c r="U553">
        <v>-0.218904134158371</v>
      </c>
      <c r="V553" t="s">
        <v>986</v>
      </c>
      <c r="W553" t="s">
        <v>994</v>
      </c>
      <c r="X553">
        <v>16252.33031</v>
      </c>
      <c r="Y553" s="2">
        <v>44855</v>
      </c>
      <c r="Z553" t="s">
        <v>1003</v>
      </c>
    </row>
    <row r="554" spans="1:26">
      <c r="A554" s="1" t="s">
        <v>578</v>
      </c>
      <c r="B554">
        <f>HYPERLINK("https://www.suredividend.com/sure-analysis-ASB/","Associated Banc-Corp.")</f>
        <v>0</v>
      </c>
      <c r="C554" t="s">
        <v>883</v>
      </c>
      <c r="D554">
        <v>23</v>
      </c>
      <c r="E554">
        <v>23.09</v>
      </c>
      <c r="F554">
        <v>26</v>
      </c>
      <c r="G554">
        <v>0.8880769230769231</v>
      </c>
      <c r="H554">
        <v>0.0346470333477696</v>
      </c>
      <c r="I554">
        <v>0.02402340513270484</v>
      </c>
      <c r="J554">
        <v>0.08</v>
      </c>
      <c r="K554">
        <v>0.135458246466204</v>
      </c>
      <c r="L554" t="s">
        <v>572</v>
      </c>
      <c r="M554" t="s">
        <v>573</v>
      </c>
      <c r="N554">
        <v>10.26222222222222</v>
      </c>
      <c r="O554">
        <v>2.25</v>
      </c>
      <c r="P554">
        <v>0.8</v>
      </c>
      <c r="Q554">
        <v>0.3555555555555556</v>
      </c>
      <c r="R554">
        <v>11</v>
      </c>
      <c r="S554">
        <v>0.100271705097241</v>
      </c>
      <c r="T554" t="s">
        <v>891</v>
      </c>
      <c r="U554">
        <v>0.049173474858913</v>
      </c>
      <c r="V554" t="s">
        <v>986</v>
      </c>
      <c r="W554" t="s">
        <v>994</v>
      </c>
      <c r="X554">
        <v>3471.793882</v>
      </c>
      <c r="Y554" s="2">
        <v>44857</v>
      </c>
      <c r="Z554" t="s">
        <v>1004</v>
      </c>
    </row>
    <row r="555" spans="1:26">
      <c r="A555" s="1" t="s">
        <v>579</v>
      </c>
      <c r="B555">
        <f>HYPERLINK("https://www.suredividend.com/sure-analysis-CWH/","Camping World Holdings Inc")</f>
        <v>0</v>
      </c>
      <c r="C555" t="s">
        <v>883</v>
      </c>
      <c r="D555">
        <v>26</v>
      </c>
      <c r="E555">
        <v>22.32</v>
      </c>
      <c r="F555">
        <v>38</v>
      </c>
      <c r="G555">
        <v>0.5873684210526315</v>
      </c>
      <c r="H555">
        <v>0.1120071684587814</v>
      </c>
      <c r="I555">
        <v>0.1122896120861665</v>
      </c>
      <c r="J555">
        <v>-0.05</v>
      </c>
      <c r="K555">
        <v>0.1342573072034048</v>
      </c>
      <c r="L555" t="s">
        <v>572</v>
      </c>
      <c r="M555" t="s">
        <v>887</v>
      </c>
      <c r="N555">
        <v>4.464</v>
      </c>
      <c r="O555">
        <v>5</v>
      </c>
      <c r="P555">
        <v>2.5</v>
      </c>
      <c r="Q555">
        <v>0.5</v>
      </c>
      <c r="R555">
        <v>3</v>
      </c>
      <c r="S555">
        <v>0</v>
      </c>
      <c r="T555" t="s">
        <v>955</v>
      </c>
      <c r="U555">
        <v>-0.403104817682217</v>
      </c>
      <c r="V555" t="s">
        <v>986</v>
      </c>
      <c r="W555" t="s">
        <v>992</v>
      </c>
      <c r="X555">
        <v>940.391329</v>
      </c>
      <c r="Y555" s="2">
        <v>44867</v>
      </c>
      <c r="Z555" t="s">
        <v>1011</v>
      </c>
    </row>
    <row r="556" spans="1:26">
      <c r="A556" s="1" t="s">
        <v>580</v>
      </c>
      <c r="B556">
        <f>HYPERLINK("https://www.suredividend.com/sure-analysis-WASH/","Washington Trust Bancorp, Inc.")</f>
        <v>0</v>
      </c>
      <c r="C556" t="s">
        <v>883</v>
      </c>
      <c r="D556">
        <v>48</v>
      </c>
      <c r="E556">
        <v>47.18</v>
      </c>
      <c r="F556">
        <v>59</v>
      </c>
      <c r="G556">
        <v>0.7996610169491526</v>
      </c>
      <c r="H556">
        <v>0.04747774480712166</v>
      </c>
      <c r="I556">
        <v>0.04572818864854344</v>
      </c>
      <c r="J556">
        <v>0.05</v>
      </c>
      <c r="K556">
        <v>0.1328227079451456</v>
      </c>
      <c r="L556" t="s">
        <v>572</v>
      </c>
      <c r="M556" t="s">
        <v>573</v>
      </c>
      <c r="N556">
        <v>11.26014319809069</v>
      </c>
      <c r="O556">
        <v>4.19</v>
      </c>
      <c r="P556">
        <v>2.24</v>
      </c>
      <c r="Q556">
        <v>0.5346062052505967</v>
      </c>
      <c r="R556">
        <v>12</v>
      </c>
      <c r="S556">
        <v>0.0426347915383527</v>
      </c>
      <c r="T556" t="s">
        <v>898</v>
      </c>
      <c r="U556">
        <v>-0.122132930434895</v>
      </c>
      <c r="V556" t="s">
        <v>986</v>
      </c>
      <c r="W556" t="s">
        <v>994</v>
      </c>
      <c r="X556">
        <v>810.595004</v>
      </c>
      <c r="Y556" s="2">
        <v>44859</v>
      </c>
      <c r="Z556" t="s">
        <v>1001</v>
      </c>
    </row>
    <row r="557" spans="1:26">
      <c r="A557" s="1" t="s">
        <v>581</v>
      </c>
      <c r="B557">
        <f>HYPERLINK("https://www.suredividend.com/sure-analysis-WEYS/","Weyco Group, Inc")</f>
        <v>0</v>
      </c>
      <c r="C557" t="s">
        <v>884</v>
      </c>
      <c r="D557">
        <v>24</v>
      </c>
      <c r="E557">
        <v>21.16</v>
      </c>
      <c r="F557">
        <v>32</v>
      </c>
      <c r="G557">
        <v>0.66125</v>
      </c>
      <c r="H557">
        <v>0.04725897920604915</v>
      </c>
      <c r="I557">
        <v>0.08624268039905703</v>
      </c>
      <c r="J557">
        <v>0.01</v>
      </c>
      <c r="K557">
        <v>0.1316698368987927</v>
      </c>
      <c r="L557" t="s">
        <v>572</v>
      </c>
      <c r="M557" t="s">
        <v>573</v>
      </c>
      <c r="N557">
        <v>9.887850467289718</v>
      </c>
      <c r="O557">
        <v>2.14</v>
      </c>
      <c r="P557">
        <v>1</v>
      </c>
      <c r="Q557">
        <v>0.4672897196261682</v>
      </c>
      <c r="R557">
        <v>0</v>
      </c>
      <c r="S557">
        <v>0.04057159395880827</v>
      </c>
      <c r="T557" t="s">
        <v>908</v>
      </c>
      <c r="U557">
        <v>-0.061037030463047</v>
      </c>
      <c r="V557" t="s">
        <v>986</v>
      </c>
      <c r="W557" t="s">
        <v>992</v>
      </c>
      <c r="X557">
        <v>203.605477</v>
      </c>
      <c r="Y557" s="2">
        <v>44881</v>
      </c>
      <c r="Z557" t="s">
        <v>1015</v>
      </c>
    </row>
    <row r="558" spans="1:26">
      <c r="A558" s="1" t="s">
        <v>582</v>
      </c>
      <c r="B558">
        <f>HYPERLINK("https://www.suredividend.com/sure-analysis-HSBC/","HSBC Holdings plc")</f>
        <v>0</v>
      </c>
      <c r="C558" t="s">
        <v>883</v>
      </c>
      <c r="D558">
        <v>30</v>
      </c>
      <c r="E558">
        <v>31.16</v>
      </c>
      <c r="F558">
        <v>44</v>
      </c>
      <c r="G558">
        <v>0.7081818181818181</v>
      </c>
      <c r="H558">
        <v>0.04332477535301669</v>
      </c>
      <c r="I558">
        <v>0.07144786920542012</v>
      </c>
      <c r="J558">
        <v>0.03</v>
      </c>
      <c r="K558">
        <v>0.1313657538261703</v>
      </c>
      <c r="L558" t="s">
        <v>572</v>
      </c>
      <c r="M558" t="s">
        <v>573</v>
      </c>
      <c r="N558">
        <v>7.829145728643216</v>
      </c>
      <c r="O558">
        <v>3.98</v>
      </c>
      <c r="P558">
        <v>1.35</v>
      </c>
      <c r="Q558">
        <v>0.3391959798994975</v>
      </c>
      <c r="R558">
        <v>1</v>
      </c>
      <c r="S558">
        <v>0</v>
      </c>
      <c r="U558">
        <v>0.07720176445372401</v>
      </c>
      <c r="V558" t="s">
        <v>986</v>
      </c>
      <c r="W558" t="s">
        <v>994</v>
      </c>
      <c r="X558">
        <v>124440.594976</v>
      </c>
      <c r="Y558" s="2">
        <v>44895</v>
      </c>
      <c r="Z558" t="s">
        <v>1006</v>
      </c>
    </row>
    <row r="559" spans="1:26">
      <c r="A559" s="1" t="s">
        <v>583</v>
      </c>
      <c r="B559">
        <f>HYPERLINK("https://www.suredividend.com/sure-analysis-NYCB/","New York Community Bancorp Inc.")</f>
        <v>0</v>
      </c>
      <c r="C559" t="s">
        <v>883</v>
      </c>
      <c r="D559">
        <v>8.9</v>
      </c>
      <c r="E559">
        <v>8.6</v>
      </c>
      <c r="F559">
        <v>12.5</v>
      </c>
      <c r="G559">
        <v>0.6879999999999999</v>
      </c>
      <c r="H559">
        <v>0.07906976744186048</v>
      </c>
      <c r="I559">
        <v>0.07766136254941047</v>
      </c>
      <c r="J559">
        <v>0</v>
      </c>
      <c r="K559">
        <v>0.130784207760092</v>
      </c>
      <c r="L559" t="s">
        <v>572</v>
      </c>
      <c r="M559" t="s">
        <v>887</v>
      </c>
      <c r="N559">
        <v>6.88</v>
      </c>
      <c r="O559">
        <v>1.25</v>
      </c>
      <c r="P559">
        <v>0.68</v>
      </c>
      <c r="Q559">
        <v>0.544</v>
      </c>
      <c r="R559">
        <v>0</v>
      </c>
      <c r="S559">
        <v>0</v>
      </c>
      <c r="T559" t="s">
        <v>911</v>
      </c>
      <c r="U559">
        <v>-0.245375732687515</v>
      </c>
      <c r="V559" t="s">
        <v>986</v>
      </c>
      <c r="W559" t="s">
        <v>994</v>
      </c>
      <c r="X559">
        <v>4008.768052</v>
      </c>
      <c r="Y559" s="2">
        <v>44871</v>
      </c>
      <c r="Z559" t="s">
        <v>1005</v>
      </c>
    </row>
    <row r="560" spans="1:26">
      <c r="A560" s="1" t="s">
        <v>584</v>
      </c>
      <c r="B560">
        <f>HYPERLINK("https://www.suredividend.com/sure-analysis-PLYM/","Plymouth Industrial Reit Inc")</f>
        <v>0</v>
      </c>
      <c r="C560" t="s">
        <v>883</v>
      </c>
      <c r="D560">
        <v>19</v>
      </c>
      <c r="E560">
        <v>19.18</v>
      </c>
      <c r="F560">
        <v>24</v>
      </c>
      <c r="G560">
        <v>0.7991666666666667</v>
      </c>
      <c r="H560">
        <v>0.04588112617309698</v>
      </c>
      <c r="I560">
        <v>0.04585753041980412</v>
      </c>
      <c r="J560">
        <v>0.05</v>
      </c>
      <c r="K560">
        <v>0.1287959946004589</v>
      </c>
      <c r="L560" t="s">
        <v>572</v>
      </c>
      <c r="M560" t="s">
        <v>573</v>
      </c>
      <c r="N560">
        <v>10.48087431693989</v>
      </c>
      <c r="O560">
        <v>1.83</v>
      </c>
      <c r="P560">
        <v>0.88</v>
      </c>
      <c r="Q560">
        <v>0.4808743169398907</v>
      </c>
      <c r="R560">
        <v>1</v>
      </c>
      <c r="S560">
        <v>0.008929989071996269</v>
      </c>
      <c r="T560" t="s">
        <v>905</v>
      </c>
      <c r="U560">
        <v>-0.361333009227039</v>
      </c>
      <c r="V560" t="s">
        <v>987</v>
      </c>
      <c r="W560" t="s">
        <v>1000</v>
      </c>
      <c r="X560">
        <v>821.853199</v>
      </c>
      <c r="Y560" s="2">
        <v>44874</v>
      </c>
      <c r="Z560" t="s">
        <v>1008</v>
      </c>
    </row>
    <row r="561" spans="1:26">
      <c r="A561" s="1" t="s">
        <v>585</v>
      </c>
      <c r="B561">
        <f>HYPERLINK("https://www.suredividend.com/sure-analysis-GRMN/","Garmin Ltd")</f>
        <v>0</v>
      </c>
      <c r="C561" t="s">
        <v>883</v>
      </c>
      <c r="D561">
        <v>87</v>
      </c>
      <c r="E561">
        <v>92.29000000000001</v>
      </c>
      <c r="F561">
        <v>94</v>
      </c>
      <c r="G561">
        <v>0.981808510638298</v>
      </c>
      <c r="H561">
        <v>0.03163939755119731</v>
      </c>
      <c r="I561">
        <v>0.00367854710620974</v>
      </c>
      <c r="J561">
        <v>0.1</v>
      </c>
      <c r="K561">
        <v>0.1277318966548342</v>
      </c>
      <c r="L561" t="s">
        <v>572</v>
      </c>
      <c r="M561" t="s">
        <v>572</v>
      </c>
      <c r="N561">
        <v>18.64444444444445</v>
      </c>
      <c r="O561">
        <v>4.95</v>
      </c>
      <c r="P561">
        <v>2.92</v>
      </c>
      <c r="Q561">
        <v>0.5898989898989898</v>
      </c>
      <c r="R561">
        <v>5</v>
      </c>
      <c r="S561">
        <v>0.05018351330582038</v>
      </c>
      <c r="T561" t="s">
        <v>901</v>
      </c>
      <c r="U561">
        <v>-0.304712196503747</v>
      </c>
      <c r="V561" t="s">
        <v>986</v>
      </c>
      <c r="W561" t="s">
        <v>993</v>
      </c>
      <c r="X561">
        <v>17688.664377</v>
      </c>
      <c r="Y561" s="2">
        <v>44871</v>
      </c>
      <c r="Z561" t="s">
        <v>1005</v>
      </c>
    </row>
    <row r="562" spans="1:26">
      <c r="A562" s="1" t="s">
        <v>586</v>
      </c>
      <c r="B562">
        <f>HYPERLINK("https://www.suredividend.com/sure-analysis-ITUB/","Itau Unibanco Holding S.A.")</f>
        <v>0</v>
      </c>
      <c r="C562" t="s">
        <v>883</v>
      </c>
      <c r="D562">
        <v>4.83</v>
      </c>
      <c r="E562">
        <v>4.71</v>
      </c>
      <c r="F562">
        <v>6</v>
      </c>
      <c r="G562">
        <v>0.785</v>
      </c>
      <c r="H562">
        <v>0.03821656050955414</v>
      </c>
      <c r="I562">
        <v>0.04960542962870207</v>
      </c>
      <c r="J562">
        <v>0.05</v>
      </c>
      <c r="K562">
        <v>0.1268526290448824</v>
      </c>
      <c r="L562" t="s">
        <v>572</v>
      </c>
      <c r="M562" t="s">
        <v>573</v>
      </c>
      <c r="N562">
        <v>7.850000000000001</v>
      </c>
      <c r="O562">
        <v>0.6</v>
      </c>
      <c r="P562">
        <v>0.18</v>
      </c>
      <c r="Q562">
        <v>0.3</v>
      </c>
      <c r="R562">
        <v>0</v>
      </c>
      <c r="S562">
        <v>0</v>
      </c>
      <c r="T562" t="s">
        <v>898</v>
      </c>
      <c r="U562">
        <v>0.311028224684072</v>
      </c>
      <c r="V562" t="s">
        <v>986</v>
      </c>
      <c r="W562" t="s">
        <v>994</v>
      </c>
      <c r="X562">
        <v>22823.929898</v>
      </c>
      <c r="Y562" s="2">
        <v>44890</v>
      </c>
      <c r="Z562" t="s">
        <v>1006</v>
      </c>
    </row>
    <row r="563" spans="1:26">
      <c r="A563" s="1" t="s">
        <v>587</v>
      </c>
      <c r="B563">
        <f>HYPERLINK("https://www.suredividend.com/sure-analysis-GROW/","U.S. Global Investors, Inc.")</f>
        <v>0</v>
      </c>
      <c r="C563" t="s">
        <v>883</v>
      </c>
      <c r="D563">
        <v>2.9</v>
      </c>
      <c r="E563">
        <v>2.89</v>
      </c>
      <c r="F563">
        <v>4.5</v>
      </c>
      <c r="G563">
        <v>0.6422222222222222</v>
      </c>
      <c r="H563">
        <v>0.03114186851211072</v>
      </c>
      <c r="I563">
        <v>0.09260437254030962</v>
      </c>
      <c r="J563">
        <v>0.011</v>
      </c>
      <c r="K563">
        <v>0.1260655468288587</v>
      </c>
      <c r="L563" t="s">
        <v>572</v>
      </c>
      <c r="M563" t="s">
        <v>572</v>
      </c>
      <c r="N563">
        <v>7.810810810810811</v>
      </c>
      <c r="O563">
        <v>0.37</v>
      </c>
      <c r="P563">
        <v>0.09</v>
      </c>
      <c r="Q563">
        <v>0.2432432432432432</v>
      </c>
      <c r="R563">
        <v>0</v>
      </c>
      <c r="S563">
        <v>0.02129568760013512</v>
      </c>
      <c r="T563" t="s">
        <v>948</v>
      </c>
      <c r="U563">
        <v>-0.326528709917971</v>
      </c>
      <c r="V563" t="s">
        <v>986</v>
      </c>
      <c r="W563" t="s">
        <v>994</v>
      </c>
      <c r="X563">
        <v>40.075627</v>
      </c>
      <c r="Y563" s="2">
        <v>44898</v>
      </c>
      <c r="Z563" t="s">
        <v>1009</v>
      </c>
    </row>
    <row r="564" spans="1:26">
      <c r="A564" s="1" t="s">
        <v>588</v>
      </c>
      <c r="B564">
        <f>HYPERLINK("https://www.suredividend.com/sure-analysis-PNC/","PNC Financial Services Group Inc")</f>
        <v>0</v>
      </c>
      <c r="C564" t="s">
        <v>883</v>
      </c>
      <c r="D564">
        <v>150</v>
      </c>
      <c r="E564">
        <v>157.94</v>
      </c>
      <c r="F564">
        <v>185</v>
      </c>
      <c r="G564">
        <v>0.8537297297297297</v>
      </c>
      <c r="H564">
        <v>0.03798910978852729</v>
      </c>
      <c r="I564">
        <v>0.03213360635479234</v>
      </c>
      <c r="J564">
        <v>0.06</v>
      </c>
      <c r="K564">
        <v>0.1239933413597702</v>
      </c>
      <c r="L564" t="s">
        <v>572</v>
      </c>
      <c r="M564" t="s">
        <v>573</v>
      </c>
      <c r="N564">
        <v>10.74421768707483</v>
      </c>
      <c r="O564">
        <v>14.7</v>
      </c>
      <c r="P564">
        <v>6</v>
      </c>
      <c r="Q564">
        <v>0.4081632653061225</v>
      </c>
      <c r="R564">
        <v>12</v>
      </c>
      <c r="S564">
        <v>0.05922384104881218</v>
      </c>
      <c r="T564" t="s">
        <v>925</v>
      </c>
      <c r="U564">
        <v>-0.187880215159809</v>
      </c>
      <c r="V564" t="s">
        <v>986</v>
      </c>
      <c r="W564" t="s">
        <v>994</v>
      </c>
      <c r="X564">
        <v>63700.208072</v>
      </c>
      <c r="Y564" s="2">
        <v>44851</v>
      </c>
      <c r="Z564" t="s">
        <v>1003</v>
      </c>
    </row>
    <row r="565" spans="1:26">
      <c r="A565" s="1" t="s">
        <v>589</v>
      </c>
      <c r="B565">
        <f>HYPERLINK("https://www.suredividend.com/sure-analysis-GEL/","Genesis Energy L.P.")</f>
        <v>0</v>
      </c>
      <c r="C565" t="s">
        <v>884</v>
      </c>
      <c r="D565">
        <v>11</v>
      </c>
      <c r="E565">
        <v>10.21</v>
      </c>
      <c r="F565">
        <v>12</v>
      </c>
      <c r="G565">
        <v>0.8508333333333334</v>
      </c>
      <c r="H565">
        <v>0.05876591576885406</v>
      </c>
      <c r="I565">
        <v>0.0328353667469985</v>
      </c>
      <c r="J565">
        <v>0.05</v>
      </c>
      <c r="K565">
        <v>0.123978573674024</v>
      </c>
      <c r="L565" t="s">
        <v>572</v>
      </c>
      <c r="M565" t="s">
        <v>887</v>
      </c>
      <c r="N565">
        <v>4.254166666666667</v>
      </c>
      <c r="O565">
        <v>2.4</v>
      </c>
      <c r="P565">
        <v>0.6</v>
      </c>
      <c r="Q565">
        <v>0.25</v>
      </c>
      <c r="R565">
        <v>0</v>
      </c>
      <c r="S565">
        <v>0</v>
      </c>
      <c r="T565" t="s">
        <v>926</v>
      </c>
      <c r="U565">
        <v>0.020989790102099</v>
      </c>
      <c r="V565" t="s">
        <v>988</v>
      </c>
      <c r="W565" t="s">
        <v>999</v>
      </c>
      <c r="X565">
        <v>1251.125446</v>
      </c>
      <c r="Y565" s="2">
        <v>44872</v>
      </c>
      <c r="Z565" t="s">
        <v>1003</v>
      </c>
    </row>
    <row r="566" spans="1:26">
      <c r="A566" s="1" t="s">
        <v>590</v>
      </c>
      <c r="B566">
        <f>HYPERLINK("https://www.suredividend.com/sure-analysis-PINC/","Premier Inc")</f>
        <v>0</v>
      </c>
      <c r="C566" t="s">
        <v>883</v>
      </c>
      <c r="D566">
        <v>33</v>
      </c>
      <c r="E566">
        <v>34.98</v>
      </c>
      <c r="F566">
        <v>39</v>
      </c>
      <c r="G566">
        <v>0.8969230769230768</v>
      </c>
      <c r="H566">
        <v>0.02401372212692968</v>
      </c>
      <c r="I566">
        <v>0.02199544549405319</v>
      </c>
      <c r="J566">
        <v>0.08</v>
      </c>
      <c r="K566">
        <v>0.1224056610400652</v>
      </c>
      <c r="L566" t="s">
        <v>572</v>
      </c>
      <c r="M566" t="s">
        <v>572</v>
      </c>
      <c r="N566">
        <v>13.45384615384615</v>
      </c>
      <c r="O566">
        <v>2.6</v>
      </c>
      <c r="P566">
        <v>0.84</v>
      </c>
      <c r="Q566">
        <v>0.323076923076923</v>
      </c>
      <c r="R566">
        <v>2</v>
      </c>
      <c r="S566">
        <v>0.05922384104881218</v>
      </c>
      <c r="T566" t="s">
        <v>891</v>
      </c>
      <c r="U566">
        <v>-0.136330416576135</v>
      </c>
      <c r="V566" t="s">
        <v>986</v>
      </c>
      <c r="W566" t="s">
        <v>998</v>
      </c>
      <c r="X566">
        <v>4154.298888</v>
      </c>
      <c r="Y566" s="2">
        <v>44915</v>
      </c>
      <c r="Z566" t="s">
        <v>1002</v>
      </c>
    </row>
    <row r="567" spans="1:26">
      <c r="A567" s="1" t="s">
        <v>591</v>
      </c>
      <c r="B567">
        <f>HYPERLINK("https://www.suredividend.com/sure-analysis-BMWYY/","Bayerische Motoren Werke AG")</f>
        <v>0</v>
      </c>
      <c r="C567" t="s">
        <v>883</v>
      </c>
      <c r="D567">
        <v>29</v>
      </c>
      <c r="E567">
        <v>29.66</v>
      </c>
      <c r="F567">
        <v>49</v>
      </c>
      <c r="G567">
        <v>0.6053061224489796</v>
      </c>
      <c r="H567">
        <v>0.06776803776129467</v>
      </c>
      <c r="I567">
        <v>0.1056177099178242</v>
      </c>
      <c r="J567">
        <v>-0.02</v>
      </c>
      <c r="K567">
        <v>0.1217782441328252</v>
      </c>
      <c r="L567" t="s">
        <v>572</v>
      </c>
      <c r="M567" t="s">
        <v>887</v>
      </c>
      <c r="N567">
        <v>5.027118644067796</v>
      </c>
      <c r="O567">
        <v>5.9</v>
      </c>
      <c r="P567">
        <v>2.01</v>
      </c>
      <c r="Q567">
        <v>0.3406779661016949</v>
      </c>
      <c r="R567">
        <v>1</v>
      </c>
      <c r="S567">
        <v>-0.05938233290905071</v>
      </c>
      <c r="T567" t="s">
        <v>976</v>
      </c>
      <c r="U567">
        <v>-0.113303437967115</v>
      </c>
      <c r="V567" t="s">
        <v>986</v>
      </c>
      <c r="W567" t="s">
        <v>992</v>
      </c>
      <c r="X567">
        <v>53565.53254</v>
      </c>
      <c r="Y567" s="2">
        <v>44889</v>
      </c>
      <c r="Z567" t="s">
        <v>1003</v>
      </c>
    </row>
    <row r="568" spans="1:26">
      <c r="A568" s="1" t="s">
        <v>592</v>
      </c>
      <c r="B568">
        <f>HYPERLINK("https://www.suredividend.com/sure-analysis-BAYRY/","Bayer AG")</f>
        <v>0</v>
      </c>
      <c r="C568" t="s">
        <v>883</v>
      </c>
      <c r="D568">
        <v>14</v>
      </c>
      <c r="E568">
        <v>12.86</v>
      </c>
      <c r="F568">
        <v>17</v>
      </c>
      <c r="G568">
        <v>0.7564705882352941</v>
      </c>
      <c r="H568">
        <v>0.04121306376360809</v>
      </c>
      <c r="I568">
        <v>0.05740556218197468</v>
      </c>
      <c r="J568">
        <v>0.03</v>
      </c>
      <c r="K568">
        <v>0.1201546591532976</v>
      </c>
      <c r="L568" t="s">
        <v>572</v>
      </c>
      <c r="M568" t="s">
        <v>573</v>
      </c>
      <c r="N568">
        <v>6.697916666666667</v>
      </c>
      <c r="O568">
        <v>1.92</v>
      </c>
      <c r="P568">
        <v>0.53</v>
      </c>
      <c r="Q568">
        <v>0.2760416666666667</v>
      </c>
      <c r="R568">
        <v>0</v>
      </c>
      <c r="S568">
        <v>0.03843859492360835</v>
      </c>
      <c r="T568" t="s">
        <v>961</v>
      </c>
      <c r="U568">
        <v>-0.024279210925644</v>
      </c>
      <c r="V568" t="s">
        <v>986</v>
      </c>
      <c r="W568" t="s">
        <v>998</v>
      </c>
      <c r="X568">
        <v>50535.894778</v>
      </c>
      <c r="Y568" s="2">
        <v>44908</v>
      </c>
      <c r="Z568" t="s">
        <v>1007</v>
      </c>
    </row>
    <row r="569" spans="1:26">
      <c r="A569" s="1" t="s">
        <v>593</v>
      </c>
      <c r="B569">
        <f>HYPERLINK("https://www.suredividend.com/sure-analysis-UE/","Urban Edge Properties")</f>
        <v>0</v>
      </c>
      <c r="C569" t="s">
        <v>883</v>
      </c>
      <c r="D569">
        <v>14</v>
      </c>
      <c r="E569">
        <v>14.09</v>
      </c>
      <c r="F569">
        <v>19</v>
      </c>
      <c r="G569">
        <v>0.741578947368421</v>
      </c>
      <c r="H569">
        <v>0.0454222853087296</v>
      </c>
      <c r="I569">
        <v>0.0616186064178661</v>
      </c>
      <c r="J569">
        <v>0.025</v>
      </c>
      <c r="K569">
        <v>0.1195920696069255</v>
      </c>
      <c r="L569" t="s">
        <v>572</v>
      </c>
      <c r="M569" t="s">
        <v>572</v>
      </c>
      <c r="N569">
        <v>11.9406779661017</v>
      </c>
      <c r="O569">
        <v>1.18</v>
      </c>
      <c r="P569">
        <v>0.64</v>
      </c>
      <c r="Q569">
        <v>0.5423728813559322</v>
      </c>
      <c r="R569">
        <v>1</v>
      </c>
      <c r="S569">
        <v>0.009204005948121541</v>
      </c>
      <c r="T569" t="s">
        <v>901</v>
      </c>
      <c r="U569">
        <v>-0.222500579399852</v>
      </c>
      <c r="V569" t="s">
        <v>987</v>
      </c>
      <c r="W569" t="s">
        <v>1000</v>
      </c>
      <c r="X569">
        <v>1654.703407</v>
      </c>
      <c r="Y569" s="2">
        <v>44874</v>
      </c>
      <c r="Z569" t="s">
        <v>1008</v>
      </c>
    </row>
    <row r="570" spans="1:26">
      <c r="A570" s="1" t="s">
        <v>594</v>
      </c>
      <c r="B570">
        <f>HYPERLINK("https://www.suredividend.com/sure-analysis-RF/","Regions Financial Corp.")</f>
        <v>0</v>
      </c>
      <c r="C570" t="s">
        <v>883</v>
      </c>
      <c r="D570">
        <v>22</v>
      </c>
      <c r="E570">
        <v>21.56</v>
      </c>
      <c r="F570">
        <v>26</v>
      </c>
      <c r="G570">
        <v>0.8292307692307692</v>
      </c>
      <c r="H570">
        <v>0.03710575139146568</v>
      </c>
      <c r="I570">
        <v>0.03816149801332513</v>
      </c>
      <c r="J570">
        <v>0.05</v>
      </c>
      <c r="K570">
        <v>0.1194693607244255</v>
      </c>
      <c r="L570" t="s">
        <v>572</v>
      </c>
      <c r="M570" t="s">
        <v>573</v>
      </c>
      <c r="N570">
        <v>9.174468085106382</v>
      </c>
      <c r="O570">
        <v>2.35</v>
      </c>
      <c r="P570">
        <v>0.8</v>
      </c>
      <c r="Q570">
        <v>0.3404255319148936</v>
      </c>
      <c r="R570">
        <v>10</v>
      </c>
      <c r="S570">
        <v>0.05589288248337687</v>
      </c>
      <c r="T570" t="s">
        <v>929</v>
      </c>
      <c r="U570">
        <v>0.019992998192776</v>
      </c>
      <c r="V570" t="s">
        <v>986</v>
      </c>
      <c r="W570" t="s">
        <v>994</v>
      </c>
      <c r="X570">
        <v>20146.647265</v>
      </c>
      <c r="Y570" s="2">
        <v>44864</v>
      </c>
      <c r="Z570" t="s">
        <v>1007</v>
      </c>
    </row>
    <row r="571" spans="1:26">
      <c r="A571" s="1" t="s">
        <v>595</v>
      </c>
      <c r="B571">
        <f>HYPERLINK("https://www.suredividend.com/sure-analysis-TPR/","Tapestry Inc")</f>
        <v>0</v>
      </c>
      <c r="C571" t="s">
        <v>883</v>
      </c>
      <c r="D571">
        <v>39</v>
      </c>
      <c r="E571">
        <v>38.08</v>
      </c>
      <c r="F571">
        <v>47</v>
      </c>
      <c r="G571">
        <v>0.8102127659574467</v>
      </c>
      <c r="H571">
        <v>0.03151260504201681</v>
      </c>
      <c r="I571">
        <v>0.04299009398635145</v>
      </c>
      <c r="J571">
        <v>0.05</v>
      </c>
      <c r="K571">
        <v>0.1187786389995564</v>
      </c>
      <c r="L571" t="s">
        <v>572</v>
      </c>
      <c r="M571" t="s">
        <v>572</v>
      </c>
      <c r="N571">
        <v>10.43287671232877</v>
      </c>
      <c r="O571">
        <v>3.65</v>
      </c>
      <c r="P571">
        <v>1.2</v>
      </c>
      <c r="Q571">
        <v>0.3287671232876712</v>
      </c>
      <c r="R571">
        <v>1</v>
      </c>
      <c r="S571">
        <v>0.04000235313991807</v>
      </c>
      <c r="T571" t="s">
        <v>920</v>
      </c>
      <c r="U571">
        <v>-0.038140944683</v>
      </c>
      <c r="V571" t="s">
        <v>986</v>
      </c>
      <c r="W571" t="s">
        <v>992</v>
      </c>
      <c r="X571">
        <v>9175.806342</v>
      </c>
      <c r="Y571" s="2">
        <v>44901</v>
      </c>
      <c r="Z571" t="s">
        <v>1006</v>
      </c>
    </row>
    <row r="572" spans="1:26">
      <c r="A572" s="1" t="s">
        <v>596</v>
      </c>
      <c r="B572">
        <f>HYPERLINK("https://www.suredividend.com/sure-analysis-LNC/","Lincoln National Corp.")</f>
        <v>0</v>
      </c>
      <c r="C572" t="s">
        <v>884</v>
      </c>
      <c r="D572">
        <v>34</v>
      </c>
      <c r="E572">
        <v>30.72</v>
      </c>
      <c r="F572">
        <v>36</v>
      </c>
      <c r="G572">
        <v>0.8533333333333333</v>
      </c>
      <c r="H572">
        <v>0.05859375000000001</v>
      </c>
      <c r="I572">
        <v>0.03222947933334197</v>
      </c>
      <c r="J572">
        <v>0.03</v>
      </c>
      <c r="K572">
        <v>0.118696584160884</v>
      </c>
      <c r="L572" t="s">
        <v>572</v>
      </c>
      <c r="M572" t="s">
        <v>887</v>
      </c>
      <c r="N572">
        <v>6.826666666666666</v>
      </c>
      <c r="O572">
        <v>4.5</v>
      </c>
      <c r="P572">
        <v>1.8</v>
      </c>
      <c r="Q572">
        <v>0.4</v>
      </c>
      <c r="R572">
        <v>11</v>
      </c>
      <c r="S572">
        <v>0.100082101138866</v>
      </c>
      <c r="T572" t="s">
        <v>903</v>
      </c>
      <c r="U572">
        <v>-0.5371911783094521</v>
      </c>
      <c r="V572" t="s">
        <v>986</v>
      </c>
      <c r="W572" t="s">
        <v>994</v>
      </c>
      <c r="X572">
        <v>5198.299054</v>
      </c>
      <c r="Y572" s="2">
        <v>44882</v>
      </c>
      <c r="Z572" t="s">
        <v>1008</v>
      </c>
    </row>
    <row r="573" spans="1:26">
      <c r="A573" s="1" t="s">
        <v>597</v>
      </c>
      <c r="B573">
        <f>HYPERLINK("https://www.suredividend.com/sure-analysis-AKR/","Acadia Realty Trust")</f>
        <v>0</v>
      </c>
      <c r="C573" t="s">
        <v>883</v>
      </c>
      <c r="D573">
        <v>14.15</v>
      </c>
      <c r="E573">
        <v>14.35</v>
      </c>
      <c r="F573">
        <v>17.42</v>
      </c>
      <c r="G573">
        <v>0.8237657864523535</v>
      </c>
      <c r="H573">
        <v>0.05017421602787456</v>
      </c>
      <c r="I573">
        <v>0.03953532024020734</v>
      </c>
      <c r="J573">
        <v>0.03</v>
      </c>
      <c r="K573">
        <v>0.1176995307188131</v>
      </c>
      <c r="L573" t="s">
        <v>572</v>
      </c>
      <c r="M573" t="s">
        <v>573</v>
      </c>
      <c r="N573">
        <v>11.12403100775194</v>
      </c>
      <c r="O573">
        <v>1.29</v>
      </c>
      <c r="P573">
        <v>0.72</v>
      </c>
      <c r="Q573">
        <v>0.5581395348837209</v>
      </c>
      <c r="R573">
        <v>2</v>
      </c>
      <c r="S573">
        <v>0.100082101138866</v>
      </c>
      <c r="T573" t="s">
        <v>905</v>
      </c>
      <c r="U573">
        <v>-0.310560199865475</v>
      </c>
      <c r="V573" t="s">
        <v>987</v>
      </c>
      <c r="W573" t="s">
        <v>1000</v>
      </c>
      <c r="X573">
        <v>1362.628875</v>
      </c>
      <c r="Y573" s="2">
        <v>44871</v>
      </c>
      <c r="Z573" t="s">
        <v>1011</v>
      </c>
    </row>
    <row r="574" spans="1:26">
      <c r="A574" s="1" t="s">
        <v>598</v>
      </c>
      <c r="B574">
        <f>HYPERLINK("https://www.suredividend.com/sure-analysis-CODI/","Compass Diversified Holdings")</f>
        <v>0</v>
      </c>
      <c r="C574" t="s">
        <v>883</v>
      </c>
      <c r="D574">
        <v>18</v>
      </c>
      <c r="E574">
        <v>18.23</v>
      </c>
      <c r="F574">
        <v>24</v>
      </c>
      <c r="G574">
        <v>0.7595833333333334</v>
      </c>
      <c r="H574">
        <v>0.05485463521667581</v>
      </c>
      <c r="I574">
        <v>0.05653749612241876</v>
      </c>
      <c r="J574">
        <v>0.02</v>
      </c>
      <c r="K574">
        <v>0.1155758255135806</v>
      </c>
      <c r="L574" t="s">
        <v>572</v>
      </c>
      <c r="M574" t="s">
        <v>573</v>
      </c>
      <c r="N574">
        <v>7.595833333333334</v>
      </c>
      <c r="O574">
        <v>2.4</v>
      </c>
      <c r="P574">
        <v>1</v>
      </c>
      <c r="Q574">
        <v>0.4166666666666667</v>
      </c>
      <c r="R574">
        <v>0</v>
      </c>
      <c r="S574">
        <v>0</v>
      </c>
      <c r="T574" t="s">
        <v>931</v>
      </c>
      <c r="U574">
        <v>-0.379207715123426</v>
      </c>
      <c r="V574" t="s">
        <v>986</v>
      </c>
      <c r="W574" t="s">
        <v>991</v>
      </c>
      <c r="X574">
        <v>1316.25575</v>
      </c>
      <c r="Y574" s="2">
        <v>44908</v>
      </c>
      <c r="Z574" t="s">
        <v>1007</v>
      </c>
    </row>
    <row r="575" spans="1:26">
      <c r="A575" s="1" t="s">
        <v>599</v>
      </c>
      <c r="B575">
        <f>HYPERLINK("https://www.suredividend.com/sure-analysis-USB/","U.S. Bancorp.")</f>
        <v>0</v>
      </c>
      <c r="C575" t="s">
        <v>883</v>
      </c>
      <c r="D575">
        <v>43</v>
      </c>
      <c r="E575">
        <v>43.61</v>
      </c>
      <c r="F575">
        <v>50</v>
      </c>
      <c r="G575">
        <v>0.8722</v>
      </c>
      <c r="H575">
        <v>0.04402659940380647</v>
      </c>
      <c r="I575">
        <v>0.02772467441313031</v>
      </c>
      <c r="J575">
        <v>0.05</v>
      </c>
      <c r="K575">
        <v>0.115394173603347</v>
      </c>
      <c r="L575" t="s">
        <v>572</v>
      </c>
      <c r="M575" t="s">
        <v>573</v>
      </c>
      <c r="N575">
        <v>10.02528735632184</v>
      </c>
      <c r="O575">
        <v>4.35</v>
      </c>
      <c r="P575">
        <v>1.92</v>
      </c>
      <c r="Q575">
        <v>0.4413793103448276</v>
      </c>
      <c r="R575">
        <v>11</v>
      </c>
      <c r="S575">
        <v>0.06005006969898052</v>
      </c>
      <c r="T575" t="s">
        <v>905</v>
      </c>
      <c r="U575">
        <v>-0.191011152581863</v>
      </c>
      <c r="V575" t="s">
        <v>986</v>
      </c>
      <c r="W575" t="s">
        <v>994</v>
      </c>
      <c r="X575">
        <v>64796.762224</v>
      </c>
      <c r="Y575" s="2">
        <v>44851</v>
      </c>
      <c r="Z575" t="s">
        <v>1005</v>
      </c>
    </row>
    <row r="576" spans="1:26">
      <c r="A576" s="1" t="s">
        <v>600</v>
      </c>
      <c r="B576">
        <f>HYPERLINK("https://www.suredividend.com/sure-analysis-VST/","Vistra Corp")</f>
        <v>0</v>
      </c>
      <c r="C576" t="s">
        <v>883</v>
      </c>
      <c r="D576">
        <v>23</v>
      </c>
      <c r="E576">
        <v>23.2</v>
      </c>
      <c r="F576">
        <v>30</v>
      </c>
      <c r="G576">
        <v>0.7733333333333333</v>
      </c>
      <c r="H576">
        <v>0.0331896551724138</v>
      </c>
      <c r="I576">
        <v>0.0527534030599619</v>
      </c>
      <c r="J576">
        <v>0.03</v>
      </c>
      <c r="K576">
        <v>0.1131607651816975</v>
      </c>
      <c r="L576" t="s">
        <v>572</v>
      </c>
      <c r="M576" t="s">
        <v>572</v>
      </c>
      <c r="N576">
        <v>11.42857142857143</v>
      </c>
      <c r="O576">
        <v>2.03</v>
      </c>
      <c r="P576">
        <v>0.77</v>
      </c>
      <c r="Q576">
        <v>0.3793103448275862</v>
      </c>
      <c r="R576">
        <v>4</v>
      </c>
      <c r="S576">
        <v>0.07973590558946508</v>
      </c>
      <c r="T576" t="s">
        <v>936</v>
      </c>
      <c r="U576">
        <v>0.060149791854211</v>
      </c>
      <c r="V576" t="s">
        <v>986</v>
      </c>
      <c r="W576" t="s">
        <v>997</v>
      </c>
      <c r="X576">
        <v>9232.521502</v>
      </c>
      <c r="Y576" s="2">
        <v>44889</v>
      </c>
      <c r="Z576" t="s">
        <v>1008</v>
      </c>
    </row>
    <row r="577" spans="1:26">
      <c r="A577" s="1" t="s">
        <v>601</v>
      </c>
      <c r="B577">
        <f>HYPERLINK("https://www.suredividend.com/sure-analysis-IP/","International Paper Co.")</f>
        <v>0</v>
      </c>
      <c r="C577" t="s">
        <v>883</v>
      </c>
      <c r="D577">
        <v>34</v>
      </c>
      <c r="E577">
        <v>34.63</v>
      </c>
      <c r="F577">
        <v>40</v>
      </c>
      <c r="G577">
        <v>0.86575</v>
      </c>
      <c r="H577">
        <v>0.05342188853595149</v>
      </c>
      <c r="I577">
        <v>0.02925147951916474</v>
      </c>
      <c r="J577">
        <v>0.04</v>
      </c>
      <c r="K577">
        <v>0.1122291796350139</v>
      </c>
      <c r="L577" t="s">
        <v>572</v>
      </c>
      <c r="M577" t="s">
        <v>573</v>
      </c>
      <c r="N577">
        <v>8.657500000000001</v>
      </c>
      <c r="O577">
        <v>4</v>
      </c>
      <c r="P577">
        <v>1.85</v>
      </c>
      <c r="Q577">
        <v>0.4625</v>
      </c>
      <c r="R577">
        <v>0</v>
      </c>
      <c r="S577">
        <v>0.03526180275714541</v>
      </c>
      <c r="T577" t="s">
        <v>907</v>
      </c>
      <c r="U577">
        <v>-0.225539528122554</v>
      </c>
      <c r="V577" t="s">
        <v>986</v>
      </c>
      <c r="W577" t="s">
        <v>990</v>
      </c>
      <c r="X577">
        <v>12316.852412</v>
      </c>
      <c r="Y577" s="2">
        <v>44865</v>
      </c>
      <c r="Z577" t="s">
        <v>1003</v>
      </c>
    </row>
    <row r="578" spans="1:26">
      <c r="A578" s="1" t="s">
        <v>602</v>
      </c>
      <c r="B578">
        <f>HYPERLINK("https://www.suredividend.com/sure-analysis-MBGAF/","Mercedes-Benz Group AG")</f>
        <v>0</v>
      </c>
      <c r="C578" t="s">
        <v>883</v>
      </c>
      <c r="D578">
        <v>64</v>
      </c>
      <c r="E578">
        <v>65.40000000000001</v>
      </c>
      <c r="F578">
        <v>102</v>
      </c>
      <c r="G578">
        <v>0.6411764705882353</v>
      </c>
      <c r="H578">
        <v>0.08042813455657491</v>
      </c>
      <c r="I578">
        <v>0.09296054534654141</v>
      </c>
      <c r="J578">
        <v>-0.04</v>
      </c>
      <c r="K578">
        <v>0.1085158292078574</v>
      </c>
      <c r="L578" t="s">
        <v>572</v>
      </c>
      <c r="M578" t="s">
        <v>887</v>
      </c>
      <c r="N578">
        <v>5.149606299212599</v>
      </c>
      <c r="O578">
        <v>12.7</v>
      </c>
      <c r="P578">
        <v>5.26</v>
      </c>
      <c r="Q578">
        <v>0.4141732283464567</v>
      </c>
      <c r="R578">
        <v>2</v>
      </c>
      <c r="S578">
        <v>0</v>
      </c>
      <c r="T578" t="s">
        <v>961</v>
      </c>
      <c r="U578">
        <v>-0.146771037181996</v>
      </c>
      <c r="V578" t="s">
        <v>986</v>
      </c>
      <c r="W578" t="s">
        <v>992</v>
      </c>
      <c r="X578">
        <v>69967.369034</v>
      </c>
      <c r="Y578" s="2">
        <v>44889</v>
      </c>
      <c r="Z578" t="s">
        <v>1007</v>
      </c>
    </row>
    <row r="579" spans="1:26">
      <c r="A579" s="1" t="s">
        <v>603</v>
      </c>
      <c r="B579">
        <f>HYPERLINK("https://www.suredividend.com/sure-analysis-ASML/","ASML Holding NV")</f>
        <v>0</v>
      </c>
      <c r="C579" t="s">
        <v>883</v>
      </c>
      <c r="D579">
        <v>462</v>
      </c>
      <c r="E579">
        <v>546.4</v>
      </c>
      <c r="F579">
        <v>435</v>
      </c>
      <c r="G579">
        <v>1.256091954022988</v>
      </c>
      <c r="H579">
        <v>0.009809663250366033</v>
      </c>
      <c r="I579">
        <v>-0.04457695299696229</v>
      </c>
      <c r="J579">
        <v>0.15</v>
      </c>
      <c r="K579">
        <v>0.1076303504176475</v>
      </c>
      <c r="L579" t="s">
        <v>572</v>
      </c>
      <c r="M579" t="s">
        <v>631</v>
      </c>
      <c r="N579">
        <v>40.1764705882353</v>
      </c>
      <c r="O579">
        <v>13.6</v>
      </c>
      <c r="P579">
        <v>5.36</v>
      </c>
      <c r="Q579">
        <v>0.3941176470588236</v>
      </c>
      <c r="R579">
        <v>7</v>
      </c>
      <c r="S579">
        <v>0.09994052042617829</v>
      </c>
      <c r="T579" t="s">
        <v>927</v>
      </c>
      <c r="U579">
        <v>-0.308411595851634</v>
      </c>
      <c r="V579" t="s">
        <v>986</v>
      </c>
      <c r="W579" t="s">
        <v>993</v>
      </c>
      <c r="X579">
        <v>222097.651501</v>
      </c>
      <c r="Y579" s="2">
        <v>44858</v>
      </c>
      <c r="Z579" t="s">
        <v>1005</v>
      </c>
    </row>
    <row r="580" spans="1:26">
      <c r="A580" s="1" t="s">
        <v>604</v>
      </c>
      <c r="B580">
        <f>HYPERLINK("https://www.suredividend.com/sure-analysis-CFG/","Citizens Financial Group Inc")</f>
        <v>0</v>
      </c>
      <c r="C580" t="s">
        <v>883</v>
      </c>
      <c r="D580">
        <v>38</v>
      </c>
      <c r="E580">
        <v>39.37</v>
      </c>
      <c r="F580">
        <v>46</v>
      </c>
      <c r="G580">
        <v>0.8558695652173912</v>
      </c>
      <c r="H580">
        <v>0.04267208534417069</v>
      </c>
      <c r="I580">
        <v>0.03161698366113996</v>
      </c>
      <c r="J580">
        <v>0.04</v>
      </c>
      <c r="K580">
        <v>0.1068951726210225</v>
      </c>
      <c r="L580" t="s">
        <v>572</v>
      </c>
      <c r="M580" t="s">
        <v>573</v>
      </c>
      <c r="N580">
        <v>8.202083333333333</v>
      </c>
      <c r="O580">
        <v>4.8</v>
      </c>
      <c r="P580">
        <v>1.68</v>
      </c>
      <c r="Q580">
        <v>0.35</v>
      </c>
      <c r="R580">
        <v>1</v>
      </c>
      <c r="S580">
        <v>0.03959498820755258</v>
      </c>
      <c r="T580" t="s">
        <v>928</v>
      </c>
      <c r="U580">
        <v>-0.134043929069465</v>
      </c>
      <c r="V580" t="s">
        <v>986</v>
      </c>
      <c r="W580" t="s">
        <v>994</v>
      </c>
      <c r="X580">
        <v>19389.369331</v>
      </c>
      <c r="Y580" s="2">
        <v>44858</v>
      </c>
      <c r="Z580" t="s">
        <v>1005</v>
      </c>
    </row>
    <row r="581" spans="1:26">
      <c r="A581" s="1" t="s">
        <v>605</v>
      </c>
      <c r="B581">
        <f>HYPERLINK("https://www.suredividend.com/sure-analysis-MFC/","Manulife Financial Corp.")</f>
        <v>0</v>
      </c>
      <c r="C581" t="s">
        <v>883</v>
      </c>
      <c r="D581">
        <v>17.56</v>
      </c>
      <c r="E581">
        <v>17.84</v>
      </c>
      <c r="F581">
        <v>18.4</v>
      </c>
      <c r="G581">
        <v>0.9695652173913044</v>
      </c>
      <c r="H581">
        <v>0.0554932735426009</v>
      </c>
      <c r="I581">
        <v>0.006200652437934329</v>
      </c>
      <c r="J581">
        <v>0.05</v>
      </c>
      <c r="K581">
        <v>0.1064170995075528</v>
      </c>
      <c r="L581" t="s">
        <v>572</v>
      </c>
      <c r="M581" t="s">
        <v>887</v>
      </c>
      <c r="N581">
        <v>7.756521739130435</v>
      </c>
      <c r="O581">
        <v>2.3</v>
      </c>
      <c r="P581">
        <v>0.99</v>
      </c>
      <c r="Q581">
        <v>0.4304347826086957</v>
      </c>
      <c r="R581">
        <v>8</v>
      </c>
      <c r="S581">
        <v>0.07022704397907997</v>
      </c>
      <c r="T581" t="s">
        <v>906</v>
      </c>
      <c r="U581">
        <v>-0.025573240405938</v>
      </c>
      <c r="V581" t="s">
        <v>986</v>
      </c>
      <c r="W581" t="s">
        <v>994</v>
      </c>
      <c r="X581">
        <v>33604.077051</v>
      </c>
      <c r="Y581" s="2">
        <v>44880</v>
      </c>
      <c r="Z581" t="s">
        <v>1011</v>
      </c>
    </row>
    <row r="582" spans="1:26">
      <c r="A582" s="1" t="s">
        <v>606</v>
      </c>
      <c r="B582">
        <f>HYPERLINK("https://www.suredividend.com/sure-analysis-AY/","Atlantica Sustainable Infrastructure Plc")</f>
        <v>0</v>
      </c>
      <c r="C582" t="s">
        <v>883</v>
      </c>
      <c r="D582">
        <v>27</v>
      </c>
      <c r="E582">
        <v>25.9</v>
      </c>
      <c r="F582">
        <v>27</v>
      </c>
      <c r="G582">
        <v>0.9592592592592593</v>
      </c>
      <c r="H582">
        <v>0.06872586872586874</v>
      </c>
      <c r="I582">
        <v>0.00835347665164532</v>
      </c>
      <c r="J582">
        <v>0.04</v>
      </c>
      <c r="K582">
        <v>0.1061364712914026</v>
      </c>
      <c r="L582" t="s">
        <v>572</v>
      </c>
      <c r="M582" t="s">
        <v>887</v>
      </c>
      <c r="N582">
        <v>12.75862068965517</v>
      </c>
      <c r="O582">
        <v>2.03</v>
      </c>
      <c r="P582">
        <v>1.78</v>
      </c>
      <c r="Q582">
        <v>0.8768472906403942</v>
      </c>
      <c r="R582">
        <v>7</v>
      </c>
      <c r="S582">
        <v>0.04041821346145347</v>
      </c>
      <c r="T582" t="s">
        <v>917</v>
      </c>
      <c r="U582">
        <v>-0.241718926578483</v>
      </c>
      <c r="V582" t="s">
        <v>986</v>
      </c>
      <c r="W582" t="s">
        <v>999</v>
      </c>
      <c r="X582">
        <v>2911.237001</v>
      </c>
      <c r="Y582" s="2">
        <v>44880</v>
      </c>
      <c r="Z582" t="s">
        <v>1011</v>
      </c>
    </row>
    <row r="583" spans="1:26">
      <c r="A583" s="1" t="s">
        <v>607</v>
      </c>
      <c r="B583">
        <f>HYPERLINK("https://www.suredividend.com/sure-analysis-PACW/","Pacwest Bancorp")</f>
        <v>0</v>
      </c>
      <c r="C583" t="s">
        <v>883</v>
      </c>
      <c r="D583">
        <v>22</v>
      </c>
      <c r="E583">
        <v>22.95</v>
      </c>
      <c r="F583">
        <v>34</v>
      </c>
      <c r="G583">
        <v>0.6749999999999999</v>
      </c>
      <c r="H583">
        <v>0.04357298474945534</v>
      </c>
      <c r="I583">
        <v>0.08178074106640287</v>
      </c>
      <c r="J583">
        <v>-0.01</v>
      </c>
      <c r="K583">
        <v>0.1049723109278708</v>
      </c>
      <c r="L583" t="s">
        <v>572</v>
      </c>
      <c r="M583" t="s">
        <v>573</v>
      </c>
      <c r="N583">
        <v>5.7375</v>
      </c>
      <c r="O583">
        <v>4</v>
      </c>
      <c r="P583">
        <v>1</v>
      </c>
      <c r="Q583">
        <v>0.25</v>
      </c>
      <c r="R583">
        <v>0</v>
      </c>
      <c r="S583">
        <v>0.03012896281839894</v>
      </c>
      <c r="T583" t="s">
        <v>907</v>
      </c>
      <c r="U583">
        <v>-0.476877769470632</v>
      </c>
      <c r="V583" t="s">
        <v>986</v>
      </c>
      <c r="W583" t="s">
        <v>994</v>
      </c>
      <c r="X583">
        <v>2703.697479</v>
      </c>
      <c r="Y583" s="2">
        <v>44858</v>
      </c>
      <c r="Z583" t="s">
        <v>1005</v>
      </c>
    </row>
    <row r="584" spans="1:26">
      <c r="A584" s="1" t="s">
        <v>608</v>
      </c>
      <c r="B584">
        <f>HYPERLINK("https://www.suredividend.com/sure-analysis-WFC/","Wells Fargo &amp; Co.")</f>
        <v>0</v>
      </c>
      <c r="C584" t="s">
        <v>884</v>
      </c>
      <c r="D584">
        <v>43</v>
      </c>
      <c r="E584">
        <v>41.29</v>
      </c>
      <c r="F584">
        <v>46</v>
      </c>
      <c r="G584">
        <v>0.8976086956521739</v>
      </c>
      <c r="H584">
        <v>0.0290627270525551</v>
      </c>
      <c r="I584">
        <v>0.02183927200653213</v>
      </c>
      <c r="J584">
        <v>0.05</v>
      </c>
      <c r="K584">
        <v>0.1049388848849255</v>
      </c>
      <c r="L584" t="s">
        <v>572</v>
      </c>
      <c r="M584" t="s">
        <v>572</v>
      </c>
      <c r="N584">
        <v>10.3225</v>
      </c>
      <c r="O584">
        <v>4</v>
      </c>
      <c r="P584">
        <v>1.2</v>
      </c>
      <c r="Q584">
        <v>0.3</v>
      </c>
      <c r="R584">
        <v>1</v>
      </c>
      <c r="S584">
        <v>0.1496540121887568</v>
      </c>
      <c r="T584" t="s">
        <v>927</v>
      </c>
      <c r="U584">
        <v>-0.121422066371041</v>
      </c>
      <c r="V584" t="s">
        <v>986</v>
      </c>
      <c r="W584" t="s">
        <v>994</v>
      </c>
      <c r="X584">
        <v>157335.169178</v>
      </c>
      <c r="Y584" s="2">
        <v>44851</v>
      </c>
      <c r="Z584" t="s">
        <v>1005</v>
      </c>
    </row>
    <row r="585" spans="1:26">
      <c r="A585" s="1" t="s">
        <v>609</v>
      </c>
      <c r="B585">
        <f>HYPERLINK("https://www.suredividend.com/sure-analysis-YUMC/","Yum China Holdings Inc")</f>
        <v>0</v>
      </c>
      <c r="C585" t="s">
        <v>883</v>
      </c>
      <c r="D585">
        <v>50</v>
      </c>
      <c r="E585">
        <v>54.65</v>
      </c>
      <c r="F585">
        <v>35</v>
      </c>
      <c r="G585">
        <v>1.561428571428571</v>
      </c>
      <c r="H585">
        <v>0.00878316559926807</v>
      </c>
      <c r="I585">
        <v>-0.08526441227015957</v>
      </c>
      <c r="J585">
        <v>0.2</v>
      </c>
      <c r="K585">
        <v>0.1045271541143964</v>
      </c>
      <c r="L585" t="s">
        <v>572</v>
      </c>
      <c r="M585" t="s">
        <v>631</v>
      </c>
      <c r="N585">
        <v>47.52173913043479</v>
      </c>
      <c r="O585">
        <v>1.15</v>
      </c>
      <c r="P585">
        <v>0.48</v>
      </c>
      <c r="Q585">
        <v>0.4173913043478261</v>
      </c>
      <c r="R585">
        <v>1</v>
      </c>
      <c r="S585">
        <v>0.04563955259127317</v>
      </c>
      <c r="T585" t="s">
        <v>975</v>
      </c>
      <c r="U585">
        <v>0.120127241535507</v>
      </c>
      <c r="V585" t="s">
        <v>986</v>
      </c>
      <c r="W585" t="s">
        <v>992</v>
      </c>
      <c r="X585">
        <v>22867.054404</v>
      </c>
      <c r="Y585" s="2">
        <v>44871</v>
      </c>
      <c r="Z585" t="s">
        <v>1010</v>
      </c>
    </row>
    <row r="586" spans="1:26">
      <c r="A586" s="1" t="s">
        <v>610</v>
      </c>
      <c r="B586">
        <f>HYPERLINK("https://www.suredividend.com/sure-analysis-RPT/","RPT Realty")</f>
        <v>0</v>
      </c>
      <c r="C586" t="s">
        <v>883</v>
      </c>
      <c r="D586">
        <v>10.01</v>
      </c>
      <c r="E586">
        <v>10.04</v>
      </c>
      <c r="F586">
        <v>11.44</v>
      </c>
      <c r="G586">
        <v>0.8776223776223776</v>
      </c>
      <c r="H586">
        <v>0.05179282868525897</v>
      </c>
      <c r="I586">
        <v>0.02645156765017687</v>
      </c>
      <c r="J586">
        <v>0.025</v>
      </c>
      <c r="K586">
        <v>0.1036848308326874</v>
      </c>
      <c r="L586" t="s">
        <v>572</v>
      </c>
      <c r="M586" t="s">
        <v>573</v>
      </c>
      <c r="N586">
        <v>9.653846153846153</v>
      </c>
      <c r="O586">
        <v>1.04</v>
      </c>
      <c r="P586">
        <v>0.52</v>
      </c>
      <c r="Q586">
        <v>0.5</v>
      </c>
      <c r="R586">
        <v>1</v>
      </c>
      <c r="S586">
        <v>0.1006650808520966</v>
      </c>
      <c r="T586" t="s">
        <v>936</v>
      </c>
      <c r="U586">
        <v>-0.202940546033358</v>
      </c>
      <c r="V586" t="s">
        <v>987</v>
      </c>
      <c r="W586" t="s">
        <v>1000</v>
      </c>
      <c r="X586">
        <v>855.9006429999999</v>
      </c>
      <c r="Y586" s="2">
        <v>44872</v>
      </c>
      <c r="Z586" t="s">
        <v>1011</v>
      </c>
    </row>
    <row r="587" spans="1:26">
      <c r="A587" s="1" t="s">
        <v>611</v>
      </c>
      <c r="B587">
        <f>HYPERLINK("https://www.suredividend.com/sure-analysis-NHI/","National Health Investors, Inc.")</f>
        <v>0</v>
      </c>
      <c r="C587" t="s">
        <v>884</v>
      </c>
      <c r="D587">
        <v>55</v>
      </c>
      <c r="E587">
        <v>52.22</v>
      </c>
      <c r="F587">
        <v>59</v>
      </c>
      <c r="G587">
        <v>0.8850847457627119</v>
      </c>
      <c r="H587">
        <v>0.0689391037916507</v>
      </c>
      <c r="I587">
        <v>0.02471484729676976</v>
      </c>
      <c r="J587">
        <v>0.025</v>
      </c>
      <c r="K587">
        <v>0.1030921990639884</v>
      </c>
      <c r="L587" t="s">
        <v>572</v>
      </c>
      <c r="M587" t="s">
        <v>887</v>
      </c>
      <c r="N587">
        <v>11.57871396895787</v>
      </c>
      <c r="O587">
        <v>4.51</v>
      </c>
      <c r="P587">
        <v>3.6</v>
      </c>
      <c r="Q587">
        <v>0.7982261640798227</v>
      </c>
      <c r="R587">
        <v>0</v>
      </c>
      <c r="S587">
        <v>0.009805797673485328</v>
      </c>
      <c r="T587" t="s">
        <v>905</v>
      </c>
      <c r="U587">
        <v>-0.029375246280696</v>
      </c>
      <c r="V587" t="s">
        <v>987</v>
      </c>
      <c r="W587" t="s">
        <v>1000</v>
      </c>
      <c r="X587">
        <v>2265.760107</v>
      </c>
      <c r="Y587" s="2">
        <v>44889</v>
      </c>
      <c r="Z587" t="s">
        <v>1008</v>
      </c>
    </row>
    <row r="588" spans="1:26">
      <c r="A588" s="1" t="s">
        <v>612</v>
      </c>
      <c r="B588">
        <f>HYPERLINK("https://www.suredividend.com/sure-analysis-WSR/","Whitestone REIT")</f>
        <v>0</v>
      </c>
      <c r="C588" t="s">
        <v>883</v>
      </c>
      <c r="D588">
        <v>9</v>
      </c>
      <c r="E588">
        <v>9.640000000000001</v>
      </c>
      <c r="F588">
        <v>11</v>
      </c>
      <c r="G588">
        <v>0.8763636363636365</v>
      </c>
      <c r="H588">
        <v>0.04979253112033195</v>
      </c>
      <c r="I588">
        <v>0.02674626159019056</v>
      </c>
      <c r="J588">
        <v>0.03</v>
      </c>
      <c r="K588">
        <v>0.1024181771216155</v>
      </c>
      <c r="L588" t="s">
        <v>572</v>
      </c>
      <c r="M588" t="s">
        <v>573</v>
      </c>
      <c r="N588">
        <v>9.544554455445544</v>
      </c>
      <c r="O588">
        <v>1.01</v>
      </c>
      <c r="P588">
        <v>0.48</v>
      </c>
      <c r="Q588">
        <v>0.4752475247524752</v>
      </c>
      <c r="R588">
        <v>1</v>
      </c>
      <c r="S588">
        <v>0.06897294358221773</v>
      </c>
      <c r="T588" t="s">
        <v>889</v>
      </c>
      <c r="U588">
        <v>-0.00149154789526</v>
      </c>
      <c r="V588" t="s">
        <v>987</v>
      </c>
      <c r="W588" t="s">
        <v>1000</v>
      </c>
      <c r="X588">
        <v>476.081676</v>
      </c>
      <c r="Y588" s="2">
        <v>44874</v>
      </c>
      <c r="Z588" t="s">
        <v>1014</v>
      </c>
    </row>
    <row r="589" spans="1:26">
      <c r="A589" s="1" t="s">
        <v>613</v>
      </c>
      <c r="B589">
        <f>HYPERLINK("https://www.suredividend.com/sure-analysis-EMRAF/","Emera Inc.")</f>
        <v>0</v>
      </c>
      <c r="C589" t="s">
        <v>883</v>
      </c>
      <c r="D589">
        <v>38</v>
      </c>
      <c r="E589">
        <v>38.5099</v>
      </c>
      <c r="F589">
        <v>40</v>
      </c>
      <c r="G589">
        <v>0.9627475000000001</v>
      </c>
      <c r="H589">
        <v>0.0534927382309484</v>
      </c>
      <c r="I589">
        <v>0.007621719160299412</v>
      </c>
      <c r="J589">
        <v>0.05</v>
      </c>
      <c r="K589">
        <v>0.1022789969937499</v>
      </c>
      <c r="L589" t="s">
        <v>572</v>
      </c>
      <c r="M589" t="s">
        <v>887</v>
      </c>
      <c r="N589">
        <v>17.2690134529148</v>
      </c>
      <c r="O589">
        <v>2.23</v>
      </c>
      <c r="P589">
        <v>2.06</v>
      </c>
      <c r="Q589">
        <v>0.9237668161434978</v>
      </c>
      <c r="R589">
        <v>16</v>
      </c>
      <c r="S589">
        <v>0.04030647169909951</v>
      </c>
      <c r="T589" t="s">
        <v>932</v>
      </c>
      <c r="U589">
        <v>-0.225931658291457</v>
      </c>
      <c r="V589" t="s">
        <v>986</v>
      </c>
      <c r="W589" t="s">
        <v>997</v>
      </c>
      <c r="X589">
        <v>10384.778576</v>
      </c>
      <c r="Y589" s="2">
        <v>44889</v>
      </c>
      <c r="Z589" t="s">
        <v>1008</v>
      </c>
    </row>
    <row r="590" spans="1:26">
      <c r="A590" s="1" t="s">
        <v>614</v>
      </c>
      <c r="B590">
        <f>HYPERLINK("https://www.suredividend.com/sure-analysis-KTB/","Kontoor Brands Inc")</f>
        <v>0</v>
      </c>
      <c r="C590" t="s">
        <v>884</v>
      </c>
      <c r="D590">
        <v>43</v>
      </c>
      <c r="E590">
        <v>39.99</v>
      </c>
      <c r="F590">
        <v>48</v>
      </c>
      <c r="G590">
        <v>0.833125</v>
      </c>
      <c r="H590">
        <v>0.04801200300075018</v>
      </c>
      <c r="I590">
        <v>0.03718915398107092</v>
      </c>
      <c r="J590">
        <v>0.025</v>
      </c>
      <c r="K590">
        <v>0.1014131065529493</v>
      </c>
      <c r="L590" t="s">
        <v>572</v>
      </c>
      <c r="M590" t="s">
        <v>573</v>
      </c>
      <c r="N590">
        <v>9.13013698630137</v>
      </c>
      <c r="O590">
        <v>4.38</v>
      </c>
      <c r="P590">
        <v>1.92</v>
      </c>
      <c r="Q590">
        <v>0.4383561643835616</v>
      </c>
      <c r="R590">
        <v>2</v>
      </c>
      <c r="S590">
        <v>0.03038784497717151</v>
      </c>
      <c r="T590" t="s">
        <v>920</v>
      </c>
      <c r="U590">
        <v>-0.190112035514366</v>
      </c>
      <c r="V590" t="s">
        <v>986</v>
      </c>
      <c r="W590" t="s">
        <v>992</v>
      </c>
      <c r="X590">
        <v>2218.070904</v>
      </c>
      <c r="Y590" s="2">
        <v>44908</v>
      </c>
      <c r="Z590" t="s">
        <v>1007</v>
      </c>
    </row>
    <row r="591" spans="1:26">
      <c r="A591" s="1" t="s">
        <v>615</v>
      </c>
      <c r="B591">
        <f>HYPERLINK("https://www.suredividend.com/sure-analysis-TRST/","Trustco Bank Corp.")</f>
        <v>0</v>
      </c>
      <c r="C591" t="s">
        <v>883</v>
      </c>
      <c r="D591">
        <v>37</v>
      </c>
      <c r="E591">
        <v>37.59</v>
      </c>
      <c r="F591">
        <v>46</v>
      </c>
      <c r="G591">
        <v>0.8171739130434783</v>
      </c>
      <c r="H591">
        <v>0.03724394785847299</v>
      </c>
      <c r="I591">
        <v>0.04120705274236114</v>
      </c>
      <c r="J591">
        <v>0.03</v>
      </c>
      <c r="K591">
        <v>0.09998608299729428</v>
      </c>
      <c r="L591" t="s">
        <v>572</v>
      </c>
      <c r="M591" t="s">
        <v>572</v>
      </c>
      <c r="N591">
        <v>9.892105263157896</v>
      </c>
      <c r="O591">
        <v>3.8</v>
      </c>
      <c r="P591">
        <v>1.4</v>
      </c>
      <c r="Q591">
        <v>0.3684210526315789</v>
      </c>
      <c r="R591">
        <v>1</v>
      </c>
      <c r="S591">
        <v>0.009805797673485328</v>
      </c>
      <c r="T591" t="s">
        <v>889</v>
      </c>
      <c r="U591">
        <v>0.18043844856661</v>
      </c>
      <c r="V591" t="s">
        <v>986</v>
      </c>
      <c r="W591" t="s">
        <v>994</v>
      </c>
      <c r="X591">
        <v>716.156222</v>
      </c>
      <c r="Y591" s="2">
        <v>44867</v>
      </c>
      <c r="Z591" t="s">
        <v>1008</v>
      </c>
    </row>
    <row r="592" spans="1:26">
      <c r="A592" s="1" t="s">
        <v>616</v>
      </c>
      <c r="B592">
        <f>HYPERLINK("https://www.suredividend.com/sure-analysis-KRG/","Kite Realty Group Trust")</f>
        <v>0</v>
      </c>
      <c r="C592" t="s">
        <v>884</v>
      </c>
      <c r="D592">
        <v>21</v>
      </c>
      <c r="E592">
        <v>21.05</v>
      </c>
      <c r="F592">
        <v>23</v>
      </c>
      <c r="G592">
        <v>0.9152173913043479</v>
      </c>
      <c r="H592">
        <v>0.04180522565320665</v>
      </c>
      <c r="I592">
        <v>0.01787663914140891</v>
      </c>
      <c r="J592">
        <v>0.05</v>
      </c>
      <c r="K592">
        <v>0.09982167232718608</v>
      </c>
      <c r="L592" t="s">
        <v>572</v>
      </c>
      <c r="M592" t="s">
        <v>572</v>
      </c>
      <c r="N592">
        <v>11.1968085106383</v>
      </c>
      <c r="O592">
        <v>1.88</v>
      </c>
      <c r="P592">
        <v>0.88</v>
      </c>
      <c r="Q592">
        <v>0.4680851063829787</v>
      </c>
      <c r="R592">
        <v>2</v>
      </c>
      <c r="S592">
        <v>0.008929989071996269</v>
      </c>
      <c r="T592" t="s">
        <v>903</v>
      </c>
      <c r="U592">
        <v>0.011255927016627</v>
      </c>
      <c r="V592" t="s">
        <v>987</v>
      </c>
      <c r="W592" t="s">
        <v>1000</v>
      </c>
      <c r="X592">
        <v>4612.031992</v>
      </c>
      <c r="Y592" s="2">
        <v>44874</v>
      </c>
      <c r="Z592" t="s">
        <v>1008</v>
      </c>
    </row>
    <row r="593" spans="1:26">
      <c r="A593" s="1" t="s">
        <v>617</v>
      </c>
      <c r="B593">
        <f>HYPERLINK("https://www.suredividend.com/sure-analysis-WSBC/","Wesbanco, Inc.")</f>
        <v>0</v>
      </c>
      <c r="C593" t="s">
        <v>884</v>
      </c>
      <c r="D593">
        <v>40</v>
      </c>
      <c r="E593">
        <v>36.98</v>
      </c>
      <c r="F593">
        <v>40</v>
      </c>
      <c r="G593">
        <v>0.9244999999999999</v>
      </c>
      <c r="H593">
        <v>0.03785830178474851</v>
      </c>
      <c r="I593">
        <v>0.0158243452044009</v>
      </c>
      <c r="J593">
        <v>0.05</v>
      </c>
      <c r="K593">
        <v>0.09809121391452713</v>
      </c>
      <c r="L593" t="s">
        <v>572</v>
      </c>
      <c r="M593" t="s">
        <v>572</v>
      </c>
      <c r="N593">
        <v>12.12459016393443</v>
      </c>
      <c r="O593">
        <v>3.05</v>
      </c>
      <c r="P593">
        <v>1.4</v>
      </c>
      <c r="Q593">
        <v>0.459016393442623</v>
      </c>
      <c r="R593">
        <v>12</v>
      </c>
      <c r="S593">
        <v>0.04444179509050206</v>
      </c>
      <c r="T593" t="s">
        <v>920</v>
      </c>
      <c r="U593">
        <v>0.101031062890965</v>
      </c>
      <c r="V593" t="s">
        <v>986</v>
      </c>
      <c r="W593" t="s">
        <v>994</v>
      </c>
      <c r="X593">
        <v>2187.580449</v>
      </c>
      <c r="Y593" s="2">
        <v>44877</v>
      </c>
      <c r="Z593" t="s">
        <v>1008</v>
      </c>
    </row>
    <row r="594" spans="1:26">
      <c r="A594" s="1" t="s">
        <v>618</v>
      </c>
      <c r="B594">
        <f>HYPERLINK("https://www.suredividend.com/sure-analysis-PARA/","Paramount Global")</f>
        <v>0</v>
      </c>
      <c r="C594" t="s">
        <v>884</v>
      </c>
      <c r="D594">
        <v>20</v>
      </c>
      <c r="E594">
        <v>16.88</v>
      </c>
      <c r="F594">
        <v>20</v>
      </c>
      <c r="G594">
        <v>0.844</v>
      </c>
      <c r="H594">
        <v>0.05687203791469195</v>
      </c>
      <c r="I594">
        <v>0.03450241936084963</v>
      </c>
      <c r="J594">
        <v>0.02</v>
      </c>
      <c r="K594">
        <v>0.09753047059480235</v>
      </c>
      <c r="L594" t="s">
        <v>572</v>
      </c>
      <c r="M594" t="s">
        <v>573</v>
      </c>
      <c r="N594">
        <v>8.525252525252524</v>
      </c>
      <c r="O594">
        <v>1.98</v>
      </c>
      <c r="P594">
        <v>0.96</v>
      </c>
      <c r="Q594">
        <v>0.4848484848484849</v>
      </c>
      <c r="R594">
        <v>0</v>
      </c>
      <c r="S594">
        <v>0</v>
      </c>
      <c r="T594" t="s">
        <v>901</v>
      </c>
      <c r="U594">
        <v>-0.45758354755784</v>
      </c>
      <c r="V594" t="s">
        <v>986</v>
      </c>
      <c r="W594" t="s">
        <v>995</v>
      </c>
      <c r="X594">
        <v>11069.18779</v>
      </c>
      <c r="Y594" s="2">
        <v>44895</v>
      </c>
      <c r="Z594" t="s">
        <v>1006</v>
      </c>
    </row>
    <row r="595" spans="1:26">
      <c r="A595" s="1" t="s">
        <v>619</v>
      </c>
      <c r="B595">
        <f>HYPERLINK("https://www.suredividend.com/sure-analysis-TU/","Telus Corp.")</f>
        <v>0</v>
      </c>
      <c r="C595" t="s">
        <v>884</v>
      </c>
      <c r="D595">
        <v>22</v>
      </c>
      <c r="E595">
        <v>19.31</v>
      </c>
      <c r="F595">
        <v>17</v>
      </c>
      <c r="G595">
        <v>1.135882352941176</v>
      </c>
      <c r="H595">
        <v>0.05437597099948214</v>
      </c>
      <c r="I595">
        <v>-0.0251600257963619</v>
      </c>
      <c r="J595">
        <v>0.08</v>
      </c>
      <c r="K595">
        <v>0.09736592415885914</v>
      </c>
      <c r="L595" t="s">
        <v>572</v>
      </c>
      <c r="M595" t="s">
        <v>573</v>
      </c>
      <c r="N595">
        <v>19.31</v>
      </c>
      <c r="O595">
        <v>1</v>
      </c>
      <c r="P595">
        <v>1.05</v>
      </c>
      <c r="Q595">
        <v>1.05</v>
      </c>
      <c r="R595">
        <v>14</v>
      </c>
      <c r="S595">
        <v>0.03046704262958766</v>
      </c>
      <c r="T595" t="s">
        <v>920</v>
      </c>
      <c r="U595">
        <v>-0.136211138447774</v>
      </c>
      <c r="V595" t="s">
        <v>986</v>
      </c>
      <c r="W595" t="s">
        <v>995</v>
      </c>
      <c r="X595">
        <v>27546.833648</v>
      </c>
      <c r="Y595" s="2">
        <v>44882</v>
      </c>
      <c r="Z595" t="s">
        <v>1003</v>
      </c>
    </row>
    <row r="596" spans="1:26">
      <c r="A596" s="1" t="s">
        <v>620</v>
      </c>
      <c r="B596">
        <f>HYPERLINK("https://www.suredividend.com/sure-analysis-OFC/","Corporate Office Properties Trust")</f>
        <v>0</v>
      </c>
      <c r="C596" t="s">
        <v>884</v>
      </c>
      <c r="D596">
        <v>27</v>
      </c>
      <c r="E596">
        <v>25.94</v>
      </c>
      <c r="F596">
        <v>30</v>
      </c>
      <c r="G596">
        <v>0.8646666666666667</v>
      </c>
      <c r="H596">
        <v>0.04240555127216654</v>
      </c>
      <c r="I596">
        <v>0.02950925840623242</v>
      </c>
      <c r="J596">
        <v>0.035</v>
      </c>
      <c r="K596">
        <v>0.09657664439664226</v>
      </c>
      <c r="L596" t="s">
        <v>572</v>
      </c>
      <c r="M596" t="s">
        <v>572</v>
      </c>
      <c r="N596">
        <v>11.03829787234043</v>
      </c>
      <c r="O596">
        <v>2.35</v>
      </c>
      <c r="P596">
        <v>1.1</v>
      </c>
      <c r="Q596">
        <v>0.4680851063829787</v>
      </c>
      <c r="R596">
        <v>0</v>
      </c>
      <c r="S596">
        <v>0</v>
      </c>
      <c r="T596" t="s">
        <v>905</v>
      </c>
      <c r="U596">
        <v>-0.036543739948521</v>
      </c>
      <c r="V596" t="s">
        <v>987</v>
      </c>
      <c r="W596" t="s">
        <v>1000</v>
      </c>
      <c r="X596">
        <v>2916.259442</v>
      </c>
      <c r="Y596" s="2">
        <v>44890</v>
      </c>
      <c r="Z596" t="s">
        <v>1006</v>
      </c>
    </row>
    <row r="597" spans="1:26">
      <c r="A597" s="1" t="s">
        <v>621</v>
      </c>
      <c r="B597">
        <f>HYPERLINK("https://www.suredividend.com/sure-analysis-EOG/","EOG Resources, Inc.")</f>
        <v>0</v>
      </c>
      <c r="C597" t="s">
        <v>883</v>
      </c>
      <c r="D597">
        <v>142</v>
      </c>
      <c r="E597">
        <v>129.52</v>
      </c>
      <c r="F597">
        <v>159</v>
      </c>
      <c r="G597">
        <v>0.8145911949685535</v>
      </c>
      <c r="H597">
        <v>0.02547869054972205</v>
      </c>
      <c r="I597">
        <v>0.04186646087672075</v>
      </c>
      <c r="J597">
        <v>0.03</v>
      </c>
      <c r="K597">
        <v>0.09643662335379077</v>
      </c>
      <c r="L597" t="s">
        <v>572</v>
      </c>
      <c r="M597" t="s">
        <v>572</v>
      </c>
      <c r="N597">
        <v>14.65158371040724</v>
      </c>
      <c r="O597">
        <v>8.84</v>
      </c>
      <c r="P597">
        <v>3.3</v>
      </c>
      <c r="Q597">
        <v>0.3733031674208145</v>
      </c>
      <c r="R597">
        <v>6</v>
      </c>
      <c r="S597">
        <v>0.08005422401318252</v>
      </c>
      <c r="T597" t="s">
        <v>925</v>
      </c>
      <c r="U597">
        <v>0.562680977568433</v>
      </c>
      <c r="V597" t="s">
        <v>986</v>
      </c>
      <c r="W597" t="s">
        <v>999</v>
      </c>
      <c r="X597">
        <v>76078.68752199999</v>
      </c>
      <c r="Y597" s="2">
        <v>44871</v>
      </c>
      <c r="Z597" t="s">
        <v>1012</v>
      </c>
    </row>
    <row r="598" spans="1:26">
      <c r="A598" s="1" t="s">
        <v>622</v>
      </c>
      <c r="B598">
        <f>HYPERLINK("https://www.suredividend.com/sure-analysis-DTEGY/","Deutsche Telekom AG")</f>
        <v>0</v>
      </c>
      <c r="C598" t="s">
        <v>883</v>
      </c>
      <c r="D598">
        <v>20</v>
      </c>
      <c r="E598">
        <v>19.98</v>
      </c>
      <c r="F598">
        <v>23</v>
      </c>
      <c r="G598">
        <v>0.8686956521739131</v>
      </c>
      <c r="H598">
        <v>0.03453453453453453</v>
      </c>
      <c r="I598">
        <v>0.02855251493680733</v>
      </c>
      <c r="J598">
        <v>0.04</v>
      </c>
      <c r="K598">
        <v>0.09629909023486238</v>
      </c>
      <c r="L598" t="s">
        <v>572</v>
      </c>
      <c r="M598" t="s">
        <v>572</v>
      </c>
      <c r="N598">
        <v>12.89032258064516</v>
      </c>
      <c r="O598">
        <v>1.55</v>
      </c>
      <c r="P598">
        <v>0.6899999999999999</v>
      </c>
      <c r="Q598">
        <v>0.4451612903225806</v>
      </c>
      <c r="R598">
        <v>0</v>
      </c>
      <c r="S598">
        <v>0.01951331078639096</v>
      </c>
      <c r="T598" t="s">
        <v>977</v>
      </c>
      <c r="U598">
        <v>0.169570103961786</v>
      </c>
      <c r="V598" t="s">
        <v>986</v>
      </c>
      <c r="W598" t="s">
        <v>995</v>
      </c>
      <c r="X598">
        <v>99629.442748</v>
      </c>
      <c r="Y598" s="2">
        <v>44888</v>
      </c>
      <c r="Z598" t="s">
        <v>1003</v>
      </c>
    </row>
    <row r="599" spans="1:26">
      <c r="A599" s="1" t="s">
        <v>623</v>
      </c>
      <c r="B599">
        <f>HYPERLINK("https://www.suredividend.com/sure-analysis-MKTX/","MarketAxess Holdings Inc.")</f>
        <v>0</v>
      </c>
      <c r="C599" t="s">
        <v>883</v>
      </c>
      <c r="D599">
        <v>246</v>
      </c>
      <c r="E599">
        <v>278.89</v>
      </c>
      <c r="F599">
        <v>261</v>
      </c>
      <c r="G599">
        <v>1.068544061302682</v>
      </c>
      <c r="H599">
        <v>0.01003980063824447</v>
      </c>
      <c r="I599">
        <v>-0.01317188761907406</v>
      </c>
      <c r="J599">
        <v>0.1</v>
      </c>
      <c r="K599">
        <v>0.09590151600329699</v>
      </c>
      <c r="L599" t="s">
        <v>572</v>
      </c>
      <c r="M599" t="s">
        <v>631</v>
      </c>
      <c r="N599">
        <v>41.62537313432836</v>
      </c>
      <c r="O599">
        <v>6.7</v>
      </c>
      <c r="P599">
        <v>2.8</v>
      </c>
      <c r="Q599">
        <v>0.417910447761194</v>
      </c>
      <c r="R599">
        <v>12</v>
      </c>
      <c r="S599">
        <v>0.1300517548893523</v>
      </c>
      <c r="T599" t="s">
        <v>928</v>
      </c>
      <c r="U599">
        <v>-0.317340730175429</v>
      </c>
      <c r="V599" t="s">
        <v>986</v>
      </c>
      <c r="W599" t="s">
        <v>994</v>
      </c>
      <c r="X599">
        <v>10496.533566</v>
      </c>
      <c r="Y599" s="2">
        <v>44861</v>
      </c>
      <c r="Z599" t="s">
        <v>1008</v>
      </c>
    </row>
    <row r="600" spans="1:26">
      <c r="A600" s="1" t="s">
        <v>624</v>
      </c>
      <c r="B600">
        <f>HYPERLINK("https://www.suredividend.com/sure-analysis-SPH/","Suburban Propane Partners LP")</f>
        <v>0</v>
      </c>
      <c r="C600" t="s">
        <v>884</v>
      </c>
      <c r="D600">
        <v>16.65</v>
      </c>
      <c r="E600">
        <v>15.18</v>
      </c>
      <c r="F600">
        <v>16.25</v>
      </c>
      <c r="G600">
        <v>0.9341538461538461</v>
      </c>
      <c r="H600">
        <v>0.08563899868247694</v>
      </c>
      <c r="I600">
        <v>0.01371604087053968</v>
      </c>
      <c r="J600">
        <v>0.01</v>
      </c>
      <c r="K600">
        <v>0.09588058404095468</v>
      </c>
      <c r="L600" t="s">
        <v>572</v>
      </c>
      <c r="M600" t="s">
        <v>887</v>
      </c>
      <c r="N600">
        <v>4.67076923076923</v>
      </c>
      <c r="O600">
        <v>3.25</v>
      </c>
      <c r="P600">
        <v>1.3</v>
      </c>
      <c r="Q600">
        <v>0.4</v>
      </c>
      <c r="R600">
        <v>1</v>
      </c>
      <c r="S600">
        <v>0.02066642298936894</v>
      </c>
      <c r="T600" t="s">
        <v>932</v>
      </c>
      <c r="U600">
        <v>0.122025855378406</v>
      </c>
      <c r="V600" t="s">
        <v>988</v>
      </c>
      <c r="W600" t="s">
        <v>997</v>
      </c>
      <c r="X600">
        <v>963.713837</v>
      </c>
      <c r="Y600" s="2">
        <v>44892</v>
      </c>
      <c r="Z600" t="s">
        <v>1005</v>
      </c>
    </row>
    <row r="601" spans="1:26">
      <c r="A601" s="1" t="s">
        <v>625</v>
      </c>
      <c r="B601">
        <f>HYPERLINK("https://www.suredividend.com/sure-analysis-HMC/","Honda Motor")</f>
        <v>0</v>
      </c>
      <c r="C601" t="s">
        <v>884</v>
      </c>
      <c r="D601">
        <v>24</v>
      </c>
      <c r="E601">
        <v>22.86</v>
      </c>
      <c r="F601">
        <v>27</v>
      </c>
      <c r="G601">
        <v>0.8466666666666667</v>
      </c>
      <c r="H601">
        <v>0.03980752405949257</v>
      </c>
      <c r="I601">
        <v>0.03384994175588152</v>
      </c>
      <c r="J601">
        <v>0.029</v>
      </c>
      <c r="K601">
        <v>0.09575139715611836</v>
      </c>
      <c r="L601" t="s">
        <v>572</v>
      </c>
      <c r="M601" t="s">
        <v>573</v>
      </c>
      <c r="N601">
        <v>7.234177215189873</v>
      </c>
      <c r="O601">
        <v>3.16</v>
      </c>
      <c r="P601">
        <v>0.91</v>
      </c>
      <c r="Q601">
        <v>0.2879746835443038</v>
      </c>
      <c r="R601">
        <v>0</v>
      </c>
      <c r="S601">
        <v>0.02903366107118788</v>
      </c>
      <c r="T601" t="s">
        <v>978</v>
      </c>
      <c r="U601">
        <v>-0.160697436198686</v>
      </c>
      <c r="V601" t="s">
        <v>986</v>
      </c>
      <c r="W601" t="s">
        <v>992</v>
      </c>
      <c r="X601">
        <v>41409.25391</v>
      </c>
      <c r="Y601" s="2">
        <v>44880</v>
      </c>
      <c r="Z601" t="s">
        <v>1001</v>
      </c>
    </row>
    <row r="602" spans="1:26">
      <c r="A602" s="1" t="s">
        <v>626</v>
      </c>
      <c r="B602">
        <f>HYPERLINK("https://www.suredividend.com/sure-analysis-KMI/","Kinder Morgan Inc")</f>
        <v>0</v>
      </c>
      <c r="C602" t="s">
        <v>883</v>
      </c>
      <c r="D602">
        <v>17.5</v>
      </c>
      <c r="E602">
        <v>18.08</v>
      </c>
      <c r="F602">
        <v>18.9</v>
      </c>
      <c r="G602">
        <v>0.9566137566137566</v>
      </c>
      <c r="H602">
        <v>0.06139380530973453</v>
      </c>
      <c r="I602">
        <v>0.008910578359967891</v>
      </c>
      <c r="J602">
        <v>0.032</v>
      </c>
      <c r="K602">
        <v>0.09322135780552854</v>
      </c>
      <c r="L602" t="s">
        <v>572</v>
      </c>
      <c r="M602" t="s">
        <v>887</v>
      </c>
      <c r="N602">
        <v>8.144144144144143</v>
      </c>
      <c r="O602">
        <v>2.22</v>
      </c>
      <c r="P602">
        <v>1.11</v>
      </c>
      <c r="Q602">
        <v>0.5</v>
      </c>
      <c r="R602">
        <v>5</v>
      </c>
      <c r="S602">
        <v>0.03210545800579934</v>
      </c>
      <c r="T602" t="s">
        <v>926</v>
      </c>
      <c r="U602">
        <v>0.21686106381117</v>
      </c>
      <c r="V602" t="s">
        <v>986</v>
      </c>
      <c r="W602" t="s">
        <v>999</v>
      </c>
      <c r="X602">
        <v>40639.176644</v>
      </c>
      <c r="Y602" s="2">
        <v>44858</v>
      </c>
      <c r="Z602" t="s">
        <v>1009</v>
      </c>
    </row>
    <row r="603" spans="1:26">
      <c r="A603" s="1" t="s">
        <v>627</v>
      </c>
      <c r="B603">
        <f>HYPERLINK("https://www.suredividend.com/sure-analysis-E/","Eni Spa")</f>
        <v>0</v>
      </c>
      <c r="C603" t="s">
        <v>884</v>
      </c>
      <c r="D603">
        <v>27</v>
      </c>
      <c r="E603">
        <v>28.66</v>
      </c>
      <c r="F603">
        <v>75</v>
      </c>
      <c r="G603">
        <v>0.3821333333333333</v>
      </c>
      <c r="H603">
        <v>0.0628053035589672</v>
      </c>
      <c r="I603">
        <v>0.2121518132102704</v>
      </c>
      <c r="J603">
        <v>-0.14</v>
      </c>
      <c r="K603">
        <v>0.092954430861238</v>
      </c>
      <c r="L603" t="s">
        <v>572</v>
      </c>
      <c r="M603" t="s">
        <v>887</v>
      </c>
      <c r="N603">
        <v>4.776666666666666</v>
      </c>
      <c r="O603">
        <v>6</v>
      </c>
      <c r="P603">
        <v>1.8</v>
      </c>
      <c r="Q603">
        <v>0.3</v>
      </c>
      <c r="R603">
        <v>1</v>
      </c>
      <c r="S603">
        <v>0.01509302814089541</v>
      </c>
      <c r="T603" t="s">
        <v>906</v>
      </c>
      <c r="U603">
        <v>0.112841161921106</v>
      </c>
      <c r="V603" t="s">
        <v>986</v>
      </c>
      <c r="W603" t="s">
        <v>999</v>
      </c>
      <c r="X603">
        <v>51179.422725</v>
      </c>
      <c r="Y603" s="2">
        <v>44870</v>
      </c>
      <c r="Z603" t="s">
        <v>1003</v>
      </c>
    </row>
    <row r="604" spans="1:26">
      <c r="A604" s="1" t="s">
        <v>628</v>
      </c>
      <c r="B604">
        <f>HYPERLINK("https://www.suredividend.com/sure-analysis-HBAN/","Huntington Bancshares, Inc.")</f>
        <v>0</v>
      </c>
      <c r="C604" t="s">
        <v>884</v>
      </c>
      <c r="D604">
        <v>14</v>
      </c>
      <c r="E604">
        <v>14.1</v>
      </c>
      <c r="F604">
        <v>16</v>
      </c>
      <c r="G604">
        <v>0.88125</v>
      </c>
      <c r="H604">
        <v>0.04397163120567376</v>
      </c>
      <c r="I604">
        <v>0.02560510523091319</v>
      </c>
      <c r="J604">
        <v>0.03</v>
      </c>
      <c r="K604">
        <v>0.09247882427788023</v>
      </c>
      <c r="L604" t="s">
        <v>572</v>
      </c>
      <c r="M604" t="s">
        <v>573</v>
      </c>
      <c r="N604">
        <v>9.527027027027026</v>
      </c>
      <c r="O604">
        <v>1.48</v>
      </c>
      <c r="P604">
        <v>0.62</v>
      </c>
      <c r="Q604">
        <v>0.4189189189189189</v>
      </c>
      <c r="R604">
        <v>1</v>
      </c>
      <c r="S604">
        <v>0.03035803310185115</v>
      </c>
      <c r="T604" t="s">
        <v>904</v>
      </c>
      <c r="U604">
        <v>-0.044320484753183</v>
      </c>
      <c r="V604" t="s">
        <v>986</v>
      </c>
      <c r="W604" t="s">
        <v>994</v>
      </c>
      <c r="X604">
        <v>20342.552996</v>
      </c>
      <c r="Y604" s="2">
        <v>44858</v>
      </c>
      <c r="Z604" t="s">
        <v>1003</v>
      </c>
    </row>
    <row r="605" spans="1:26">
      <c r="A605" s="1" t="s">
        <v>629</v>
      </c>
      <c r="B605">
        <f>HYPERLINK("https://www.suredividend.com/sure-analysis-GLW/","Corning, Inc.")</f>
        <v>0</v>
      </c>
      <c r="C605" t="s">
        <v>884</v>
      </c>
      <c r="D605">
        <v>31</v>
      </c>
      <c r="E605">
        <v>31.94</v>
      </c>
      <c r="F605">
        <v>34</v>
      </c>
      <c r="G605">
        <v>0.9394117647058824</v>
      </c>
      <c r="H605">
        <v>0.03381340012523482</v>
      </c>
      <c r="I605">
        <v>0.01257873138278653</v>
      </c>
      <c r="J605">
        <v>0.05</v>
      </c>
      <c r="K605">
        <v>0.09242308047888104</v>
      </c>
      <c r="L605" t="s">
        <v>572</v>
      </c>
      <c r="M605" t="s">
        <v>572</v>
      </c>
      <c r="N605">
        <v>15.2822966507177</v>
      </c>
      <c r="O605">
        <v>2.09</v>
      </c>
      <c r="P605">
        <v>1.08</v>
      </c>
      <c r="Q605">
        <v>0.5167464114832536</v>
      </c>
      <c r="R605">
        <v>12</v>
      </c>
      <c r="S605">
        <v>0.05176377560965295</v>
      </c>
      <c r="T605" t="s">
        <v>894</v>
      </c>
      <c r="U605">
        <v>-0.115159473528197</v>
      </c>
      <c r="V605" t="s">
        <v>986</v>
      </c>
      <c r="W605" t="s">
        <v>993</v>
      </c>
      <c r="X605">
        <v>27015.215349</v>
      </c>
      <c r="Y605" s="2">
        <v>44861</v>
      </c>
      <c r="Z605" t="s">
        <v>1008</v>
      </c>
    </row>
    <row r="606" spans="1:26">
      <c r="A606" s="1" t="s">
        <v>630</v>
      </c>
      <c r="B606">
        <f>HYPERLINK("https://www.suredividend.com/sure-analysis-WRK/","WestRock Co")</f>
        <v>0</v>
      </c>
      <c r="C606" t="s">
        <v>884</v>
      </c>
      <c r="D606">
        <v>38</v>
      </c>
      <c r="E606">
        <v>35.16</v>
      </c>
      <c r="F606">
        <v>43</v>
      </c>
      <c r="G606">
        <v>0.8176744186046511</v>
      </c>
      <c r="H606">
        <v>0.03128555176336747</v>
      </c>
      <c r="I606">
        <v>0.0410795551588492</v>
      </c>
      <c r="J606">
        <v>0.02</v>
      </c>
      <c r="K606">
        <v>0.09143540798441463</v>
      </c>
      <c r="L606" t="s">
        <v>572</v>
      </c>
      <c r="M606" t="s">
        <v>572</v>
      </c>
      <c r="N606">
        <v>9.015384615384615</v>
      </c>
      <c r="O606">
        <v>3.9</v>
      </c>
      <c r="P606">
        <v>1.1</v>
      </c>
      <c r="Q606">
        <v>0.2820512820512821</v>
      </c>
      <c r="R606">
        <v>2</v>
      </c>
      <c r="S606">
        <v>0.08049924032577382</v>
      </c>
      <c r="T606" t="s">
        <v>890</v>
      </c>
      <c r="U606">
        <v>-0.185573816059205</v>
      </c>
      <c r="V606" t="s">
        <v>986</v>
      </c>
      <c r="W606" t="s">
        <v>992</v>
      </c>
      <c r="X606">
        <v>8948.854814</v>
      </c>
      <c r="Y606" s="2">
        <v>44889</v>
      </c>
      <c r="Z606" t="s">
        <v>1003</v>
      </c>
    </row>
    <row r="607" spans="1:26">
      <c r="A607" s="1" t="s">
        <v>631</v>
      </c>
      <c r="B607">
        <f>HYPERLINK("https://www.suredividend.com/sure-analysis-F/","Ford Motor Co.")</f>
        <v>0</v>
      </c>
      <c r="C607" t="s">
        <v>884</v>
      </c>
      <c r="D607">
        <v>13.5</v>
      </c>
      <c r="E607">
        <v>11.63</v>
      </c>
      <c r="F607">
        <v>15</v>
      </c>
      <c r="G607">
        <v>0.7753333333333334</v>
      </c>
      <c r="H607">
        <v>0.05159071367153912</v>
      </c>
      <c r="I607">
        <v>0.05220971879514913</v>
      </c>
      <c r="J607">
        <v>0</v>
      </c>
      <c r="K607">
        <v>0.09128593556487785</v>
      </c>
      <c r="L607" t="s">
        <v>572</v>
      </c>
      <c r="M607" t="s">
        <v>887</v>
      </c>
      <c r="N607">
        <v>5.815</v>
      </c>
      <c r="O607">
        <v>2</v>
      </c>
      <c r="P607">
        <v>0.6</v>
      </c>
      <c r="Q607">
        <v>0.3</v>
      </c>
      <c r="R607">
        <v>1</v>
      </c>
      <c r="S607">
        <v>0</v>
      </c>
      <c r="T607" t="s">
        <v>907</v>
      </c>
      <c r="U607">
        <v>-0.413328490645036</v>
      </c>
      <c r="V607" t="s">
        <v>986</v>
      </c>
      <c r="W607" t="s">
        <v>992</v>
      </c>
      <c r="X607">
        <v>45934.336727</v>
      </c>
      <c r="Y607" s="2">
        <v>44871</v>
      </c>
      <c r="Z607" t="s">
        <v>1005</v>
      </c>
    </row>
    <row r="608" spans="1:26">
      <c r="A608" s="1" t="s">
        <v>632</v>
      </c>
      <c r="B608">
        <f>HYPERLINK("https://www.suredividend.com/sure-analysis-CRI/","Carters Inc")</f>
        <v>0</v>
      </c>
      <c r="C608" t="s">
        <v>883</v>
      </c>
      <c r="D608">
        <v>70</v>
      </c>
      <c r="E608">
        <v>74.61</v>
      </c>
      <c r="F608">
        <v>79</v>
      </c>
      <c r="G608">
        <v>0.9444303797468354</v>
      </c>
      <c r="H608">
        <v>0.04020908725371934</v>
      </c>
      <c r="I608">
        <v>0.01150028683216431</v>
      </c>
      <c r="J608">
        <v>0.04</v>
      </c>
      <c r="K608">
        <v>0.08853723123449675</v>
      </c>
      <c r="L608" t="s">
        <v>572</v>
      </c>
      <c r="M608" t="s">
        <v>572</v>
      </c>
      <c r="N608">
        <v>11.33890577507599</v>
      </c>
      <c r="O608">
        <v>6.58</v>
      </c>
      <c r="P608">
        <v>3</v>
      </c>
      <c r="Q608">
        <v>0.4559270516717325</v>
      </c>
      <c r="R608">
        <v>2</v>
      </c>
      <c r="S608">
        <v>0.05975292415044642</v>
      </c>
      <c r="T608" t="s">
        <v>975</v>
      </c>
      <c r="U608">
        <v>-0.236581078343296</v>
      </c>
      <c r="V608" t="s">
        <v>986</v>
      </c>
      <c r="W608" t="s">
        <v>992</v>
      </c>
      <c r="X608">
        <v>2847.23623</v>
      </c>
      <c r="Y608" s="2">
        <v>44867</v>
      </c>
      <c r="Z608" t="s">
        <v>1006</v>
      </c>
    </row>
    <row r="609" spans="1:26">
      <c r="A609" s="1" t="s">
        <v>633</v>
      </c>
      <c r="B609">
        <f>HYPERLINK("https://www.suredividend.com/sure-analysis-MS/","Morgan Stanley")</f>
        <v>0</v>
      </c>
      <c r="C609" t="s">
        <v>883</v>
      </c>
      <c r="D609">
        <v>76</v>
      </c>
      <c r="E609">
        <v>85.02</v>
      </c>
      <c r="F609">
        <v>75</v>
      </c>
      <c r="G609">
        <v>1.1336</v>
      </c>
      <c r="H609">
        <v>0.03646200893907316</v>
      </c>
      <c r="I609">
        <v>-0.02476779940179763</v>
      </c>
      <c r="J609">
        <v>0.08</v>
      </c>
      <c r="K609">
        <v>0.08835153254539807</v>
      </c>
      <c r="L609" t="s">
        <v>572</v>
      </c>
      <c r="M609" t="s">
        <v>572</v>
      </c>
      <c r="N609">
        <v>13.08</v>
      </c>
      <c r="O609">
        <v>6.5</v>
      </c>
      <c r="P609">
        <v>3.1</v>
      </c>
      <c r="Q609">
        <v>0.4769230769230769</v>
      </c>
      <c r="R609">
        <v>9</v>
      </c>
      <c r="S609">
        <v>0.07976672700723597</v>
      </c>
      <c r="T609" t="s">
        <v>926</v>
      </c>
      <c r="U609">
        <v>-0.109192542028363</v>
      </c>
      <c r="V609" t="s">
        <v>986</v>
      </c>
      <c r="W609" t="s">
        <v>994</v>
      </c>
      <c r="X609">
        <v>143693.102803</v>
      </c>
      <c r="Y609" s="2">
        <v>44848</v>
      </c>
      <c r="Z609" t="s">
        <v>1011</v>
      </c>
    </row>
    <row r="610" spans="1:26">
      <c r="A610" s="1" t="s">
        <v>634</v>
      </c>
      <c r="B610">
        <f>HYPERLINK("https://www.suredividend.com/sure-analysis-WPP/","WPP Plc.")</f>
        <v>0</v>
      </c>
      <c r="C610" t="s">
        <v>884</v>
      </c>
      <c r="D610">
        <v>49</v>
      </c>
      <c r="E610">
        <v>49.16</v>
      </c>
      <c r="F610">
        <v>61</v>
      </c>
      <c r="G610">
        <v>0.8059016393442623</v>
      </c>
      <c r="H610">
        <v>0.0419039869812856</v>
      </c>
      <c r="I610">
        <v>0.04410359753749504</v>
      </c>
      <c r="J610">
        <v>0.01</v>
      </c>
      <c r="K610">
        <v>0.08824986024479875</v>
      </c>
      <c r="L610" t="s">
        <v>572</v>
      </c>
      <c r="M610" t="s">
        <v>573</v>
      </c>
      <c r="N610">
        <v>8.938181818181818</v>
      </c>
      <c r="O610">
        <v>5.5</v>
      </c>
      <c r="P610">
        <v>2.06</v>
      </c>
      <c r="Q610">
        <v>0.3745454545454546</v>
      </c>
      <c r="R610">
        <v>1</v>
      </c>
      <c r="S610">
        <v>0.01960446200218779</v>
      </c>
      <c r="T610" t="s">
        <v>912</v>
      </c>
      <c r="U610">
        <v>-0.32096446251768</v>
      </c>
      <c r="V610" t="s">
        <v>986</v>
      </c>
      <c r="W610" t="s">
        <v>995</v>
      </c>
      <c r="X610">
        <v>10529.45106</v>
      </c>
      <c r="Y610" s="2">
        <v>44898</v>
      </c>
      <c r="Z610" t="s">
        <v>1005</v>
      </c>
    </row>
    <row r="611" spans="1:26">
      <c r="A611" s="1" t="s">
        <v>635</v>
      </c>
      <c r="B611">
        <f>HYPERLINK("https://www.suredividend.com/sure-analysis-NSP/","Insperity Inc")</f>
        <v>0</v>
      </c>
      <c r="C611" t="s">
        <v>884</v>
      </c>
      <c r="D611">
        <v>116</v>
      </c>
      <c r="E611">
        <v>113.6</v>
      </c>
      <c r="F611">
        <v>109</v>
      </c>
      <c r="G611">
        <v>1.042201834862385</v>
      </c>
      <c r="H611">
        <v>0.01830985915492958</v>
      </c>
      <c r="I611">
        <v>-0.00823304611087583</v>
      </c>
      <c r="J611">
        <v>0.08</v>
      </c>
      <c r="K611">
        <v>0.08676792575744274</v>
      </c>
      <c r="L611" t="s">
        <v>572</v>
      </c>
      <c r="M611" t="s">
        <v>631</v>
      </c>
      <c r="N611">
        <v>22.85714285714286</v>
      </c>
      <c r="O611">
        <v>4.97</v>
      </c>
      <c r="P611">
        <v>2.08</v>
      </c>
      <c r="Q611">
        <v>0.4185110663983904</v>
      </c>
      <c r="R611">
        <v>15</v>
      </c>
      <c r="S611">
        <v>0.04963065931551602</v>
      </c>
      <c r="T611" t="s">
        <v>942</v>
      </c>
      <c r="U611">
        <v>-0.01345127916984</v>
      </c>
      <c r="V611" t="s">
        <v>986</v>
      </c>
      <c r="W611" t="s">
        <v>994</v>
      </c>
      <c r="X611">
        <v>4309.341138</v>
      </c>
      <c r="Y611" s="2">
        <v>44874</v>
      </c>
      <c r="Z611" t="s">
        <v>1008</v>
      </c>
    </row>
    <row r="612" spans="1:26">
      <c r="A612" s="1" t="s">
        <v>636</v>
      </c>
      <c r="B612">
        <f>HYPERLINK("https://www.suredividend.com/sure-analysis-DOC/","Physicians Realty Trust")</f>
        <v>0</v>
      </c>
      <c r="C612" t="s">
        <v>884</v>
      </c>
      <c r="D612">
        <v>14.38</v>
      </c>
      <c r="E612">
        <v>14.47</v>
      </c>
      <c r="F612">
        <v>15.9</v>
      </c>
      <c r="G612">
        <v>0.910062893081761</v>
      </c>
      <c r="H612">
        <v>0.06357982031789911</v>
      </c>
      <c r="I612">
        <v>0.01902706446542179</v>
      </c>
      <c r="J612">
        <v>0.017</v>
      </c>
      <c r="K612">
        <v>0.08639593363181719</v>
      </c>
      <c r="L612" t="s">
        <v>572</v>
      </c>
      <c r="M612" t="s">
        <v>887</v>
      </c>
      <c r="N612">
        <v>13.65094339622642</v>
      </c>
      <c r="O612">
        <v>1.06</v>
      </c>
      <c r="P612">
        <v>0.92</v>
      </c>
      <c r="Q612">
        <v>0.8679245283018868</v>
      </c>
      <c r="R612">
        <v>0</v>
      </c>
      <c r="S612">
        <v>0</v>
      </c>
      <c r="T612" t="s">
        <v>939</v>
      </c>
      <c r="U612">
        <v>-0.192125597391576</v>
      </c>
      <c r="V612" t="s">
        <v>987</v>
      </c>
      <c r="W612" t="s">
        <v>1000</v>
      </c>
      <c r="X612">
        <v>3302.934644</v>
      </c>
      <c r="Y612" s="2">
        <v>44873</v>
      </c>
      <c r="Z612" t="s">
        <v>1001</v>
      </c>
    </row>
    <row r="613" spans="1:26">
      <c r="A613" s="1" t="s">
        <v>637</v>
      </c>
      <c r="B613">
        <f>HYPERLINK("https://www.suredividend.com/sure-analysis-RL/","Ralph Lauren Corp")</f>
        <v>0</v>
      </c>
      <c r="C613" t="s">
        <v>883</v>
      </c>
      <c r="D613">
        <v>102</v>
      </c>
      <c r="E613">
        <v>105.67</v>
      </c>
      <c r="F613">
        <v>98</v>
      </c>
      <c r="G613">
        <v>1.078265306122449</v>
      </c>
      <c r="H613">
        <v>0.02839027160026497</v>
      </c>
      <c r="I613">
        <v>-0.01495771555065362</v>
      </c>
      <c r="J613">
        <v>0.08</v>
      </c>
      <c r="K613">
        <v>0.08639022107815464</v>
      </c>
      <c r="L613" t="s">
        <v>572</v>
      </c>
      <c r="M613" t="s">
        <v>572</v>
      </c>
      <c r="N613">
        <v>14.08933333333333</v>
      </c>
      <c r="O613">
        <v>7.5</v>
      </c>
      <c r="P613">
        <v>3</v>
      </c>
      <c r="Q613">
        <v>0.4</v>
      </c>
      <c r="R613">
        <v>2</v>
      </c>
      <c r="S613">
        <v>0.01986185326095491</v>
      </c>
      <c r="T613" t="s">
        <v>905</v>
      </c>
      <c r="U613">
        <v>-0.07685426318258501</v>
      </c>
      <c r="V613" t="s">
        <v>986</v>
      </c>
      <c r="W613" t="s">
        <v>992</v>
      </c>
      <c r="X613">
        <v>7162.3126</v>
      </c>
      <c r="Y613" s="2">
        <v>44881</v>
      </c>
      <c r="Z613" t="s">
        <v>1010</v>
      </c>
    </row>
    <row r="614" spans="1:26">
      <c r="A614" s="1" t="s">
        <v>638</v>
      </c>
      <c r="B614">
        <f>HYPERLINK("https://www.suredividend.com/sure-analysis-ARE/","Alexandria Real Estate Equities Inc.")</f>
        <v>0</v>
      </c>
      <c r="C614" t="s">
        <v>884</v>
      </c>
      <c r="D614">
        <v>140</v>
      </c>
      <c r="E614">
        <v>145.67</v>
      </c>
      <c r="F614">
        <v>151</v>
      </c>
      <c r="G614">
        <v>0.9647019867549668</v>
      </c>
      <c r="H614">
        <v>0.03240200453078877</v>
      </c>
      <c r="I614">
        <v>0.007213099449201232</v>
      </c>
      <c r="J614">
        <v>0.05</v>
      </c>
      <c r="K614">
        <v>0.08604265526032084</v>
      </c>
      <c r="L614" t="s">
        <v>572</v>
      </c>
      <c r="M614" t="s">
        <v>572</v>
      </c>
      <c r="N614">
        <v>17.32104637336504</v>
      </c>
      <c r="O614">
        <v>8.41</v>
      </c>
      <c r="P614">
        <v>4.72</v>
      </c>
      <c r="Q614">
        <v>0.5612366230677764</v>
      </c>
      <c r="R614">
        <v>12</v>
      </c>
      <c r="S614">
        <v>0.04985881365701572</v>
      </c>
      <c r="T614" t="s">
        <v>905</v>
      </c>
      <c r="U614">
        <v>-0.32685371695324</v>
      </c>
      <c r="V614" t="s">
        <v>987</v>
      </c>
      <c r="W614" t="s">
        <v>1000</v>
      </c>
      <c r="X614">
        <v>23902.593495</v>
      </c>
      <c r="Y614" s="2">
        <v>44861</v>
      </c>
      <c r="Z614" t="s">
        <v>1008</v>
      </c>
    </row>
    <row r="615" spans="1:26">
      <c r="A615" s="1" t="s">
        <v>639</v>
      </c>
      <c r="B615">
        <f>HYPERLINK("https://www.suredividend.com/sure-analysis-MCY/","Mercury General Corp.")</f>
        <v>0</v>
      </c>
      <c r="C615" t="s">
        <v>884</v>
      </c>
      <c r="D615">
        <v>36</v>
      </c>
      <c r="E615">
        <v>34.2</v>
      </c>
      <c r="F615">
        <v>42</v>
      </c>
      <c r="G615">
        <v>0.8142857142857144</v>
      </c>
      <c r="H615">
        <v>0.0371345029239766</v>
      </c>
      <c r="I615">
        <v>0.04194462074695648</v>
      </c>
      <c r="J615">
        <v>0.015</v>
      </c>
      <c r="K615">
        <v>0.08572006662699305</v>
      </c>
      <c r="L615" t="s">
        <v>572</v>
      </c>
      <c r="M615" t="s">
        <v>572</v>
      </c>
      <c r="N615">
        <v>11.4</v>
      </c>
      <c r="O615">
        <v>3</v>
      </c>
      <c r="P615">
        <v>1.27</v>
      </c>
      <c r="Q615">
        <v>0.4233333333333333</v>
      </c>
      <c r="R615">
        <v>0</v>
      </c>
      <c r="S615">
        <v>0</v>
      </c>
      <c r="T615" t="s">
        <v>901</v>
      </c>
      <c r="U615">
        <v>-0.324053229819925</v>
      </c>
      <c r="V615" t="s">
        <v>986</v>
      </c>
      <c r="W615" t="s">
        <v>994</v>
      </c>
      <c r="X615">
        <v>1893.692543</v>
      </c>
      <c r="Y615" s="2">
        <v>44888</v>
      </c>
      <c r="Z615" t="s">
        <v>1007</v>
      </c>
    </row>
    <row r="616" spans="1:26">
      <c r="A616" s="1" t="s">
        <v>640</v>
      </c>
      <c r="B616">
        <f>HYPERLINK("https://www.suredividend.com/sure-analysis-AVGO/","Broadcom Inc")</f>
        <v>0</v>
      </c>
      <c r="C616" t="s">
        <v>883</v>
      </c>
      <c r="D616">
        <v>445</v>
      </c>
      <c r="E616">
        <v>559.13</v>
      </c>
      <c r="F616">
        <v>524</v>
      </c>
      <c r="G616">
        <v>1.067041984732825</v>
      </c>
      <c r="H616">
        <v>0.03290826820238585</v>
      </c>
      <c r="I616">
        <v>-0.0128942120520309</v>
      </c>
      <c r="J616">
        <v>0.07000000000000001</v>
      </c>
      <c r="K616">
        <v>0.08569162498933247</v>
      </c>
      <c r="L616" t="s">
        <v>572</v>
      </c>
      <c r="M616" t="s">
        <v>572</v>
      </c>
      <c r="N616">
        <v>14.95</v>
      </c>
      <c r="O616">
        <v>37.4</v>
      </c>
      <c r="P616">
        <v>18.4</v>
      </c>
      <c r="Q616">
        <v>0.4919786096256684</v>
      </c>
      <c r="R616">
        <v>12</v>
      </c>
      <c r="S616">
        <v>0.05545529721804399</v>
      </c>
      <c r="T616" t="s">
        <v>936</v>
      </c>
      <c r="U616">
        <v>-0.139400946839042</v>
      </c>
      <c r="V616" t="s">
        <v>986</v>
      </c>
      <c r="W616" t="s">
        <v>993</v>
      </c>
      <c r="X616">
        <v>233652.677458</v>
      </c>
      <c r="Y616" s="2">
        <v>44858</v>
      </c>
      <c r="Z616" t="s">
        <v>1007</v>
      </c>
    </row>
    <row r="617" spans="1:26">
      <c r="A617" s="1" t="s">
        <v>641</v>
      </c>
      <c r="B617">
        <f>HYPERLINK("https://www.suredividend.com/sure-analysis-ET/","Energy Transfer LP")</f>
        <v>0</v>
      </c>
      <c r="C617" t="s">
        <v>884</v>
      </c>
      <c r="D617">
        <v>12</v>
      </c>
      <c r="E617">
        <v>11.87</v>
      </c>
      <c r="F617">
        <v>11</v>
      </c>
      <c r="G617">
        <v>1.079090909090909</v>
      </c>
      <c r="H617">
        <v>0.08930075821398485</v>
      </c>
      <c r="I617">
        <v>-0.01510849113905</v>
      </c>
      <c r="J617">
        <v>0.02</v>
      </c>
      <c r="K617">
        <v>0.08511594778795617</v>
      </c>
      <c r="L617" t="s">
        <v>572</v>
      </c>
      <c r="M617" t="s">
        <v>887</v>
      </c>
      <c r="N617">
        <v>5.160869565217391</v>
      </c>
      <c r="O617">
        <v>2.3</v>
      </c>
      <c r="P617">
        <v>1.06</v>
      </c>
      <c r="Q617">
        <v>0.4608695652173914</v>
      </c>
      <c r="R617">
        <v>1</v>
      </c>
      <c r="S617">
        <v>0.02512087219852699</v>
      </c>
      <c r="T617" t="s">
        <v>927</v>
      </c>
      <c r="U617">
        <v>0.570791483054772</v>
      </c>
      <c r="V617" t="s">
        <v>988</v>
      </c>
      <c r="W617" t="s">
        <v>999</v>
      </c>
      <c r="X617">
        <v>36660.199817</v>
      </c>
      <c r="Y617" s="2">
        <v>44870</v>
      </c>
      <c r="Z617" t="s">
        <v>1003</v>
      </c>
    </row>
    <row r="618" spans="1:26">
      <c r="A618" s="1" t="s">
        <v>642</v>
      </c>
      <c r="B618">
        <f>HYPERLINK("https://www.suredividend.com/sure-analysis-AEE/","Ameren Corp.")</f>
        <v>0</v>
      </c>
      <c r="C618" t="s">
        <v>883</v>
      </c>
      <c r="D618">
        <v>81</v>
      </c>
      <c r="E618">
        <v>88.92</v>
      </c>
      <c r="F618">
        <v>85</v>
      </c>
      <c r="G618">
        <v>1.046117647058824</v>
      </c>
      <c r="H618">
        <v>0.02654071075123706</v>
      </c>
      <c r="I618">
        <v>-0.008976633796701328</v>
      </c>
      <c r="J618">
        <v>0.07000000000000001</v>
      </c>
      <c r="K618">
        <v>0.08438007964405503</v>
      </c>
      <c r="L618" t="s">
        <v>572</v>
      </c>
      <c r="M618" t="s">
        <v>631</v>
      </c>
      <c r="N618">
        <v>21.95555555555556</v>
      </c>
      <c r="O618">
        <v>4.05</v>
      </c>
      <c r="P618">
        <v>2.36</v>
      </c>
      <c r="Q618">
        <v>0.582716049382716</v>
      </c>
      <c r="R618">
        <v>9</v>
      </c>
      <c r="S618">
        <v>0.0601199707922162</v>
      </c>
      <c r="T618" t="s">
        <v>915</v>
      </c>
      <c r="U618">
        <v>0.018340901412644</v>
      </c>
      <c r="V618" t="s">
        <v>986</v>
      </c>
      <c r="W618" t="s">
        <v>997</v>
      </c>
      <c r="X618">
        <v>22987.791267</v>
      </c>
      <c r="Y618" s="2">
        <v>44869</v>
      </c>
      <c r="Z618" t="s">
        <v>1004</v>
      </c>
    </row>
    <row r="619" spans="1:26">
      <c r="A619" s="1" t="s">
        <v>643</v>
      </c>
      <c r="B619">
        <f>HYPERLINK("https://www.suredividend.com/sure-analysis-DOW/","Dow Inc")</f>
        <v>0</v>
      </c>
      <c r="C619" t="s">
        <v>884</v>
      </c>
      <c r="D619">
        <v>47</v>
      </c>
      <c r="E619">
        <v>50.39</v>
      </c>
      <c r="F619">
        <v>70</v>
      </c>
      <c r="G619">
        <v>0.7198571428571429</v>
      </c>
      <c r="H619">
        <v>0.05556658067076801</v>
      </c>
      <c r="I619">
        <v>0.06794954815973497</v>
      </c>
      <c r="J619">
        <v>-0.03</v>
      </c>
      <c r="K619">
        <v>0.08020979366845671</v>
      </c>
      <c r="L619" t="s">
        <v>572</v>
      </c>
      <c r="M619" t="s">
        <v>573</v>
      </c>
      <c r="N619">
        <v>7.8734375</v>
      </c>
      <c r="O619">
        <v>6.4</v>
      </c>
      <c r="P619">
        <v>2.8</v>
      </c>
      <c r="Q619">
        <v>0.4374999999999999</v>
      </c>
      <c r="R619">
        <v>0</v>
      </c>
      <c r="S619">
        <v>0</v>
      </c>
      <c r="T619" t="s">
        <v>917</v>
      </c>
      <c r="U619">
        <v>-0.06744937503007301</v>
      </c>
      <c r="V619" t="s">
        <v>986</v>
      </c>
      <c r="W619" t="s">
        <v>990</v>
      </c>
      <c r="X619">
        <v>35462.429565</v>
      </c>
      <c r="Y619" s="2">
        <v>44859</v>
      </c>
      <c r="Z619" t="s">
        <v>1005</v>
      </c>
    </row>
    <row r="620" spans="1:26">
      <c r="A620" s="1" t="s">
        <v>644</v>
      </c>
      <c r="B620">
        <f>HYPERLINK("https://www.suredividend.com/sure-analysis-TAP/","Molson Coors Beverage Company")</f>
        <v>0</v>
      </c>
      <c r="C620" t="s">
        <v>884</v>
      </c>
      <c r="D620">
        <v>51</v>
      </c>
      <c r="E620">
        <v>51.52</v>
      </c>
      <c r="F620">
        <v>55</v>
      </c>
      <c r="G620">
        <v>0.9367272727272727</v>
      </c>
      <c r="H620">
        <v>0.02950310559006211</v>
      </c>
      <c r="I620">
        <v>0.01315844095059426</v>
      </c>
      <c r="J620">
        <v>0.04</v>
      </c>
      <c r="K620">
        <v>0.07937212587798559</v>
      </c>
      <c r="L620" t="s">
        <v>572</v>
      </c>
      <c r="M620" t="s">
        <v>572</v>
      </c>
      <c r="N620">
        <v>13.21025641025641</v>
      </c>
      <c r="O620">
        <v>3.9</v>
      </c>
      <c r="P620">
        <v>1.52</v>
      </c>
      <c r="Q620">
        <v>0.3897435897435897</v>
      </c>
      <c r="R620">
        <v>2</v>
      </c>
      <c r="S620">
        <v>0.04007732447526613</v>
      </c>
      <c r="T620" t="s">
        <v>889</v>
      </c>
      <c r="U620">
        <v>0.155156950672645</v>
      </c>
      <c r="V620" t="s">
        <v>986</v>
      </c>
      <c r="W620" t="s">
        <v>996</v>
      </c>
      <c r="X620">
        <v>780.276387</v>
      </c>
      <c r="Y620" s="2">
        <v>44874</v>
      </c>
      <c r="Z620" t="s">
        <v>1008</v>
      </c>
    </row>
    <row r="621" spans="1:26">
      <c r="A621" s="1" t="s">
        <v>645</v>
      </c>
      <c r="B621">
        <f>HYPERLINK("https://www.suredividend.com/sure-analysis-MAA/","Mid-America Apartment Communities, Inc.")</f>
        <v>0</v>
      </c>
      <c r="C621" t="s">
        <v>884</v>
      </c>
      <c r="D621">
        <v>157</v>
      </c>
      <c r="E621">
        <v>156.99</v>
      </c>
      <c r="F621">
        <v>156</v>
      </c>
      <c r="G621">
        <v>1.006346153846154</v>
      </c>
      <c r="H621">
        <v>0.03184916236702975</v>
      </c>
      <c r="I621">
        <v>-0.001264420306707814</v>
      </c>
      <c r="J621">
        <v>0.05</v>
      </c>
      <c r="K621">
        <v>0.07822294593905377</v>
      </c>
      <c r="L621" t="s">
        <v>572</v>
      </c>
      <c r="M621" t="s">
        <v>572</v>
      </c>
      <c r="N621">
        <v>18.68928571428571</v>
      </c>
      <c r="O621">
        <v>8.4</v>
      </c>
      <c r="P621">
        <v>5</v>
      </c>
      <c r="Q621">
        <v>0.5952380952380952</v>
      </c>
      <c r="R621">
        <v>11</v>
      </c>
      <c r="S621">
        <v>0.0577367579889172</v>
      </c>
      <c r="T621" t="s">
        <v>912</v>
      </c>
      <c r="U621">
        <v>-0.295956559995048</v>
      </c>
      <c r="V621" t="s">
        <v>987</v>
      </c>
      <c r="W621" t="s">
        <v>1000</v>
      </c>
      <c r="X621">
        <v>18128.737056</v>
      </c>
      <c r="Y621" s="2">
        <v>44865</v>
      </c>
      <c r="Z621" t="s">
        <v>1003</v>
      </c>
    </row>
    <row r="622" spans="1:26">
      <c r="A622" s="1" t="s">
        <v>646</v>
      </c>
      <c r="B622">
        <f>HYPERLINK("https://www.suredividend.com/sure-analysis-FITB/","Fifth Third Bancorp")</f>
        <v>0</v>
      </c>
      <c r="C622" t="s">
        <v>884</v>
      </c>
      <c r="D622">
        <v>31</v>
      </c>
      <c r="E622">
        <v>32.81</v>
      </c>
      <c r="F622">
        <v>35</v>
      </c>
      <c r="G622">
        <v>0.9374285714285715</v>
      </c>
      <c r="H622">
        <v>0.04023163669612922</v>
      </c>
      <c r="I622">
        <v>0.01300680498886853</v>
      </c>
      <c r="J622">
        <v>0.03</v>
      </c>
      <c r="K622">
        <v>0.07812756733540138</v>
      </c>
      <c r="L622" t="s">
        <v>572</v>
      </c>
      <c r="M622" t="s">
        <v>573</v>
      </c>
      <c r="N622">
        <v>9.294617563739378</v>
      </c>
      <c r="O622">
        <v>3.53</v>
      </c>
      <c r="P622">
        <v>1.32</v>
      </c>
      <c r="Q622">
        <v>0.3739376770538244</v>
      </c>
      <c r="R622">
        <v>12</v>
      </c>
      <c r="S622">
        <v>0.02996744995959233</v>
      </c>
      <c r="T622" t="s">
        <v>905</v>
      </c>
      <c r="U622">
        <v>-0.22028170620709</v>
      </c>
      <c r="V622" t="s">
        <v>986</v>
      </c>
      <c r="W622" t="s">
        <v>994</v>
      </c>
      <c r="X622">
        <v>22520.658206</v>
      </c>
      <c r="Y622" s="2">
        <v>44856</v>
      </c>
      <c r="Z622" t="s">
        <v>1001</v>
      </c>
    </row>
    <row r="623" spans="1:26">
      <c r="A623" s="1" t="s">
        <v>647</v>
      </c>
      <c r="B623">
        <f>HYPERLINK("https://www.suredividend.com/sure-analysis-CPT/","Camden Property Trust")</f>
        <v>0</v>
      </c>
      <c r="C623" t="s">
        <v>884</v>
      </c>
      <c r="D623">
        <v>113</v>
      </c>
      <c r="E623">
        <v>111.88</v>
      </c>
      <c r="F623">
        <v>115</v>
      </c>
      <c r="G623">
        <v>0.9728695652173913</v>
      </c>
      <c r="H623">
        <v>0.03360743653914909</v>
      </c>
      <c r="I623">
        <v>0.005516210575764235</v>
      </c>
      <c r="J623">
        <v>0.04</v>
      </c>
      <c r="K623">
        <v>0.07561999094849736</v>
      </c>
      <c r="L623" t="s">
        <v>572</v>
      </c>
      <c r="M623" t="s">
        <v>572</v>
      </c>
      <c r="N623">
        <v>16.97723823975721</v>
      </c>
      <c r="O623">
        <v>6.59</v>
      </c>
      <c r="P623">
        <v>3.76</v>
      </c>
      <c r="Q623">
        <v>0.5705614567526556</v>
      </c>
      <c r="R623">
        <v>11</v>
      </c>
      <c r="S623">
        <v>0.03979008298950393</v>
      </c>
      <c r="T623" t="s">
        <v>888</v>
      </c>
      <c r="U623">
        <v>-0.353992709610253</v>
      </c>
      <c r="V623" t="s">
        <v>987</v>
      </c>
      <c r="W623" t="s">
        <v>1000</v>
      </c>
      <c r="X623">
        <v>11918.356556</v>
      </c>
      <c r="Y623" s="2">
        <v>44862</v>
      </c>
      <c r="Z623" t="s">
        <v>1011</v>
      </c>
    </row>
    <row r="624" spans="1:26">
      <c r="A624" s="1" t="s">
        <v>648</v>
      </c>
      <c r="B624">
        <f>HYPERLINK("https://www.suredividend.com/sure-analysis-REG/","Regency Centers Corporation")</f>
        <v>0</v>
      </c>
      <c r="C624" t="s">
        <v>884</v>
      </c>
      <c r="D624">
        <v>62</v>
      </c>
      <c r="E624">
        <v>62.5</v>
      </c>
      <c r="F624">
        <v>62</v>
      </c>
      <c r="G624">
        <v>1.008064516129032</v>
      </c>
      <c r="H624">
        <v>0.0416</v>
      </c>
      <c r="I624">
        <v>-0.00160514471446771</v>
      </c>
      <c r="J624">
        <v>0.04</v>
      </c>
      <c r="K624">
        <v>0.07533961677859624</v>
      </c>
      <c r="L624" t="s">
        <v>572</v>
      </c>
      <c r="M624" t="s">
        <v>572</v>
      </c>
      <c r="N624">
        <v>15.54726368159204</v>
      </c>
      <c r="O624">
        <v>4.02</v>
      </c>
      <c r="P624">
        <v>2.6</v>
      </c>
      <c r="Q624">
        <v>0.6467661691542289</v>
      </c>
      <c r="R624">
        <v>10</v>
      </c>
      <c r="S624">
        <v>0.03513507885904987</v>
      </c>
      <c r="T624" t="s">
        <v>888</v>
      </c>
      <c r="U624">
        <v>-0.129477965346258</v>
      </c>
      <c r="V624" t="s">
        <v>987</v>
      </c>
      <c r="W624" t="s">
        <v>1000</v>
      </c>
      <c r="X624">
        <v>10695.17</v>
      </c>
      <c r="Y624" s="2">
        <v>44875</v>
      </c>
      <c r="Z624" t="s">
        <v>1011</v>
      </c>
    </row>
    <row r="625" spans="1:26">
      <c r="A625" s="1" t="s">
        <v>649</v>
      </c>
      <c r="B625">
        <f>HYPERLINK("https://www.suredividend.com/sure-analysis-NGG/","National Grid Plc")</f>
        <v>0</v>
      </c>
      <c r="C625" t="s">
        <v>884</v>
      </c>
      <c r="D625">
        <v>61</v>
      </c>
      <c r="E625">
        <v>60.32</v>
      </c>
      <c r="F625">
        <v>56</v>
      </c>
      <c r="G625">
        <v>1.077142857142857</v>
      </c>
      <c r="H625">
        <v>0.05387931034482758</v>
      </c>
      <c r="I625">
        <v>-0.01475250616333201</v>
      </c>
      <c r="J625">
        <v>0.04</v>
      </c>
      <c r="K625">
        <v>0.07457963947866197</v>
      </c>
      <c r="L625" t="s">
        <v>572</v>
      </c>
      <c r="M625" t="s">
        <v>887</v>
      </c>
      <c r="N625">
        <v>16.04255319148936</v>
      </c>
      <c r="O625">
        <v>3.76</v>
      </c>
      <c r="P625">
        <v>3.25</v>
      </c>
      <c r="Q625">
        <v>0.8643617021276596</v>
      </c>
      <c r="R625">
        <v>0</v>
      </c>
      <c r="S625">
        <v>0.03978308212039239</v>
      </c>
      <c r="T625" t="s">
        <v>899</v>
      </c>
      <c r="U625">
        <v>-0.13445381768716</v>
      </c>
      <c r="V625" t="s">
        <v>986</v>
      </c>
      <c r="W625" t="s">
        <v>997</v>
      </c>
      <c r="X625">
        <v>44157.874039</v>
      </c>
      <c r="Y625" s="2">
        <v>44921</v>
      </c>
      <c r="Z625" t="s">
        <v>1015</v>
      </c>
    </row>
    <row r="626" spans="1:26">
      <c r="A626" s="1" t="s">
        <v>650</v>
      </c>
      <c r="B626">
        <f>HYPERLINK("https://www.suredividend.com/sure-analysis-BRX/","Brixmor Property Group Inc")</f>
        <v>0</v>
      </c>
      <c r="C626" t="s">
        <v>884</v>
      </c>
      <c r="D626">
        <v>22</v>
      </c>
      <c r="E626">
        <v>22.67</v>
      </c>
      <c r="F626">
        <v>23</v>
      </c>
      <c r="G626">
        <v>0.9856521739130436</v>
      </c>
      <c r="H626">
        <v>0.0458756065284517</v>
      </c>
      <c r="I626">
        <v>0.002894531371619324</v>
      </c>
      <c r="J626">
        <v>0.03</v>
      </c>
      <c r="K626">
        <v>0.07379031981683348</v>
      </c>
      <c r="L626" t="s">
        <v>572</v>
      </c>
      <c r="M626" t="s">
        <v>572</v>
      </c>
      <c r="N626">
        <v>11.68556701030928</v>
      </c>
      <c r="O626">
        <v>1.94</v>
      </c>
      <c r="P626">
        <v>1.04</v>
      </c>
      <c r="Q626">
        <v>0.5360824742268041</v>
      </c>
      <c r="R626">
        <v>1</v>
      </c>
      <c r="S626">
        <v>0.03074302873787649</v>
      </c>
      <c r="T626" t="s">
        <v>939</v>
      </c>
      <c r="U626">
        <v>-0.06422078940633501</v>
      </c>
      <c r="V626" t="s">
        <v>987</v>
      </c>
      <c r="W626" t="s">
        <v>1000</v>
      </c>
      <c r="X626">
        <v>6799.030884</v>
      </c>
      <c r="Y626" s="2">
        <v>44882</v>
      </c>
      <c r="Z626" t="s">
        <v>1014</v>
      </c>
    </row>
    <row r="627" spans="1:26">
      <c r="A627" s="1" t="s">
        <v>651</v>
      </c>
      <c r="B627">
        <f>HYPERLINK("https://www.suredividend.com/sure-analysis-WMB/","Williams Cos Inc")</f>
        <v>0</v>
      </c>
      <c r="C627" t="s">
        <v>884</v>
      </c>
      <c r="D627">
        <v>33</v>
      </c>
      <c r="E627">
        <v>32.9</v>
      </c>
      <c r="F627">
        <v>30</v>
      </c>
      <c r="G627">
        <v>1.096666666666667</v>
      </c>
      <c r="H627">
        <v>0.05167173252279635</v>
      </c>
      <c r="I627">
        <v>-0.01828580347295605</v>
      </c>
      <c r="J627">
        <v>0.04</v>
      </c>
      <c r="K627">
        <v>0.06970539500207562</v>
      </c>
      <c r="L627" t="s">
        <v>572</v>
      </c>
      <c r="M627" t="s">
        <v>573</v>
      </c>
      <c r="N627">
        <v>8.329113924050633</v>
      </c>
      <c r="O627">
        <v>3.95</v>
      </c>
      <c r="P627">
        <v>1.7</v>
      </c>
      <c r="Q627">
        <v>0.430379746835443</v>
      </c>
      <c r="R627">
        <v>5</v>
      </c>
      <c r="S627">
        <v>0.04016990629073547</v>
      </c>
      <c r="T627" t="s">
        <v>920</v>
      </c>
      <c r="U627">
        <v>0.33446363890793</v>
      </c>
      <c r="V627" t="s">
        <v>986</v>
      </c>
      <c r="W627" t="s">
        <v>999</v>
      </c>
      <c r="X627">
        <v>40083.380341</v>
      </c>
      <c r="Y627" s="2">
        <v>44867</v>
      </c>
      <c r="Z627" t="s">
        <v>1003</v>
      </c>
    </row>
    <row r="628" spans="1:26">
      <c r="A628" s="1" t="s">
        <v>652</v>
      </c>
      <c r="B628">
        <f>HYPERLINK("https://www.suredividend.com/sure-analysis-SBS/","Companhia de Saneamento Basico do Estado de Sao Paulo.")</f>
        <v>0</v>
      </c>
      <c r="C628" t="s">
        <v>884</v>
      </c>
      <c r="D628">
        <v>11.12</v>
      </c>
      <c r="E628">
        <v>10.66</v>
      </c>
      <c r="F628">
        <v>10.56</v>
      </c>
      <c r="G628">
        <v>1.009469696969697</v>
      </c>
      <c r="H628">
        <v>0.02345215759849906</v>
      </c>
      <c r="I628">
        <v>-0.001883252542291824</v>
      </c>
      <c r="J628">
        <v>0.05</v>
      </c>
      <c r="K628">
        <v>0.06930021764250616</v>
      </c>
      <c r="L628" t="s">
        <v>572</v>
      </c>
      <c r="M628" t="s">
        <v>572</v>
      </c>
      <c r="N628">
        <v>12.11363636363636</v>
      </c>
      <c r="O628">
        <v>0.88</v>
      </c>
      <c r="P628">
        <v>0.25</v>
      </c>
      <c r="Q628">
        <v>0.2840909090909091</v>
      </c>
      <c r="R628">
        <v>1</v>
      </c>
      <c r="S628">
        <v>0.04396114979019283</v>
      </c>
      <c r="T628" t="s">
        <v>957</v>
      </c>
      <c r="U628">
        <v>0.5026147752420961</v>
      </c>
      <c r="V628" t="s">
        <v>986</v>
      </c>
      <c r="W628" t="s">
        <v>997</v>
      </c>
      <c r="X628">
        <v>7286.215204</v>
      </c>
      <c r="Y628" s="2">
        <v>44887</v>
      </c>
      <c r="Z628" t="s">
        <v>1011</v>
      </c>
    </row>
    <row r="629" spans="1:26">
      <c r="A629" s="1" t="s">
        <v>653</v>
      </c>
      <c r="B629">
        <f>HYPERLINK("https://www.suredividend.com/sure-analysis-DD/","DuPont de Nemours Inc")</f>
        <v>0</v>
      </c>
      <c r="C629" t="s">
        <v>884</v>
      </c>
      <c r="D629">
        <v>69</v>
      </c>
      <c r="E629">
        <v>68.63</v>
      </c>
      <c r="F629">
        <v>57</v>
      </c>
      <c r="G629">
        <v>1.204035087719298</v>
      </c>
      <c r="H629">
        <v>0.01923357132449366</v>
      </c>
      <c r="I629">
        <v>-0.0364546245268843</v>
      </c>
      <c r="J629">
        <v>0.09</v>
      </c>
      <c r="K629">
        <v>0.06853247544796415</v>
      </c>
      <c r="L629" t="s">
        <v>572</v>
      </c>
      <c r="M629" t="s">
        <v>631</v>
      </c>
      <c r="N629">
        <v>20.4865671641791</v>
      </c>
      <c r="O629">
        <v>3.35</v>
      </c>
      <c r="P629">
        <v>1.32</v>
      </c>
      <c r="Q629">
        <v>0.3940298507462687</v>
      </c>
      <c r="R629">
        <v>1</v>
      </c>
      <c r="S629">
        <v>0.06042477819475911</v>
      </c>
      <c r="T629" t="s">
        <v>917</v>
      </c>
      <c r="U629">
        <v>-0.126542518530585</v>
      </c>
      <c r="V629" t="s">
        <v>986</v>
      </c>
      <c r="W629" t="s">
        <v>990</v>
      </c>
      <c r="X629">
        <v>34094.625501</v>
      </c>
      <c r="Y629" s="2">
        <v>44885</v>
      </c>
      <c r="Z629" t="s">
        <v>1005</v>
      </c>
    </row>
    <row r="630" spans="1:26">
      <c r="A630" s="1" t="s">
        <v>654</v>
      </c>
      <c r="B630">
        <f>HYPERLINK("https://www.suredividend.com/sure-analysis-SKT/","Tanger Factory Outlet Centers, Inc.")</f>
        <v>0</v>
      </c>
      <c r="C630" t="s">
        <v>884</v>
      </c>
      <c r="D630">
        <v>19</v>
      </c>
      <c r="E630">
        <v>17.94</v>
      </c>
      <c r="F630">
        <v>19</v>
      </c>
      <c r="G630">
        <v>0.9442105263157895</v>
      </c>
      <c r="H630">
        <v>0.04905239687848383</v>
      </c>
      <c r="I630">
        <v>0.01154738673058375</v>
      </c>
      <c r="J630">
        <v>0.015</v>
      </c>
      <c r="K630">
        <v>0.06851522896479056</v>
      </c>
      <c r="L630" t="s">
        <v>572</v>
      </c>
      <c r="M630" t="s">
        <v>573</v>
      </c>
      <c r="N630">
        <v>9.966666666666667</v>
      </c>
      <c r="O630">
        <v>1.8</v>
      </c>
      <c r="P630">
        <v>0.88</v>
      </c>
      <c r="Q630">
        <v>0.4888888888888889</v>
      </c>
      <c r="R630">
        <v>2</v>
      </c>
      <c r="S630">
        <v>0.008929989071996269</v>
      </c>
      <c r="T630" t="s">
        <v>926</v>
      </c>
      <c r="U630">
        <v>-0.026629337847516</v>
      </c>
      <c r="V630" t="s">
        <v>987</v>
      </c>
      <c r="W630" t="s">
        <v>1000</v>
      </c>
      <c r="X630">
        <v>1871.983888</v>
      </c>
      <c r="Y630" s="2">
        <v>44874</v>
      </c>
      <c r="Z630" t="s">
        <v>1008</v>
      </c>
    </row>
    <row r="631" spans="1:26">
      <c r="A631" s="1" t="s">
        <v>655</v>
      </c>
      <c r="B631">
        <f>HYPERLINK("https://www.suredividend.com/sure-analysis-HP/","Helmerich &amp; Payne, Inc.")</f>
        <v>0</v>
      </c>
      <c r="C631" t="s">
        <v>885</v>
      </c>
      <c r="D631">
        <v>52</v>
      </c>
      <c r="E631">
        <v>49.57</v>
      </c>
      <c r="F631">
        <v>64</v>
      </c>
      <c r="G631">
        <v>0.77453125</v>
      </c>
      <c r="H631">
        <v>0.02017349203147065</v>
      </c>
      <c r="I631">
        <v>0.05242755648807362</v>
      </c>
      <c r="J631">
        <v>0</v>
      </c>
      <c r="K631">
        <v>0.06838070087372961</v>
      </c>
      <c r="L631" t="s">
        <v>572</v>
      </c>
      <c r="M631" t="s">
        <v>631</v>
      </c>
      <c r="N631">
        <v>12.3925</v>
      </c>
      <c r="O631">
        <v>4</v>
      </c>
      <c r="P631">
        <v>1</v>
      </c>
      <c r="Q631">
        <v>0.25</v>
      </c>
      <c r="R631">
        <v>0</v>
      </c>
      <c r="S631">
        <v>0</v>
      </c>
      <c r="T631" t="s">
        <v>907</v>
      </c>
      <c r="U631">
        <v>1.113129366828515</v>
      </c>
      <c r="V631" t="s">
        <v>986</v>
      </c>
      <c r="W631" t="s">
        <v>999</v>
      </c>
      <c r="X631">
        <v>5224.395352</v>
      </c>
      <c r="Y631" s="2">
        <v>44889</v>
      </c>
      <c r="Z631" t="s">
        <v>1003</v>
      </c>
    </row>
    <row r="632" spans="1:26">
      <c r="A632" s="1" t="s">
        <v>656</v>
      </c>
      <c r="B632">
        <f>HYPERLINK("https://www.suredividend.com/sure-analysis-JJSF/","J&amp;J Snack Foods Corp.")</f>
        <v>0</v>
      </c>
      <c r="C632" t="s">
        <v>884</v>
      </c>
      <c r="D632">
        <v>152</v>
      </c>
      <c r="E632">
        <v>149.71</v>
      </c>
      <c r="F632">
        <v>137</v>
      </c>
      <c r="G632">
        <v>1.092773722627737</v>
      </c>
      <c r="H632">
        <v>0.01870282546256095</v>
      </c>
      <c r="I632">
        <v>-0.01758733789984579</v>
      </c>
      <c r="J632">
        <v>0.07000000000000001</v>
      </c>
      <c r="K632">
        <v>0.06790816553290546</v>
      </c>
      <c r="L632" t="s">
        <v>572</v>
      </c>
      <c r="M632" t="s">
        <v>631</v>
      </c>
      <c r="N632">
        <v>32.9032967032967</v>
      </c>
      <c r="O632">
        <v>4.55</v>
      </c>
      <c r="P632">
        <v>2.8</v>
      </c>
      <c r="Q632">
        <v>0.6153846153846154</v>
      </c>
      <c r="R632">
        <v>19</v>
      </c>
      <c r="S632">
        <v>0.04020579649530265</v>
      </c>
      <c r="T632" t="s">
        <v>904</v>
      </c>
      <c r="U632">
        <v>-0.036275340338806</v>
      </c>
      <c r="V632" t="s">
        <v>986</v>
      </c>
      <c r="W632" t="s">
        <v>996</v>
      </c>
      <c r="X632">
        <v>2877.58085</v>
      </c>
      <c r="Y632" s="2">
        <v>44885</v>
      </c>
      <c r="Z632" t="s">
        <v>1002</v>
      </c>
    </row>
    <row r="633" spans="1:26">
      <c r="A633" s="1" t="s">
        <v>657</v>
      </c>
      <c r="B633">
        <f>HYPERLINK("https://www.suredividend.com/sure-analysis-PLD/","Prologis Inc")</f>
        <v>0</v>
      </c>
      <c r="C633" t="s">
        <v>884</v>
      </c>
      <c r="D633">
        <v>102</v>
      </c>
      <c r="E633">
        <v>112.73</v>
      </c>
      <c r="F633">
        <v>92</v>
      </c>
      <c r="G633">
        <v>1.225326086956522</v>
      </c>
      <c r="H633">
        <v>0.02803157988113191</v>
      </c>
      <c r="I633">
        <v>-0.03982661399020027</v>
      </c>
      <c r="J633">
        <v>0.08</v>
      </c>
      <c r="K633">
        <v>0.06602060953948041</v>
      </c>
      <c r="L633" t="s">
        <v>572</v>
      </c>
      <c r="M633" t="s">
        <v>631</v>
      </c>
      <c r="N633">
        <v>21.97465886939571</v>
      </c>
      <c r="O633">
        <v>5.13</v>
      </c>
      <c r="P633">
        <v>3.16</v>
      </c>
      <c r="Q633">
        <v>0.6159844054580897</v>
      </c>
      <c r="R633">
        <v>9</v>
      </c>
      <c r="S633">
        <v>0.07985683020954282</v>
      </c>
      <c r="T633" t="s">
        <v>904</v>
      </c>
      <c r="U633">
        <v>-0.311666258579747</v>
      </c>
      <c r="V633" t="s">
        <v>987</v>
      </c>
      <c r="W633" t="s">
        <v>1000</v>
      </c>
      <c r="X633">
        <v>104058.647985</v>
      </c>
      <c r="Y633" s="2">
        <v>44853</v>
      </c>
      <c r="Z633" t="s">
        <v>1011</v>
      </c>
    </row>
    <row r="634" spans="1:26">
      <c r="A634" s="1" t="s">
        <v>658</v>
      </c>
      <c r="B634">
        <f>HYPERLINK("https://www.suredividend.com/sure-analysis-DLB/","Dolby Laboratories Inc")</f>
        <v>0</v>
      </c>
      <c r="C634" t="s">
        <v>884</v>
      </c>
      <c r="D634">
        <v>69</v>
      </c>
      <c r="E634">
        <v>70.54000000000001</v>
      </c>
      <c r="F634">
        <v>71</v>
      </c>
      <c r="G634">
        <v>0.9935211267605635</v>
      </c>
      <c r="H634">
        <v>0.01531046214913524</v>
      </c>
      <c r="I634">
        <v>0.00130083580054019</v>
      </c>
      <c r="J634">
        <v>0.05</v>
      </c>
      <c r="K634">
        <v>0.065960370635058</v>
      </c>
      <c r="L634" t="s">
        <v>572</v>
      </c>
      <c r="M634" t="s">
        <v>631</v>
      </c>
      <c r="N634">
        <v>22.3936507936508</v>
      </c>
      <c r="O634">
        <v>3.15</v>
      </c>
      <c r="P634">
        <v>1.08</v>
      </c>
      <c r="Q634">
        <v>0.3428571428571429</v>
      </c>
      <c r="R634">
        <v>8</v>
      </c>
      <c r="S634">
        <v>0.06069091570555463</v>
      </c>
      <c r="T634" t="s">
        <v>917</v>
      </c>
      <c r="U634">
        <v>-0.251951511526669</v>
      </c>
      <c r="V634" t="s">
        <v>986</v>
      </c>
      <c r="W634" t="s">
        <v>992</v>
      </c>
      <c r="X634">
        <v>4233.215725</v>
      </c>
      <c r="Y634" s="2">
        <v>44883</v>
      </c>
      <c r="Z634" t="s">
        <v>1017</v>
      </c>
    </row>
    <row r="635" spans="1:26">
      <c r="A635" s="1" t="s">
        <v>659</v>
      </c>
      <c r="B635">
        <f>HYPERLINK("https://www.suredividend.com/sure-analysis-JNPR/","Juniper Networks Inc")</f>
        <v>0</v>
      </c>
      <c r="C635" t="s">
        <v>884</v>
      </c>
      <c r="D635">
        <v>31</v>
      </c>
      <c r="E635">
        <v>31.96</v>
      </c>
      <c r="F635">
        <v>29</v>
      </c>
      <c r="G635">
        <v>1.102068965517241</v>
      </c>
      <c r="H635">
        <v>0.0262828535669587</v>
      </c>
      <c r="I635">
        <v>-0.01925016112725209</v>
      </c>
      <c r="J635">
        <v>0.06</v>
      </c>
      <c r="K635">
        <v>0.06445624042629206</v>
      </c>
      <c r="L635" t="s">
        <v>572</v>
      </c>
      <c r="M635" t="s">
        <v>572</v>
      </c>
      <c r="N635">
        <v>16.38974358974359</v>
      </c>
      <c r="O635">
        <v>1.95</v>
      </c>
      <c r="P635">
        <v>0.84</v>
      </c>
      <c r="Q635">
        <v>0.4307692307692307</v>
      </c>
      <c r="R635">
        <v>3</v>
      </c>
      <c r="S635">
        <v>0.04959293402845044</v>
      </c>
      <c r="T635" t="s">
        <v>891</v>
      </c>
      <c r="U635">
        <v>-0.078383537784544</v>
      </c>
      <c r="V635" t="s">
        <v>986</v>
      </c>
      <c r="W635" t="s">
        <v>993</v>
      </c>
      <c r="X635">
        <v>10372.794515</v>
      </c>
      <c r="Y635" s="2">
        <v>44867</v>
      </c>
      <c r="Z635" t="s">
        <v>1008</v>
      </c>
    </row>
    <row r="636" spans="1:26">
      <c r="A636" s="1" t="s">
        <v>660</v>
      </c>
      <c r="B636">
        <f>HYPERLINK("https://www.suredividend.com/sure-analysis-ROST/","Ross Stores, Inc.")</f>
        <v>0</v>
      </c>
      <c r="C636" t="s">
        <v>884</v>
      </c>
      <c r="D636">
        <v>108</v>
      </c>
      <c r="E636">
        <v>116.07</v>
      </c>
      <c r="F636">
        <v>81</v>
      </c>
      <c r="G636">
        <v>1.432962962962963</v>
      </c>
      <c r="H636">
        <v>0.01068320840871888</v>
      </c>
      <c r="I636">
        <v>-0.06942151612597169</v>
      </c>
      <c r="J636">
        <v>0.13</v>
      </c>
      <c r="K636">
        <v>0.0644464879895208</v>
      </c>
      <c r="L636" t="s">
        <v>572</v>
      </c>
      <c r="M636" t="s">
        <v>631</v>
      </c>
      <c r="N636">
        <v>26.99302325581395</v>
      </c>
      <c r="O636">
        <v>4.3</v>
      </c>
      <c r="P636">
        <v>1.24</v>
      </c>
      <c r="Q636">
        <v>0.2883720930232558</v>
      </c>
      <c r="R636">
        <v>2</v>
      </c>
      <c r="S636">
        <v>0.1411898789591177</v>
      </c>
      <c r="T636" t="s">
        <v>942</v>
      </c>
      <c r="U636">
        <v>0.029465763411791</v>
      </c>
      <c r="V636" t="s">
        <v>986</v>
      </c>
      <c r="W636" t="s">
        <v>992</v>
      </c>
      <c r="X636">
        <v>39971.143015</v>
      </c>
      <c r="Y636" s="2">
        <v>44886</v>
      </c>
      <c r="Z636" t="s">
        <v>1003</v>
      </c>
    </row>
    <row r="637" spans="1:26">
      <c r="A637" s="1" t="s">
        <v>661</v>
      </c>
      <c r="B637">
        <f>HYPERLINK("https://www.suredividend.com/sure-analysis-IMBBY/","Imperial Brands Plc")</f>
        <v>0</v>
      </c>
      <c r="C637" t="s">
        <v>884</v>
      </c>
      <c r="D637">
        <v>25</v>
      </c>
      <c r="E637">
        <v>25</v>
      </c>
      <c r="F637">
        <v>22</v>
      </c>
      <c r="G637">
        <v>1.136363636363636</v>
      </c>
      <c r="H637">
        <v>0.0684</v>
      </c>
      <c r="I637">
        <v>-0.02524261446920795</v>
      </c>
      <c r="J637">
        <v>0.03</v>
      </c>
      <c r="K637">
        <v>0.06376500766668181</v>
      </c>
      <c r="L637" t="s">
        <v>572</v>
      </c>
      <c r="M637" t="s">
        <v>573</v>
      </c>
      <c r="N637">
        <v>7.530120481927711</v>
      </c>
      <c r="O637">
        <v>3.32</v>
      </c>
      <c r="P637">
        <v>1.71</v>
      </c>
      <c r="Q637">
        <v>0.5150602409638554</v>
      </c>
      <c r="R637">
        <v>0</v>
      </c>
      <c r="S637">
        <v>0</v>
      </c>
      <c r="T637" t="s">
        <v>899</v>
      </c>
      <c r="U637">
        <v>0.220911776915</v>
      </c>
      <c r="V637" t="s">
        <v>986</v>
      </c>
      <c r="W637" t="s">
        <v>996</v>
      </c>
      <c r="X637">
        <v>23466.8529</v>
      </c>
      <c r="Y637" s="2">
        <v>44886</v>
      </c>
      <c r="Z637" t="s">
        <v>1001</v>
      </c>
    </row>
    <row r="638" spans="1:26">
      <c r="A638" s="1" t="s">
        <v>662</v>
      </c>
      <c r="B638">
        <f>HYPERLINK("https://www.suredividend.com/sure-analysis-AMH/","American Homes 4 Rent")</f>
        <v>0</v>
      </c>
      <c r="C638" t="s">
        <v>884</v>
      </c>
      <c r="D638">
        <v>31</v>
      </c>
      <c r="E638">
        <v>30.14</v>
      </c>
      <c r="F638">
        <v>32</v>
      </c>
      <c r="G638">
        <v>0.941875</v>
      </c>
      <c r="H638">
        <v>0.0238885202388852</v>
      </c>
      <c r="I638">
        <v>0.01204854787209864</v>
      </c>
      <c r="J638">
        <v>0.03</v>
      </c>
      <c r="K638">
        <v>0.06358346293105277</v>
      </c>
      <c r="L638" t="s">
        <v>572</v>
      </c>
      <c r="M638" t="s">
        <v>631</v>
      </c>
      <c r="N638">
        <v>19.57142857142857</v>
      </c>
      <c r="O638">
        <v>1.54</v>
      </c>
      <c r="P638">
        <v>0.72</v>
      </c>
      <c r="Q638">
        <v>0.4675324675324675</v>
      </c>
      <c r="R638">
        <v>2</v>
      </c>
      <c r="S638">
        <v>0.02884302866442456</v>
      </c>
      <c r="T638" t="s">
        <v>901</v>
      </c>
      <c r="U638">
        <v>-0.29360257996775</v>
      </c>
      <c r="V638" t="s">
        <v>987</v>
      </c>
      <c r="W638" t="s">
        <v>1000</v>
      </c>
      <c r="X638">
        <v>10633.677124</v>
      </c>
      <c r="Y638" s="2">
        <v>44873</v>
      </c>
      <c r="Z638" t="s">
        <v>1001</v>
      </c>
    </row>
    <row r="639" spans="1:26">
      <c r="A639" s="1" t="s">
        <v>663</v>
      </c>
      <c r="B639">
        <f>HYPERLINK("https://www.suredividend.com/sure-analysis-PKX/","POSCO Holdings Inc")</f>
        <v>0</v>
      </c>
      <c r="C639" t="s">
        <v>883</v>
      </c>
      <c r="D639">
        <v>43</v>
      </c>
      <c r="E639">
        <v>54.47</v>
      </c>
      <c r="F639">
        <v>80</v>
      </c>
      <c r="G639">
        <v>0.680875</v>
      </c>
      <c r="H639">
        <v>0.1101523774554801</v>
      </c>
      <c r="I639">
        <v>0.07990741289001191</v>
      </c>
      <c r="J639">
        <v>-0.1</v>
      </c>
      <c r="K639">
        <v>0.06036730515645128</v>
      </c>
      <c r="L639" t="s">
        <v>572</v>
      </c>
      <c r="M639" t="s">
        <v>887</v>
      </c>
      <c r="N639">
        <v>2.7235</v>
      </c>
      <c r="O639">
        <v>20</v>
      </c>
      <c r="P639">
        <v>6</v>
      </c>
      <c r="Q639">
        <v>0.3</v>
      </c>
      <c r="R639">
        <v>0</v>
      </c>
      <c r="S639">
        <v>-0.05010993353868776</v>
      </c>
      <c r="T639" t="s">
        <v>905</v>
      </c>
      <c r="U639">
        <v>-0.038741522589662</v>
      </c>
      <c r="V639" t="s">
        <v>986</v>
      </c>
      <c r="W639" t="s">
        <v>990</v>
      </c>
      <c r="X639">
        <v>18426.379592</v>
      </c>
      <c r="Y639" s="2">
        <v>44864</v>
      </c>
      <c r="Z639" t="s">
        <v>1011</v>
      </c>
    </row>
    <row r="640" spans="1:26">
      <c r="A640" s="1" t="s">
        <v>664</v>
      </c>
      <c r="B640">
        <f>HYPERLINK("https://www.suredividend.com/sure-analysis-SUUIF/","Superior Plus Corp")</f>
        <v>0</v>
      </c>
      <c r="C640" t="s">
        <v>884</v>
      </c>
      <c r="D640">
        <v>7.52</v>
      </c>
      <c r="E640">
        <v>8.31</v>
      </c>
      <c r="F640">
        <v>8.4</v>
      </c>
      <c r="G640">
        <v>0.9892857142857143</v>
      </c>
      <c r="H640">
        <v>0.06498194945848375</v>
      </c>
      <c r="I640">
        <v>0.002156741825379171</v>
      </c>
      <c r="J640">
        <v>0</v>
      </c>
      <c r="K640">
        <v>0.05960595653102585</v>
      </c>
      <c r="L640" t="s">
        <v>572</v>
      </c>
      <c r="M640" t="s">
        <v>887</v>
      </c>
      <c r="N640">
        <v>7.22608695652174</v>
      </c>
      <c r="O640">
        <v>1.15</v>
      </c>
      <c r="P640">
        <v>0.54</v>
      </c>
      <c r="Q640">
        <v>0.4695652173913044</v>
      </c>
      <c r="R640">
        <v>0</v>
      </c>
      <c r="S640">
        <v>0</v>
      </c>
      <c r="T640" t="s">
        <v>905</v>
      </c>
      <c r="U640">
        <v>-0.18369351669941</v>
      </c>
      <c r="V640" t="s">
        <v>986</v>
      </c>
      <c r="W640" t="s">
        <v>997</v>
      </c>
      <c r="X640">
        <v>1673.243322</v>
      </c>
      <c r="Y640" s="2">
        <v>44880</v>
      </c>
      <c r="Z640" t="s">
        <v>1011</v>
      </c>
    </row>
    <row r="641" spans="1:26">
      <c r="A641" s="1" t="s">
        <v>665</v>
      </c>
      <c r="B641">
        <f>HYPERLINK("https://www.suredividend.com/sure-analysis-APO/","Apollo Global Management Inc")</f>
        <v>0</v>
      </c>
      <c r="C641" t="s">
        <v>884</v>
      </c>
      <c r="D641">
        <v>66</v>
      </c>
      <c r="E641">
        <v>63.79</v>
      </c>
      <c r="F641">
        <v>54</v>
      </c>
      <c r="G641">
        <v>1.181296296296296</v>
      </c>
      <c r="H641">
        <v>0.02508230130114438</v>
      </c>
      <c r="I641">
        <v>-0.03277340033467346</v>
      </c>
      <c r="J641">
        <v>0.07000000000000001</v>
      </c>
      <c r="K641">
        <v>0.05912854177810667</v>
      </c>
      <c r="L641" t="s">
        <v>572</v>
      </c>
      <c r="M641" t="s">
        <v>572</v>
      </c>
      <c r="N641">
        <v>11.92336448598131</v>
      </c>
      <c r="O641">
        <v>5.35</v>
      </c>
      <c r="P641">
        <v>1.6</v>
      </c>
      <c r="Q641">
        <v>0.2990654205607477</v>
      </c>
      <c r="R641">
        <v>0</v>
      </c>
      <c r="S641">
        <v>0.04978904632428516</v>
      </c>
      <c r="T641" t="s">
        <v>897</v>
      </c>
      <c r="U641">
        <v>-0.109768266218224</v>
      </c>
      <c r="V641" t="s">
        <v>986</v>
      </c>
      <c r="W641" t="s">
        <v>994</v>
      </c>
      <c r="X641">
        <v>36505.972439</v>
      </c>
      <c r="Y641" s="2">
        <v>44892</v>
      </c>
      <c r="Z641" t="s">
        <v>1005</v>
      </c>
    </row>
    <row r="642" spans="1:26">
      <c r="A642" s="1" t="s">
        <v>666</v>
      </c>
      <c r="B642">
        <f>HYPERLINK("https://www.suredividend.com/sure-analysis-ELS/","Equity Lifestyle Properties Inc.")</f>
        <v>0</v>
      </c>
      <c r="C642" t="s">
        <v>884</v>
      </c>
      <c r="D642">
        <v>63</v>
      </c>
      <c r="E642">
        <v>64.59999999999999</v>
      </c>
      <c r="F642">
        <v>55</v>
      </c>
      <c r="G642">
        <v>1.174545454545454</v>
      </c>
      <c r="H642">
        <v>0.02538699690402477</v>
      </c>
      <c r="I642">
        <v>-0.03166409742991905</v>
      </c>
      <c r="J642">
        <v>0.065</v>
      </c>
      <c r="K642">
        <v>0.05718546269500102</v>
      </c>
      <c r="L642" t="s">
        <v>572</v>
      </c>
      <c r="M642" t="s">
        <v>631</v>
      </c>
      <c r="N642">
        <v>24.46969696969697</v>
      </c>
      <c r="O642">
        <v>2.64</v>
      </c>
      <c r="P642">
        <v>1.64</v>
      </c>
      <c r="Q642">
        <v>0.6212121212121211</v>
      </c>
      <c r="R642">
        <v>18</v>
      </c>
      <c r="S642">
        <v>0.06528971483491919</v>
      </c>
      <c r="T642" t="s">
        <v>905</v>
      </c>
      <c r="U642">
        <v>-0.240608406676533</v>
      </c>
      <c r="V642" t="s">
        <v>987</v>
      </c>
      <c r="W642" t="s">
        <v>1000</v>
      </c>
      <c r="X642">
        <v>12022.770923</v>
      </c>
      <c r="Y642" s="2">
        <v>44867</v>
      </c>
      <c r="Z642" t="s">
        <v>1006</v>
      </c>
    </row>
    <row r="643" spans="1:26">
      <c r="A643" s="1" t="s">
        <v>667</v>
      </c>
      <c r="B643">
        <f>HYPERLINK("https://www.suredividend.com/sure-analysis-ACN/","Accenture plc")</f>
        <v>0</v>
      </c>
      <c r="C643" t="s">
        <v>884</v>
      </c>
      <c r="D643">
        <v>270</v>
      </c>
      <c r="E643">
        <v>266.84</v>
      </c>
      <c r="F643">
        <v>225</v>
      </c>
      <c r="G643">
        <v>1.185955555555555</v>
      </c>
      <c r="H643">
        <v>0.0167890870933893</v>
      </c>
      <c r="I643">
        <v>-0.03353458538422183</v>
      </c>
      <c r="J643">
        <v>0.075</v>
      </c>
      <c r="K643">
        <v>0.0565956288595173</v>
      </c>
      <c r="L643" t="s">
        <v>572</v>
      </c>
      <c r="M643" t="s">
        <v>631</v>
      </c>
      <c r="N643">
        <v>23.71911111111111</v>
      </c>
      <c r="O643">
        <v>11.25</v>
      </c>
      <c r="P643">
        <v>4.48</v>
      </c>
      <c r="Q643">
        <v>0.3982222222222223</v>
      </c>
      <c r="R643">
        <v>12</v>
      </c>
      <c r="S643">
        <v>0.0799150058822331</v>
      </c>
      <c r="T643" t="s">
        <v>966</v>
      </c>
      <c r="U643">
        <v>-0.346397384217863</v>
      </c>
      <c r="V643" t="s">
        <v>986</v>
      </c>
      <c r="W643" t="s">
        <v>993</v>
      </c>
      <c r="X643">
        <v>175684.390809</v>
      </c>
      <c r="Y643" s="2">
        <v>44858</v>
      </c>
      <c r="Z643" t="s">
        <v>1007</v>
      </c>
    </row>
    <row r="644" spans="1:26">
      <c r="A644" s="1" t="s">
        <v>668</v>
      </c>
      <c r="B644">
        <f>HYPERLINK("https://www.suredividend.com/sure-analysis-CME/","CME Group Inc")</f>
        <v>0</v>
      </c>
      <c r="C644" t="s">
        <v>884</v>
      </c>
      <c r="D644">
        <v>173.9</v>
      </c>
      <c r="E644">
        <v>168.16</v>
      </c>
      <c r="F644">
        <v>159.6</v>
      </c>
      <c r="G644">
        <v>1.053634085213033</v>
      </c>
      <c r="H644">
        <v>0.02378686964795433</v>
      </c>
      <c r="I644">
        <v>-0.01039464280443236</v>
      </c>
      <c r="J644">
        <v>0.044</v>
      </c>
      <c r="K644">
        <v>0.05602837715098019</v>
      </c>
      <c r="L644" t="s">
        <v>572</v>
      </c>
      <c r="M644" t="s">
        <v>631</v>
      </c>
      <c r="N644">
        <v>21.07268170426065</v>
      </c>
      <c r="O644">
        <v>7.98</v>
      </c>
      <c r="P644">
        <v>4</v>
      </c>
      <c r="Q644">
        <v>0.5012531328320802</v>
      </c>
      <c r="R644">
        <v>17</v>
      </c>
      <c r="S644">
        <v>0.04563955259127317</v>
      </c>
      <c r="T644" t="s">
        <v>922</v>
      </c>
      <c r="U644">
        <v>-0.229557219900111</v>
      </c>
      <c r="V644" t="s">
        <v>986</v>
      </c>
      <c r="W644" t="s">
        <v>994</v>
      </c>
      <c r="X644">
        <v>60491.352469</v>
      </c>
      <c r="Y644" s="2">
        <v>44880</v>
      </c>
      <c r="Z644" t="s">
        <v>1009</v>
      </c>
    </row>
    <row r="645" spans="1:26">
      <c r="A645" s="1" t="s">
        <v>669</v>
      </c>
      <c r="B645">
        <f>HYPERLINK("https://www.suredividend.com/sure-analysis-PM/","Philip Morris International Inc")</f>
        <v>0</v>
      </c>
      <c r="C645" t="s">
        <v>884</v>
      </c>
      <c r="D645">
        <v>85</v>
      </c>
      <c r="E645">
        <v>101.21</v>
      </c>
      <c r="F645">
        <v>90</v>
      </c>
      <c r="G645">
        <v>1.124555555555556</v>
      </c>
      <c r="H645">
        <v>0.05019266870862563</v>
      </c>
      <c r="I645">
        <v>-0.02320412500642444</v>
      </c>
      <c r="J645">
        <v>0.03</v>
      </c>
      <c r="K645">
        <v>0.05474358310516103</v>
      </c>
      <c r="L645" t="s">
        <v>572</v>
      </c>
      <c r="M645" t="s">
        <v>887</v>
      </c>
      <c r="N645">
        <v>19.16856060606061</v>
      </c>
      <c r="O645">
        <v>5.28</v>
      </c>
      <c r="P645">
        <v>5.08</v>
      </c>
      <c r="Q645">
        <v>0.962121212121212</v>
      </c>
      <c r="R645">
        <v>15</v>
      </c>
      <c r="S645">
        <v>0.03003104979026405</v>
      </c>
      <c r="T645" t="s">
        <v>950</v>
      </c>
      <c r="U645">
        <v>0.131613048937428</v>
      </c>
      <c r="V645" t="s">
        <v>986</v>
      </c>
      <c r="W645" t="s">
        <v>996</v>
      </c>
      <c r="X645">
        <v>156895.975289</v>
      </c>
      <c r="Y645" s="2">
        <v>44855</v>
      </c>
      <c r="Z645" t="s">
        <v>1011</v>
      </c>
    </row>
    <row r="646" spans="1:26">
      <c r="A646" s="1" t="s">
        <v>670</v>
      </c>
      <c r="B646">
        <f>HYPERLINK("https://www.suredividend.com/sure-analysis-FL/","Foot Locker Inc")</f>
        <v>0</v>
      </c>
      <c r="C646" t="s">
        <v>884</v>
      </c>
      <c r="D646">
        <v>39</v>
      </c>
      <c r="E646">
        <v>37.79</v>
      </c>
      <c r="F646">
        <v>40</v>
      </c>
      <c r="G646">
        <v>0.94475</v>
      </c>
      <c r="H646">
        <v>0.04233924318602805</v>
      </c>
      <c r="I646">
        <v>0.01143183703346673</v>
      </c>
      <c r="J646">
        <v>0</v>
      </c>
      <c r="K646">
        <v>0.05451794889827877</v>
      </c>
      <c r="L646" t="s">
        <v>572</v>
      </c>
      <c r="M646" t="s">
        <v>573</v>
      </c>
      <c r="N646">
        <v>8.492134831460673</v>
      </c>
      <c r="O646">
        <v>4.45</v>
      </c>
      <c r="P646">
        <v>1.6</v>
      </c>
      <c r="Q646">
        <v>0.3595505617977528</v>
      </c>
      <c r="R646">
        <v>1</v>
      </c>
      <c r="S646">
        <v>0.04978904632428516</v>
      </c>
      <c r="T646" t="s">
        <v>912</v>
      </c>
      <c r="U646">
        <v>-0.09694840729323401</v>
      </c>
      <c r="V646" t="s">
        <v>986</v>
      </c>
      <c r="W646" t="s">
        <v>992</v>
      </c>
      <c r="X646">
        <v>3526.578936</v>
      </c>
      <c r="Y646" s="2">
        <v>44901</v>
      </c>
      <c r="Z646" t="s">
        <v>1005</v>
      </c>
    </row>
    <row r="647" spans="1:26">
      <c r="A647" s="1" t="s">
        <v>671</v>
      </c>
      <c r="B647">
        <f>HYPERLINK("https://www.suredividend.com/sure-analysis-FR/","First Industrial Realty Trust, Inc.")</f>
        <v>0</v>
      </c>
      <c r="C647" t="s">
        <v>884</v>
      </c>
      <c r="D647">
        <v>48</v>
      </c>
      <c r="E647">
        <v>48.26</v>
      </c>
      <c r="F647">
        <v>41</v>
      </c>
      <c r="G647">
        <v>1.177073170731707</v>
      </c>
      <c r="H647">
        <v>0.02445089100704517</v>
      </c>
      <c r="I647">
        <v>-0.03208034743443533</v>
      </c>
      <c r="J647">
        <v>0.06</v>
      </c>
      <c r="K647">
        <v>0.05111342815563824</v>
      </c>
      <c r="L647" t="s">
        <v>572</v>
      </c>
      <c r="M647" t="s">
        <v>631</v>
      </c>
      <c r="N647">
        <v>21.64125560538116</v>
      </c>
      <c r="O647">
        <v>2.23</v>
      </c>
      <c r="P647">
        <v>1.18</v>
      </c>
      <c r="Q647">
        <v>0.5291479820627802</v>
      </c>
      <c r="R647">
        <v>9</v>
      </c>
      <c r="S647">
        <v>0.0601199707922162</v>
      </c>
      <c r="T647" t="s">
        <v>905</v>
      </c>
      <c r="U647">
        <v>-0.251632111898522</v>
      </c>
      <c r="V647" t="s">
        <v>987</v>
      </c>
      <c r="W647" t="s">
        <v>1000</v>
      </c>
      <c r="X647">
        <v>6376.840071</v>
      </c>
      <c r="Y647" s="2">
        <v>44867</v>
      </c>
      <c r="Z647" t="s">
        <v>1006</v>
      </c>
    </row>
    <row r="648" spans="1:26">
      <c r="A648" s="1" t="s">
        <v>672</v>
      </c>
      <c r="B648">
        <f>HYPERLINK("https://www.suredividend.com/sure-analysis-CAJ/","Canon Inc.")</f>
        <v>0</v>
      </c>
      <c r="C648" t="s">
        <v>884</v>
      </c>
      <c r="D648">
        <v>22</v>
      </c>
      <c r="E648">
        <v>21.68</v>
      </c>
      <c r="F648">
        <v>20</v>
      </c>
      <c r="G648">
        <v>1.084</v>
      </c>
      <c r="H648">
        <v>0.04105166051660517</v>
      </c>
      <c r="I648">
        <v>-0.01600216349245109</v>
      </c>
      <c r="J648">
        <v>0.03</v>
      </c>
      <c r="K648">
        <v>0.05086835108270216</v>
      </c>
      <c r="L648" t="s">
        <v>572</v>
      </c>
      <c r="M648" t="s">
        <v>572</v>
      </c>
      <c r="N648">
        <v>12.75294117647059</v>
      </c>
      <c r="O648">
        <v>1.7</v>
      </c>
      <c r="P648">
        <v>0.89</v>
      </c>
      <c r="Q648">
        <v>0.5235294117647059</v>
      </c>
      <c r="R648">
        <v>1</v>
      </c>
      <c r="S648">
        <v>0.01099165167086835</v>
      </c>
      <c r="T648" t="s">
        <v>905</v>
      </c>
      <c r="U648">
        <v>-0.095064176145257</v>
      </c>
      <c r="V648" t="s">
        <v>986</v>
      </c>
      <c r="W648" t="s">
        <v>993</v>
      </c>
      <c r="X648">
        <v>28915.9919</v>
      </c>
      <c r="Y648" s="2">
        <v>44902</v>
      </c>
      <c r="Z648" t="s">
        <v>1007</v>
      </c>
    </row>
    <row r="649" spans="1:26">
      <c r="A649" s="1" t="s">
        <v>673</v>
      </c>
      <c r="B649">
        <f>HYPERLINK("https://www.suredividend.com/sure-analysis-PFG/","Principal Financial Group Inc")</f>
        <v>0</v>
      </c>
      <c r="C649" t="s">
        <v>885</v>
      </c>
      <c r="D649">
        <v>95</v>
      </c>
      <c r="E649">
        <v>83.92</v>
      </c>
      <c r="F649">
        <v>72</v>
      </c>
      <c r="G649">
        <v>1.165555555555556</v>
      </c>
      <c r="H649">
        <v>0.03050524308865586</v>
      </c>
      <c r="I649">
        <v>-0.03017493490756007</v>
      </c>
      <c r="J649">
        <v>0.05</v>
      </c>
      <c r="K649">
        <v>0.05018632823396341</v>
      </c>
      <c r="L649" t="s">
        <v>572</v>
      </c>
      <c r="M649" t="s">
        <v>572</v>
      </c>
      <c r="N649">
        <v>12.91076923076923</v>
      </c>
      <c r="O649">
        <v>6.5</v>
      </c>
      <c r="P649">
        <v>2.56</v>
      </c>
      <c r="Q649">
        <v>0.3938461538461538</v>
      </c>
      <c r="R649">
        <v>15</v>
      </c>
      <c r="S649">
        <v>0.06025622492066018</v>
      </c>
      <c r="T649" t="s">
        <v>891</v>
      </c>
      <c r="U649">
        <v>0.204642870472182</v>
      </c>
      <c r="V649" t="s">
        <v>986</v>
      </c>
      <c r="W649" t="s">
        <v>994</v>
      </c>
      <c r="X649">
        <v>20533.779737</v>
      </c>
      <c r="Y649" s="2">
        <v>44881</v>
      </c>
      <c r="Z649" t="s">
        <v>1007</v>
      </c>
    </row>
    <row r="650" spans="1:26">
      <c r="A650" s="1" t="s">
        <v>674</v>
      </c>
      <c r="B650">
        <f>HYPERLINK("https://www.suredividend.com/sure-analysis-CNA/","CNA Financial Corp.")</f>
        <v>0</v>
      </c>
      <c r="C650" t="s">
        <v>884</v>
      </c>
      <c r="D650">
        <v>41</v>
      </c>
      <c r="E650">
        <v>42.28</v>
      </c>
      <c r="F650">
        <v>39</v>
      </c>
      <c r="G650">
        <v>1.084102564102564</v>
      </c>
      <c r="H650">
        <v>0.03784295175023652</v>
      </c>
      <c r="I650">
        <v>-0.01602078288840203</v>
      </c>
      <c r="J650">
        <v>0.03</v>
      </c>
      <c r="K650">
        <v>0.04994547779028791</v>
      </c>
      <c r="L650" t="s">
        <v>572</v>
      </c>
      <c r="M650" t="s">
        <v>572</v>
      </c>
      <c r="N650">
        <v>11.90985915492958</v>
      </c>
      <c r="O650">
        <v>3.55</v>
      </c>
      <c r="P650">
        <v>1.6</v>
      </c>
      <c r="Q650">
        <v>0.4507042253521127</v>
      </c>
      <c r="R650">
        <v>6</v>
      </c>
      <c r="S650">
        <v>0.02946206823925857</v>
      </c>
      <c r="T650" t="s">
        <v>907</v>
      </c>
      <c r="U650">
        <v>-0.00565609529521</v>
      </c>
      <c r="V650" t="s">
        <v>986</v>
      </c>
      <c r="W650" t="s">
        <v>994</v>
      </c>
      <c r="X650">
        <v>11453.372022</v>
      </c>
      <c r="Y650" s="2">
        <v>44865</v>
      </c>
      <c r="Z650" t="s">
        <v>1011</v>
      </c>
    </row>
    <row r="651" spans="1:26">
      <c r="A651" s="1" t="s">
        <v>675</v>
      </c>
      <c r="B651">
        <f>HYPERLINK("https://www.suredividend.com/sure-analysis-IVZ/","Invesco Ltd")</f>
        <v>0</v>
      </c>
      <c r="C651" t="s">
        <v>884</v>
      </c>
      <c r="D651">
        <v>17</v>
      </c>
      <c r="E651">
        <v>17.99</v>
      </c>
      <c r="F651">
        <v>17</v>
      </c>
      <c r="G651">
        <v>1.058235294117647</v>
      </c>
      <c r="H651">
        <v>0.04168982768204559</v>
      </c>
      <c r="I651">
        <v>-0.01125670457332928</v>
      </c>
      <c r="J651">
        <v>0.02</v>
      </c>
      <c r="K651">
        <v>0.04866182319990009</v>
      </c>
      <c r="L651" t="s">
        <v>572</v>
      </c>
      <c r="M651" t="s">
        <v>572</v>
      </c>
      <c r="N651">
        <v>10.9030303030303</v>
      </c>
      <c r="O651">
        <v>1.65</v>
      </c>
      <c r="P651">
        <v>0.75</v>
      </c>
      <c r="Q651">
        <v>0.4545454545454546</v>
      </c>
      <c r="R651">
        <v>1</v>
      </c>
      <c r="S651">
        <v>0.02534857565773274</v>
      </c>
      <c r="T651" t="s">
        <v>890</v>
      </c>
      <c r="U651">
        <v>-0.184171382963285</v>
      </c>
      <c r="V651" t="s">
        <v>986</v>
      </c>
      <c r="W651" t="s">
        <v>994</v>
      </c>
      <c r="X651">
        <v>8181.575098</v>
      </c>
      <c r="Y651" s="2">
        <v>44877</v>
      </c>
      <c r="Z651" t="s">
        <v>1007</v>
      </c>
    </row>
    <row r="652" spans="1:26">
      <c r="A652" s="1" t="s">
        <v>676</v>
      </c>
      <c r="B652">
        <f>HYPERLINK("https://www.suredividend.com/sure-analysis-JCI/","Johnson Controls International plc")</f>
        <v>0</v>
      </c>
      <c r="C652" t="s">
        <v>884</v>
      </c>
      <c r="D652">
        <v>64</v>
      </c>
      <c r="E652">
        <v>64</v>
      </c>
      <c r="F652">
        <v>54</v>
      </c>
      <c r="G652">
        <v>1.185185185185185</v>
      </c>
      <c r="H652">
        <v>0.021875</v>
      </c>
      <c r="I652">
        <v>-0.03340897753411864</v>
      </c>
      <c r="J652">
        <v>0.06</v>
      </c>
      <c r="K652">
        <v>0.04725487826214247</v>
      </c>
      <c r="L652" t="s">
        <v>572</v>
      </c>
      <c r="M652" t="s">
        <v>631</v>
      </c>
      <c r="N652">
        <v>18.82352941176471</v>
      </c>
      <c r="O652">
        <v>3.4</v>
      </c>
      <c r="P652">
        <v>1.4</v>
      </c>
      <c r="Q652">
        <v>0.4117647058823529</v>
      </c>
      <c r="R652">
        <v>2</v>
      </c>
      <c r="S652">
        <v>0.05960186535674428</v>
      </c>
      <c r="T652" t="s">
        <v>904</v>
      </c>
      <c r="U652">
        <v>-0.189798551005346</v>
      </c>
      <c r="V652" t="s">
        <v>986</v>
      </c>
      <c r="W652" t="s">
        <v>991</v>
      </c>
      <c r="X652">
        <v>43949.048896</v>
      </c>
      <c r="Y652" s="2">
        <v>44874</v>
      </c>
      <c r="Z652" t="s">
        <v>1008</v>
      </c>
    </row>
    <row r="653" spans="1:26">
      <c r="A653" s="1" t="s">
        <v>677</v>
      </c>
      <c r="B653">
        <f>HYPERLINK("https://www.suredividend.com/sure-analysis-VALE/","Vale S.A.")</f>
        <v>0</v>
      </c>
      <c r="C653" t="s">
        <v>883</v>
      </c>
      <c r="D653">
        <v>13</v>
      </c>
      <c r="E653">
        <v>16.97</v>
      </c>
      <c r="F653">
        <v>21</v>
      </c>
      <c r="G653">
        <v>0.8080952380952381</v>
      </c>
      <c r="H653">
        <v>0.08131997642899234</v>
      </c>
      <c r="I653">
        <v>0.04353613093681208</v>
      </c>
      <c r="J653">
        <v>-0.05</v>
      </c>
      <c r="K653">
        <v>0.0466826307558954</v>
      </c>
      <c r="L653" t="s">
        <v>572</v>
      </c>
      <c r="M653" t="s">
        <v>887</v>
      </c>
      <c r="N653">
        <v>4.848571428571428</v>
      </c>
      <c r="O653">
        <v>3.5</v>
      </c>
      <c r="P653">
        <v>1.38</v>
      </c>
      <c r="Q653">
        <v>0.3942857142857142</v>
      </c>
      <c r="R653">
        <v>0</v>
      </c>
      <c r="S653">
        <v>-0.1010797032328465</v>
      </c>
      <c r="T653" t="s">
        <v>955</v>
      </c>
      <c r="U653">
        <v>0.29110302956527</v>
      </c>
      <c r="V653" t="s">
        <v>986</v>
      </c>
      <c r="W653" t="s">
        <v>990</v>
      </c>
      <c r="X653">
        <v>81097.750589</v>
      </c>
      <c r="Y653" s="2">
        <v>44866</v>
      </c>
      <c r="Z653" t="s">
        <v>1007</v>
      </c>
    </row>
    <row r="654" spans="1:26">
      <c r="A654" s="1" t="s">
        <v>678</v>
      </c>
      <c r="B654">
        <f>HYPERLINK("https://www.suredividend.com/sure-analysis-TJX/","TJX Companies, Inc.")</f>
        <v>0</v>
      </c>
      <c r="C654" t="s">
        <v>885</v>
      </c>
      <c r="D654">
        <v>78</v>
      </c>
      <c r="E654">
        <v>79.59999999999999</v>
      </c>
      <c r="F654">
        <v>59</v>
      </c>
      <c r="G654">
        <v>1.349152542372881</v>
      </c>
      <c r="H654">
        <v>0.01482412060301508</v>
      </c>
      <c r="I654">
        <v>-0.05813688656413984</v>
      </c>
      <c r="J654">
        <v>0.09</v>
      </c>
      <c r="K654">
        <v>0.04350434999142316</v>
      </c>
      <c r="L654" t="s">
        <v>572</v>
      </c>
      <c r="M654" t="s">
        <v>631</v>
      </c>
      <c r="N654">
        <v>25.76051779935275</v>
      </c>
      <c r="O654">
        <v>3.09</v>
      </c>
      <c r="P654">
        <v>1.18</v>
      </c>
      <c r="Q654">
        <v>0.3818770226537217</v>
      </c>
      <c r="R654">
        <v>1</v>
      </c>
      <c r="S654">
        <v>0.09053064987397041</v>
      </c>
      <c r="T654" t="s">
        <v>890</v>
      </c>
      <c r="U654">
        <v>0.072825439440621</v>
      </c>
      <c r="V654" t="s">
        <v>986</v>
      </c>
      <c r="W654" t="s">
        <v>992</v>
      </c>
      <c r="X654">
        <v>91978.13026000001</v>
      </c>
      <c r="Y654" s="2">
        <v>44888</v>
      </c>
      <c r="Z654" t="s">
        <v>1014</v>
      </c>
    </row>
    <row r="655" spans="1:26">
      <c r="A655" s="1" t="s">
        <v>679</v>
      </c>
      <c r="B655">
        <f>HYPERLINK("https://www.suredividend.com/sure-analysis-PECO/","Phillips Edison &amp; Company Inc")</f>
        <v>0</v>
      </c>
      <c r="C655" t="s">
        <v>884</v>
      </c>
      <c r="D655">
        <v>30</v>
      </c>
      <c r="E655">
        <v>31.84</v>
      </c>
      <c r="F655">
        <v>28</v>
      </c>
      <c r="G655">
        <v>1.137142857142857</v>
      </c>
      <c r="H655">
        <v>0.03517587939698493</v>
      </c>
      <c r="I655">
        <v>-0.02537624050953469</v>
      </c>
      <c r="J655">
        <v>0.03</v>
      </c>
      <c r="K655">
        <v>0.04118488477357429</v>
      </c>
      <c r="L655" t="s">
        <v>572</v>
      </c>
      <c r="M655" t="s">
        <v>572</v>
      </c>
      <c r="N655">
        <v>14.94835680751174</v>
      </c>
      <c r="O655">
        <v>2.13</v>
      </c>
      <c r="P655">
        <v>1.12</v>
      </c>
      <c r="Q655">
        <v>0.5258215962441315</v>
      </c>
      <c r="R655">
        <v>2</v>
      </c>
      <c r="S655">
        <v>0.05008294028029181</v>
      </c>
      <c r="T655" t="s">
        <v>901</v>
      </c>
      <c r="U655">
        <v>-0.013162992372468</v>
      </c>
      <c r="V655" t="s">
        <v>987</v>
      </c>
      <c r="W655" t="s">
        <v>1000</v>
      </c>
      <c r="X655">
        <v>3728.464</v>
      </c>
      <c r="Y655" s="2">
        <v>44875</v>
      </c>
      <c r="Z655" t="s">
        <v>1011</v>
      </c>
    </row>
    <row r="656" spans="1:26">
      <c r="A656" s="1" t="s">
        <v>680</v>
      </c>
      <c r="B656">
        <f>HYPERLINK("https://www.suredividend.com/sure-analysis-SMFG/","Sumitomo Mitsui Financial Group Inc")</f>
        <v>0</v>
      </c>
      <c r="C656" t="s">
        <v>884</v>
      </c>
      <c r="D656">
        <v>6.79</v>
      </c>
      <c r="E656">
        <v>8.02</v>
      </c>
      <c r="F656">
        <v>7.32</v>
      </c>
      <c r="G656">
        <v>1.095628415300546</v>
      </c>
      <c r="H656">
        <v>0.04239401496259352</v>
      </c>
      <c r="I656">
        <v>-0.01809981341359823</v>
      </c>
      <c r="J656">
        <v>0.02</v>
      </c>
      <c r="K656">
        <v>0.04051780673211258</v>
      </c>
      <c r="L656" t="s">
        <v>572</v>
      </c>
      <c r="M656" t="s">
        <v>573</v>
      </c>
      <c r="N656">
        <v>10.41558441558441</v>
      </c>
      <c r="O656">
        <v>0.77</v>
      </c>
      <c r="P656">
        <v>0.34</v>
      </c>
      <c r="Q656">
        <v>0.4415584415584416</v>
      </c>
      <c r="R656">
        <v>0</v>
      </c>
      <c r="S656">
        <v>0</v>
      </c>
      <c r="T656" t="s">
        <v>946</v>
      </c>
      <c r="U656">
        <v>0.22058868292089</v>
      </c>
      <c r="V656" t="s">
        <v>986</v>
      </c>
      <c r="W656" t="s">
        <v>994</v>
      </c>
      <c r="X656">
        <v>55125.116879</v>
      </c>
      <c r="Y656" s="2">
        <v>44907</v>
      </c>
      <c r="Z656" t="s">
        <v>1005</v>
      </c>
    </row>
    <row r="657" spans="1:26">
      <c r="A657" s="1" t="s">
        <v>681</v>
      </c>
      <c r="B657">
        <f>HYPERLINK("https://www.suredividend.com/sure-analysis-CAG/","Conagra Brands Inc")</f>
        <v>0</v>
      </c>
      <c r="C657" t="s">
        <v>884</v>
      </c>
      <c r="D657">
        <v>34</v>
      </c>
      <c r="E657">
        <v>38.7</v>
      </c>
      <c r="F657">
        <v>34</v>
      </c>
      <c r="G657">
        <v>1.138235294117647</v>
      </c>
      <c r="H657">
        <v>0.03410852713178295</v>
      </c>
      <c r="I657">
        <v>-0.0255633940835589</v>
      </c>
      <c r="J657">
        <v>0.03</v>
      </c>
      <c r="K657">
        <v>0.03901668155918059</v>
      </c>
      <c r="L657" t="s">
        <v>572</v>
      </c>
      <c r="M657" t="s">
        <v>572</v>
      </c>
      <c r="N657">
        <v>15.86065573770492</v>
      </c>
      <c r="O657">
        <v>2.44</v>
      </c>
      <c r="P657">
        <v>1.32</v>
      </c>
      <c r="Q657">
        <v>0.5409836065573771</v>
      </c>
      <c r="R657">
        <v>2</v>
      </c>
      <c r="S657">
        <v>0.04051989624422681</v>
      </c>
      <c r="T657" t="s">
        <v>893</v>
      </c>
      <c r="U657">
        <v>0.184522242695446</v>
      </c>
      <c r="V657" t="s">
        <v>986</v>
      </c>
      <c r="W657" t="s">
        <v>996</v>
      </c>
      <c r="X657">
        <v>18547.168771</v>
      </c>
      <c r="Y657" s="2">
        <v>44856</v>
      </c>
      <c r="Z657" t="s">
        <v>1008</v>
      </c>
    </row>
    <row r="658" spans="1:26">
      <c r="A658" s="1" t="s">
        <v>682</v>
      </c>
      <c r="B658">
        <f>HYPERLINK("https://www.suredividend.com/sure-analysis-FRFHF/","Fairfax Financial Holdings, Ltd.")</f>
        <v>0</v>
      </c>
      <c r="C658" t="s">
        <v>884</v>
      </c>
      <c r="D658">
        <v>550</v>
      </c>
      <c r="E658">
        <v>594.12</v>
      </c>
      <c r="F658">
        <v>610</v>
      </c>
      <c r="G658">
        <v>0.9739672131147541</v>
      </c>
      <c r="H658">
        <v>0.01683161650844947</v>
      </c>
      <c r="I658">
        <v>0.005289467699951755</v>
      </c>
      <c r="J658">
        <v>0.018</v>
      </c>
      <c r="K658">
        <v>0.03828928319567337</v>
      </c>
      <c r="L658" t="s">
        <v>572</v>
      </c>
      <c r="M658" t="s">
        <v>631</v>
      </c>
      <c r="N658">
        <v>18.56625</v>
      </c>
      <c r="O658">
        <v>32</v>
      </c>
      <c r="P658">
        <v>10</v>
      </c>
      <c r="Q658">
        <v>0.3125</v>
      </c>
      <c r="R658">
        <v>0</v>
      </c>
      <c r="S658">
        <v>0</v>
      </c>
      <c r="T658" t="s">
        <v>979</v>
      </c>
      <c r="U658">
        <v>0.211624349954114</v>
      </c>
      <c r="V658" t="s">
        <v>986</v>
      </c>
      <c r="W658" t="s">
        <v>994</v>
      </c>
      <c r="X658">
        <v>14597.752949</v>
      </c>
      <c r="Y658" s="2">
        <v>44875</v>
      </c>
      <c r="Z658" t="s">
        <v>1003</v>
      </c>
    </row>
    <row r="659" spans="1:26">
      <c r="A659" s="1" t="s">
        <v>683</v>
      </c>
      <c r="B659">
        <f>HYPERLINK("https://www.suredividend.com/sure-analysis-TM/","Toyota Motor Corporation")</f>
        <v>0</v>
      </c>
      <c r="C659" t="s">
        <v>885</v>
      </c>
      <c r="D659">
        <v>143</v>
      </c>
      <c r="E659">
        <v>136.58</v>
      </c>
      <c r="F659">
        <v>125</v>
      </c>
      <c r="G659">
        <v>1.09264</v>
      </c>
      <c r="H659">
        <v>0.02899399619270757</v>
      </c>
      <c r="I659">
        <v>-0.0175632925835385</v>
      </c>
      <c r="J659">
        <v>0.03</v>
      </c>
      <c r="K659">
        <v>0.03816451682529332</v>
      </c>
      <c r="L659" t="s">
        <v>572</v>
      </c>
      <c r="M659" t="s">
        <v>572</v>
      </c>
      <c r="N659">
        <v>10.9264</v>
      </c>
      <c r="O659">
        <v>12.5</v>
      </c>
      <c r="P659">
        <v>3.96</v>
      </c>
      <c r="Q659">
        <v>0.3168</v>
      </c>
      <c r="R659">
        <v>0</v>
      </c>
      <c r="S659">
        <v>0</v>
      </c>
      <c r="T659" t="s">
        <v>946</v>
      </c>
      <c r="U659">
        <v>-0.239298068948846</v>
      </c>
      <c r="V659" t="s">
        <v>986</v>
      </c>
      <c r="W659" t="s">
        <v>992</v>
      </c>
      <c r="X659">
        <v>222830.098729</v>
      </c>
      <c r="Y659" s="2">
        <v>44902</v>
      </c>
      <c r="Z659" t="s">
        <v>1007</v>
      </c>
    </row>
    <row r="660" spans="1:26">
      <c r="A660" s="1" t="s">
        <v>684</v>
      </c>
      <c r="B660">
        <f>HYPERLINK("https://www.suredividend.com/sure-analysis-CWEN/","Clearway Energy Inc")</f>
        <v>0</v>
      </c>
      <c r="C660" t="s">
        <v>885</v>
      </c>
      <c r="D660">
        <v>35</v>
      </c>
      <c r="E660">
        <v>31.87</v>
      </c>
      <c r="F660">
        <v>24</v>
      </c>
      <c r="G660">
        <v>1.327916666666667</v>
      </c>
      <c r="H660">
        <v>0.04612488233448384</v>
      </c>
      <c r="I660">
        <v>-0.05514354227793761</v>
      </c>
      <c r="J660">
        <v>0.045</v>
      </c>
      <c r="K660">
        <v>0.03808956727179313</v>
      </c>
      <c r="L660" t="s">
        <v>572</v>
      </c>
      <c r="M660" t="s">
        <v>573</v>
      </c>
      <c r="N660">
        <v>10.65886287625418</v>
      </c>
      <c r="O660">
        <v>2.99</v>
      </c>
      <c r="P660">
        <v>1.47</v>
      </c>
      <c r="Q660">
        <v>0.491638795986622</v>
      </c>
      <c r="R660">
        <v>3</v>
      </c>
      <c r="S660">
        <v>0.04931251909821199</v>
      </c>
      <c r="T660" t="s">
        <v>891</v>
      </c>
      <c r="U660">
        <v>-0.079712969780973</v>
      </c>
      <c r="V660" t="s">
        <v>986</v>
      </c>
      <c r="W660" t="s">
        <v>997</v>
      </c>
      <c r="X660">
        <v>3655.086857</v>
      </c>
      <c r="Y660" s="2">
        <v>44872</v>
      </c>
      <c r="Z660" t="s">
        <v>1008</v>
      </c>
    </row>
    <row r="661" spans="1:26">
      <c r="A661" s="1" t="s">
        <v>685</v>
      </c>
      <c r="B661">
        <f>HYPERLINK("https://www.suredividend.com/sure-analysis-GNTX/","Gentex Corp.")</f>
        <v>0</v>
      </c>
      <c r="C661" t="s">
        <v>884</v>
      </c>
      <c r="D661">
        <v>27</v>
      </c>
      <c r="E661">
        <v>27.27</v>
      </c>
      <c r="F661">
        <v>22</v>
      </c>
      <c r="G661">
        <v>1.239545454545455</v>
      </c>
      <c r="H661">
        <v>0.0176017601760176</v>
      </c>
      <c r="I661">
        <v>-0.0420397060627723</v>
      </c>
      <c r="J661">
        <v>0.06</v>
      </c>
      <c r="K661">
        <v>0.03498376912967438</v>
      </c>
      <c r="L661" t="s">
        <v>572</v>
      </c>
      <c r="M661" t="s">
        <v>631</v>
      </c>
      <c r="N661">
        <v>19.76086956521739</v>
      </c>
      <c r="O661">
        <v>1.38</v>
      </c>
      <c r="P661">
        <v>0.48</v>
      </c>
      <c r="Q661">
        <v>0.3478260869565217</v>
      </c>
      <c r="R661">
        <v>10</v>
      </c>
      <c r="S661">
        <v>0.06897294358221773</v>
      </c>
      <c r="T661" t="s">
        <v>903</v>
      </c>
      <c r="U661">
        <v>-0.201702566144226</v>
      </c>
      <c r="V661" t="s">
        <v>986</v>
      </c>
      <c r="W661" t="s">
        <v>991</v>
      </c>
      <c r="X661">
        <v>6397.055121</v>
      </c>
      <c r="Y661" s="2">
        <v>44874</v>
      </c>
      <c r="Z661" t="s">
        <v>1008</v>
      </c>
    </row>
    <row r="662" spans="1:26">
      <c r="A662" s="1" t="s">
        <v>686</v>
      </c>
      <c r="B662">
        <f>HYPERLINK("https://www.suredividend.com/sure-analysis-WDFC/","WD-40 Co.")</f>
        <v>0</v>
      </c>
      <c r="C662" t="s">
        <v>885</v>
      </c>
      <c r="D662">
        <v>165</v>
      </c>
      <c r="E662">
        <v>161.21</v>
      </c>
      <c r="F662">
        <v>129</v>
      </c>
      <c r="G662">
        <v>1.24968992248062</v>
      </c>
      <c r="H662">
        <v>0.02059425593945785</v>
      </c>
      <c r="I662">
        <v>-0.04360004620108116</v>
      </c>
      <c r="J662">
        <v>0.06</v>
      </c>
      <c r="K662">
        <v>0.032962160318871</v>
      </c>
      <c r="L662" t="s">
        <v>572</v>
      </c>
      <c r="M662" t="s">
        <v>631</v>
      </c>
      <c r="N662">
        <v>31.18181818181818</v>
      </c>
      <c r="O662">
        <v>5.17</v>
      </c>
      <c r="P662">
        <v>3.32</v>
      </c>
      <c r="Q662">
        <v>0.6421663442940039</v>
      </c>
      <c r="R662">
        <v>15</v>
      </c>
      <c r="S662">
        <v>0.007126611981554287</v>
      </c>
      <c r="T662" t="s">
        <v>892</v>
      </c>
      <c r="U662">
        <v>-0.3297316265556161</v>
      </c>
      <c r="V662" t="s">
        <v>986</v>
      </c>
      <c r="W662" t="s">
        <v>992</v>
      </c>
      <c r="X662">
        <v>2189.21987</v>
      </c>
      <c r="Y662" s="2">
        <v>44875</v>
      </c>
      <c r="Z662" t="s">
        <v>1002</v>
      </c>
    </row>
    <row r="663" spans="1:26">
      <c r="A663" s="1" t="s">
        <v>687</v>
      </c>
      <c r="B663">
        <f>HYPERLINK("https://www.suredividend.com/sure-analysis-PRU/","Prudential Financial Inc.")</f>
        <v>0</v>
      </c>
      <c r="C663" t="s">
        <v>885</v>
      </c>
      <c r="D663">
        <v>105</v>
      </c>
      <c r="E663">
        <v>99.45999999999999</v>
      </c>
      <c r="F663">
        <v>77</v>
      </c>
      <c r="G663">
        <v>1.291688311688312</v>
      </c>
      <c r="H663">
        <v>0.04826060727930827</v>
      </c>
      <c r="I663">
        <v>-0.04990189023836245</v>
      </c>
      <c r="J663">
        <v>0.03</v>
      </c>
      <c r="K663">
        <v>0.03178254035620443</v>
      </c>
      <c r="L663" t="s">
        <v>572</v>
      </c>
      <c r="M663" t="s">
        <v>573</v>
      </c>
      <c r="N663">
        <v>10.39289446185998</v>
      </c>
      <c r="O663">
        <v>9.57</v>
      </c>
      <c r="P663">
        <v>4.8</v>
      </c>
      <c r="Q663">
        <v>0.5015673981191222</v>
      </c>
      <c r="R663">
        <v>14</v>
      </c>
      <c r="S663">
        <v>0.04000235313991807</v>
      </c>
      <c r="T663" t="s">
        <v>906</v>
      </c>
      <c r="U663">
        <v>-0.042070499219382</v>
      </c>
      <c r="V663" t="s">
        <v>986</v>
      </c>
      <c r="W663" t="s">
        <v>994</v>
      </c>
      <c r="X663">
        <v>36999.12</v>
      </c>
      <c r="Y663" s="2">
        <v>44873</v>
      </c>
      <c r="Z663" t="s">
        <v>1001</v>
      </c>
    </row>
    <row r="664" spans="1:26">
      <c r="A664" s="1" t="s">
        <v>688</v>
      </c>
      <c r="B664">
        <f>HYPERLINK("https://www.suredividend.com/sure-analysis-CMP/","Compass Minerals International Inc")</f>
        <v>0</v>
      </c>
      <c r="C664" t="s">
        <v>885</v>
      </c>
      <c r="D664">
        <v>41</v>
      </c>
      <c r="E664">
        <v>41</v>
      </c>
      <c r="F664">
        <v>35</v>
      </c>
      <c r="G664">
        <v>1.171428571428571</v>
      </c>
      <c r="H664">
        <v>0.01463414634146341</v>
      </c>
      <c r="I664">
        <v>-0.03114934428929972</v>
      </c>
      <c r="J664">
        <v>0.05</v>
      </c>
      <c r="K664">
        <v>0.0306044047210583</v>
      </c>
      <c r="L664" t="s">
        <v>572</v>
      </c>
      <c r="M664" t="s">
        <v>631</v>
      </c>
      <c r="N664">
        <v>27.33333333333333</v>
      </c>
      <c r="O664">
        <v>1.5</v>
      </c>
      <c r="P664">
        <v>0.6</v>
      </c>
      <c r="Q664">
        <v>0.4</v>
      </c>
      <c r="R664">
        <v>0</v>
      </c>
      <c r="S664">
        <v>0</v>
      </c>
      <c r="T664" t="s">
        <v>920</v>
      </c>
      <c r="U664">
        <v>-0.179635758276674</v>
      </c>
      <c r="V664" t="s">
        <v>986</v>
      </c>
      <c r="W664" t="s">
        <v>990</v>
      </c>
      <c r="X664">
        <v>1681.956612</v>
      </c>
      <c r="Y664" s="2">
        <v>44895</v>
      </c>
      <c r="Z664" t="s">
        <v>1011</v>
      </c>
    </row>
    <row r="665" spans="1:26">
      <c r="A665" s="1" t="s">
        <v>689</v>
      </c>
      <c r="B665">
        <f>HYPERLINK("https://www.suredividend.com/sure-analysis-EXPO/","Exponent Inc.")</f>
        <v>0</v>
      </c>
      <c r="C665" t="s">
        <v>885</v>
      </c>
      <c r="D665">
        <v>98</v>
      </c>
      <c r="E665">
        <v>99.09</v>
      </c>
      <c r="F665">
        <v>73</v>
      </c>
      <c r="G665">
        <v>1.357397260273973</v>
      </c>
      <c r="H665">
        <v>0.009688162276718135</v>
      </c>
      <c r="I665">
        <v>-0.05928383617073507</v>
      </c>
      <c r="J665">
        <v>0.08</v>
      </c>
      <c r="K665">
        <v>0.02724055461452557</v>
      </c>
      <c r="L665" t="s">
        <v>572</v>
      </c>
      <c r="M665" t="s">
        <v>631</v>
      </c>
      <c r="N665">
        <v>51.60937500000001</v>
      </c>
      <c r="O665">
        <v>1.92</v>
      </c>
      <c r="P665">
        <v>0.96</v>
      </c>
      <c r="Q665">
        <v>0.5</v>
      </c>
      <c r="R665">
        <v>9</v>
      </c>
      <c r="S665">
        <v>0.0799150058822331</v>
      </c>
      <c r="T665" t="s">
        <v>920</v>
      </c>
      <c r="U665">
        <v>-0.137211195618575</v>
      </c>
      <c r="V665" t="s">
        <v>986</v>
      </c>
      <c r="W665" t="s">
        <v>991</v>
      </c>
      <c r="X665">
        <v>5017.742112</v>
      </c>
      <c r="Y665" s="2">
        <v>44874</v>
      </c>
      <c r="Z665" t="s">
        <v>1008</v>
      </c>
    </row>
    <row r="666" spans="1:26">
      <c r="A666" s="1" t="s">
        <v>690</v>
      </c>
      <c r="B666">
        <f>HYPERLINK("https://www.suredividend.com/sure-analysis-CNP/","Centerpoint Energy Inc.")</f>
        <v>0</v>
      </c>
      <c r="C666" t="s">
        <v>885</v>
      </c>
      <c r="D666">
        <v>29.1</v>
      </c>
      <c r="E666">
        <v>29.99</v>
      </c>
      <c r="F666">
        <v>22.1</v>
      </c>
      <c r="G666">
        <v>1.357013574660633</v>
      </c>
      <c r="H666">
        <v>0.02534178059353118</v>
      </c>
      <c r="I666">
        <v>-0.05923064606994444</v>
      </c>
      <c r="J666">
        <v>0.062</v>
      </c>
      <c r="K666">
        <v>0.02581102990256334</v>
      </c>
      <c r="L666" t="s">
        <v>572</v>
      </c>
      <c r="M666" t="s">
        <v>631</v>
      </c>
      <c r="N666">
        <v>21.57553956834532</v>
      </c>
      <c r="O666">
        <v>1.39</v>
      </c>
      <c r="P666">
        <v>0.76</v>
      </c>
      <c r="Q666">
        <v>0.5467625899280576</v>
      </c>
      <c r="R666">
        <v>3</v>
      </c>
      <c r="S666">
        <v>0.03439350143683439</v>
      </c>
      <c r="T666" t="s">
        <v>897</v>
      </c>
      <c r="U666">
        <v>0.103206250643751</v>
      </c>
      <c r="V666" t="s">
        <v>986</v>
      </c>
      <c r="W666" t="s">
        <v>997</v>
      </c>
      <c r="X666">
        <v>18879.773574</v>
      </c>
      <c r="Y666" s="2">
        <v>44882</v>
      </c>
      <c r="Z666" t="s">
        <v>1009</v>
      </c>
    </row>
    <row r="667" spans="1:26">
      <c r="A667" s="1" t="s">
        <v>691</v>
      </c>
      <c r="B667">
        <f>HYPERLINK("https://www.suredividend.com/sure-analysis-GOLD/","Barrick Gold Corp.")</f>
        <v>0</v>
      </c>
      <c r="C667" t="s">
        <v>884</v>
      </c>
      <c r="D667">
        <v>16</v>
      </c>
      <c r="E667">
        <v>17.18</v>
      </c>
      <c r="F667">
        <v>14</v>
      </c>
      <c r="G667">
        <v>1.227142857142857</v>
      </c>
      <c r="H667">
        <v>0.02328288707799767</v>
      </c>
      <c r="I667">
        <v>-0.04011108752539094</v>
      </c>
      <c r="J667">
        <v>0.04</v>
      </c>
      <c r="K667">
        <v>0.0219660125994372</v>
      </c>
      <c r="L667" t="s">
        <v>572</v>
      </c>
      <c r="M667" t="s">
        <v>631</v>
      </c>
      <c r="N667">
        <v>21.475</v>
      </c>
      <c r="O667">
        <v>0.8</v>
      </c>
      <c r="P667">
        <v>0.4</v>
      </c>
      <c r="Q667">
        <v>0.5</v>
      </c>
      <c r="R667">
        <v>6</v>
      </c>
      <c r="S667">
        <v>0.01924487649145656</v>
      </c>
      <c r="T667" t="s">
        <v>917</v>
      </c>
      <c r="U667">
        <v>-0.06969692046937501</v>
      </c>
      <c r="V667" t="s">
        <v>986</v>
      </c>
      <c r="W667" t="s">
        <v>990</v>
      </c>
      <c r="X667">
        <v>30263.179598</v>
      </c>
      <c r="Y667" s="2">
        <v>44896</v>
      </c>
      <c r="Z667" t="s">
        <v>1005</v>
      </c>
    </row>
    <row r="668" spans="1:26">
      <c r="A668" s="1" t="s">
        <v>692</v>
      </c>
      <c r="B668">
        <f>HYPERLINK("https://www.suredividend.com/sure-analysis-CNQ/","Canadian Natural Resources Ltd.")</f>
        <v>0</v>
      </c>
      <c r="C668" t="s">
        <v>885</v>
      </c>
      <c r="D668">
        <v>62</v>
      </c>
      <c r="E668">
        <v>55.53</v>
      </c>
      <c r="F668">
        <v>102</v>
      </c>
      <c r="G668">
        <v>0.5444117647058824</v>
      </c>
      <c r="H668">
        <v>0.04610120655501531</v>
      </c>
      <c r="I668">
        <v>0.1293134476248547</v>
      </c>
      <c r="J668">
        <v>-0.15</v>
      </c>
      <c r="K668">
        <v>0.01099944879782244</v>
      </c>
      <c r="L668" t="s">
        <v>572</v>
      </c>
      <c r="M668" t="s">
        <v>887</v>
      </c>
      <c r="N668">
        <v>6.532941176470588</v>
      </c>
      <c r="O668">
        <v>8.5</v>
      </c>
      <c r="P668">
        <v>2.56</v>
      </c>
      <c r="Q668">
        <v>0.3011764705882353</v>
      </c>
      <c r="R668">
        <v>6</v>
      </c>
      <c r="S668">
        <v>0.01515842519260069</v>
      </c>
      <c r="T668" t="s">
        <v>888</v>
      </c>
      <c r="U668">
        <v>0.417891011597444</v>
      </c>
      <c r="V668" t="s">
        <v>986</v>
      </c>
      <c r="W668" t="s">
        <v>999</v>
      </c>
      <c r="X668">
        <v>61488.643374</v>
      </c>
      <c r="Y668" s="2">
        <v>44879</v>
      </c>
      <c r="Z668" t="s">
        <v>1003</v>
      </c>
    </row>
    <row r="669" spans="1:26">
      <c r="A669" s="1" t="s">
        <v>693</v>
      </c>
      <c r="B669">
        <f>HYPERLINK("https://www.suredividend.com/sure-analysis-ETN/","Eaton Corporation plc")</f>
        <v>0</v>
      </c>
      <c r="C669" t="s">
        <v>885</v>
      </c>
      <c r="D669">
        <v>152</v>
      </c>
      <c r="E669">
        <v>156.95</v>
      </c>
      <c r="F669">
        <v>121</v>
      </c>
      <c r="G669">
        <v>1.297107438016529</v>
      </c>
      <c r="H669">
        <v>0.02064351704364448</v>
      </c>
      <c r="I669">
        <v>-0.05069709460961025</v>
      </c>
      <c r="J669">
        <v>0.04</v>
      </c>
      <c r="K669">
        <v>0.009985336366840514</v>
      </c>
      <c r="L669" t="s">
        <v>572</v>
      </c>
      <c r="M669" t="s">
        <v>631</v>
      </c>
      <c r="N669">
        <v>20.76058201058201</v>
      </c>
      <c r="O669">
        <v>7.56</v>
      </c>
      <c r="P669">
        <v>3.24</v>
      </c>
      <c r="Q669">
        <v>0.4285714285714286</v>
      </c>
      <c r="R669">
        <v>13</v>
      </c>
      <c r="S669">
        <v>0.0302166557593837</v>
      </c>
      <c r="T669" t="s">
        <v>890</v>
      </c>
      <c r="U669">
        <v>-0.06424485245237001</v>
      </c>
      <c r="V669" t="s">
        <v>986</v>
      </c>
      <c r="W669" t="s">
        <v>991</v>
      </c>
      <c r="X669">
        <v>62419.015</v>
      </c>
      <c r="Y669" s="2">
        <v>44867</v>
      </c>
      <c r="Z669" t="s">
        <v>1001</v>
      </c>
    </row>
    <row r="670" spans="1:26">
      <c r="A670" s="1" t="s">
        <v>694</v>
      </c>
      <c r="B670">
        <f>HYPERLINK("https://www.suredividend.com/sure-analysis-RACE/","Ferrari N.V.")</f>
        <v>0</v>
      </c>
      <c r="C670" t="s">
        <v>885</v>
      </c>
      <c r="D670">
        <v>212</v>
      </c>
      <c r="E670">
        <v>214.22</v>
      </c>
      <c r="F670">
        <v>148</v>
      </c>
      <c r="G670">
        <v>1.447432432432432</v>
      </c>
      <c r="H670">
        <v>0.006862104378676127</v>
      </c>
      <c r="I670">
        <v>-0.07128953341243016</v>
      </c>
      <c r="J670">
        <v>0.075</v>
      </c>
      <c r="K670">
        <v>0.006843259871226026</v>
      </c>
      <c r="L670" t="s">
        <v>572</v>
      </c>
      <c r="M670" t="s">
        <v>631</v>
      </c>
      <c r="N670">
        <v>42.08644400785855</v>
      </c>
      <c r="O670">
        <v>5.09</v>
      </c>
      <c r="P670">
        <v>1.47</v>
      </c>
      <c r="Q670">
        <v>0.2888015717092338</v>
      </c>
      <c r="R670">
        <v>1</v>
      </c>
      <c r="S670">
        <v>0.07496178202119941</v>
      </c>
      <c r="T670" t="s">
        <v>980</v>
      </c>
      <c r="U670">
        <v>-0.160316384570548</v>
      </c>
      <c r="V670" t="s">
        <v>986</v>
      </c>
      <c r="W670" t="s">
        <v>992</v>
      </c>
      <c r="X670">
        <v>39576.692996</v>
      </c>
      <c r="Y670" s="2">
        <v>44880</v>
      </c>
      <c r="Z670" t="s">
        <v>1001</v>
      </c>
    </row>
    <row r="671" spans="1:26">
      <c r="A671" s="1" t="s">
        <v>695</v>
      </c>
      <c r="B671">
        <f>HYPERLINK("https://www.suredividend.com/sure-analysis-AES/","AES Corp.")</f>
        <v>0</v>
      </c>
      <c r="C671" t="s">
        <v>885</v>
      </c>
      <c r="D671">
        <v>27</v>
      </c>
      <c r="E671">
        <v>28.76</v>
      </c>
      <c r="F671">
        <v>19</v>
      </c>
      <c r="G671">
        <v>1.513684210526316</v>
      </c>
      <c r="H671">
        <v>0.02190542420027816</v>
      </c>
      <c r="I671">
        <v>-0.0795653830280435</v>
      </c>
      <c r="J671">
        <v>0.065</v>
      </c>
      <c r="K671">
        <v>0.006477240479508817</v>
      </c>
      <c r="L671" t="s">
        <v>572</v>
      </c>
      <c r="M671" t="s">
        <v>631</v>
      </c>
      <c r="N671">
        <v>17.975</v>
      </c>
      <c r="O671">
        <v>1.6</v>
      </c>
      <c r="P671">
        <v>0.63</v>
      </c>
      <c r="Q671">
        <v>0.39375</v>
      </c>
      <c r="R671">
        <v>10</v>
      </c>
      <c r="S671">
        <v>0.05154749679728043</v>
      </c>
      <c r="T671" t="s">
        <v>932</v>
      </c>
      <c r="U671">
        <v>0.223423714681935</v>
      </c>
      <c r="V671" t="s">
        <v>986</v>
      </c>
      <c r="W671" t="s">
        <v>999</v>
      </c>
      <c r="X671">
        <v>19210.235615</v>
      </c>
      <c r="Y671" s="2">
        <v>44874</v>
      </c>
      <c r="Z671" t="s">
        <v>1008</v>
      </c>
    </row>
    <row r="672" spans="1:26">
      <c r="A672" s="1" t="s">
        <v>696</v>
      </c>
      <c r="B672">
        <f>HYPERLINK("https://www.suredividend.com/sure-analysis-SCHL/","Scholastic Corp.")</f>
        <v>0</v>
      </c>
      <c r="C672" t="s">
        <v>885</v>
      </c>
      <c r="D672">
        <v>39</v>
      </c>
      <c r="E672">
        <v>39.46</v>
      </c>
      <c r="F672">
        <v>29</v>
      </c>
      <c r="G672">
        <v>1.360689655172414</v>
      </c>
      <c r="H672">
        <v>0.02027369488089204</v>
      </c>
      <c r="I672">
        <v>-0.05973951849521453</v>
      </c>
      <c r="J672">
        <v>0.04</v>
      </c>
      <c r="K672">
        <v>0.002328596529580951</v>
      </c>
      <c r="L672" t="s">
        <v>572</v>
      </c>
      <c r="M672" t="s">
        <v>631</v>
      </c>
      <c r="N672">
        <v>23.21176470588236</v>
      </c>
      <c r="O672">
        <v>1.7</v>
      </c>
      <c r="P672">
        <v>0.8</v>
      </c>
      <c r="Q672">
        <v>0.4705882352941177</v>
      </c>
      <c r="R672">
        <v>1</v>
      </c>
      <c r="S672">
        <v>0.04978904632428516</v>
      </c>
      <c r="T672" t="s">
        <v>926</v>
      </c>
      <c r="U672">
        <v>-0.010305761846359</v>
      </c>
      <c r="V672" t="s">
        <v>986</v>
      </c>
      <c r="W672" t="s">
        <v>995</v>
      </c>
      <c r="X672">
        <v>1276.720013</v>
      </c>
      <c r="Y672" s="2">
        <v>44862</v>
      </c>
      <c r="Z672" t="s">
        <v>1007</v>
      </c>
    </row>
    <row r="673" spans="1:26">
      <c r="A673" s="1" t="s">
        <v>697</v>
      </c>
      <c r="B673">
        <f>HYPERLINK("https://www.suredividend.com/sure-analysis-WPM/","Wheaton Precious Metals Corp")</f>
        <v>0</v>
      </c>
      <c r="C673" t="s">
        <v>885</v>
      </c>
      <c r="D673">
        <v>40</v>
      </c>
      <c r="E673">
        <v>39.08</v>
      </c>
      <c r="F673">
        <v>34</v>
      </c>
      <c r="G673">
        <v>1.149411764705882</v>
      </c>
      <c r="H673">
        <v>0.01535312180143296</v>
      </c>
      <c r="I673">
        <v>-0.02746582285349952</v>
      </c>
      <c r="J673">
        <v>0.01</v>
      </c>
      <c r="K673">
        <v>-0.0008609765813533121</v>
      </c>
      <c r="L673" t="s">
        <v>572</v>
      </c>
      <c r="M673" t="s">
        <v>631</v>
      </c>
      <c r="N673">
        <v>32.56666666666667</v>
      </c>
      <c r="O673">
        <v>1.2</v>
      </c>
      <c r="P673">
        <v>0.6</v>
      </c>
      <c r="Q673">
        <v>0.5</v>
      </c>
      <c r="R673">
        <v>3</v>
      </c>
      <c r="S673">
        <v>0.01924487649145656</v>
      </c>
      <c r="T673" t="s">
        <v>949</v>
      </c>
      <c r="U673">
        <v>-0.07208441467474201</v>
      </c>
      <c r="V673" t="s">
        <v>986</v>
      </c>
      <c r="W673" t="s">
        <v>990</v>
      </c>
      <c r="X673">
        <v>17662.712477</v>
      </c>
      <c r="Y673" s="2">
        <v>44898</v>
      </c>
      <c r="Z673" t="s">
        <v>1005</v>
      </c>
    </row>
    <row r="674" spans="1:26">
      <c r="A674" s="1" t="s">
        <v>698</v>
      </c>
      <c r="B674">
        <f>HYPERLINK("https://www.suredividend.com/sure-analysis-SLB/","SLB")</f>
        <v>0</v>
      </c>
      <c r="C674" t="s">
        <v>885</v>
      </c>
      <c r="D674">
        <v>50</v>
      </c>
      <c r="E674">
        <v>53.46</v>
      </c>
      <c r="F674">
        <v>31</v>
      </c>
      <c r="G674">
        <v>1.724516129032258</v>
      </c>
      <c r="H674">
        <v>0.01309390198279087</v>
      </c>
      <c r="I674">
        <v>-0.1032599885515175</v>
      </c>
      <c r="J674">
        <v>0.09</v>
      </c>
      <c r="K674">
        <v>-0.004078464370266266</v>
      </c>
      <c r="L674" t="s">
        <v>572</v>
      </c>
      <c r="M674" t="s">
        <v>631</v>
      </c>
      <c r="N674">
        <v>24.3</v>
      </c>
      <c r="O674">
        <v>2.2</v>
      </c>
      <c r="P674">
        <v>0.7</v>
      </c>
      <c r="Q674">
        <v>0.3181818181818181</v>
      </c>
      <c r="R674">
        <v>1</v>
      </c>
      <c r="S674">
        <v>0.09856054330611785</v>
      </c>
      <c r="T674" t="s">
        <v>915</v>
      </c>
      <c r="U674">
        <v>0.8044838690078371</v>
      </c>
      <c r="V674" t="s">
        <v>986</v>
      </c>
      <c r="W674" t="s">
        <v>999</v>
      </c>
      <c r="X674">
        <v>75805.947212</v>
      </c>
      <c r="Y674" s="2">
        <v>44858</v>
      </c>
      <c r="Z674" t="s">
        <v>1003</v>
      </c>
    </row>
    <row r="675" spans="1:26">
      <c r="A675" s="1" t="s">
        <v>699</v>
      </c>
      <c r="B675">
        <f>HYPERLINK("https://www.suredividend.com/sure-analysis-COLD/","Americold Realty Trust Inc")</f>
        <v>0</v>
      </c>
      <c r="C675" t="s">
        <v>885</v>
      </c>
      <c r="D675">
        <v>28.13</v>
      </c>
      <c r="E675">
        <v>28.31</v>
      </c>
      <c r="F675">
        <v>19.8</v>
      </c>
      <c r="G675">
        <v>1.42979797979798</v>
      </c>
      <c r="H675">
        <v>0.03108442246555988</v>
      </c>
      <c r="I675">
        <v>-0.06900989701699611</v>
      </c>
      <c r="J675">
        <v>0.03</v>
      </c>
      <c r="K675">
        <v>-0.004293205433414382</v>
      </c>
      <c r="L675" t="s">
        <v>572</v>
      </c>
      <c r="M675" t="s">
        <v>572</v>
      </c>
      <c r="N675">
        <v>25.73636363636363</v>
      </c>
      <c r="O675">
        <v>1.1</v>
      </c>
      <c r="P675">
        <v>0.88</v>
      </c>
      <c r="Q675">
        <v>0.7999999999999999</v>
      </c>
      <c r="R675">
        <v>3</v>
      </c>
      <c r="S675">
        <v>0.02589630491023409</v>
      </c>
      <c r="T675" t="s">
        <v>905</v>
      </c>
      <c r="U675">
        <v>0.04706038997544101</v>
      </c>
      <c r="V675" t="s">
        <v>987</v>
      </c>
      <c r="W675" t="s">
        <v>1000</v>
      </c>
      <c r="X675">
        <v>7626.693815</v>
      </c>
      <c r="Y675" s="2">
        <v>44875</v>
      </c>
      <c r="Z675" t="s">
        <v>1011</v>
      </c>
    </row>
    <row r="676" spans="1:26">
      <c r="A676" s="1" t="s">
        <v>700</v>
      </c>
      <c r="B676">
        <f>HYPERLINK("https://www.suredividend.com/sure-analysis-PSO/","Pearson plc")</f>
        <v>0</v>
      </c>
      <c r="C676" t="s">
        <v>885</v>
      </c>
      <c r="D676">
        <v>11.7</v>
      </c>
      <c r="E676">
        <v>11.27</v>
      </c>
      <c r="F676">
        <v>8.300000000000001</v>
      </c>
      <c r="G676">
        <v>1.357831325301205</v>
      </c>
      <c r="H676">
        <v>0.02218278615794144</v>
      </c>
      <c r="I676">
        <v>-0.05934398859219192</v>
      </c>
      <c r="J676">
        <v>0.03</v>
      </c>
      <c r="K676">
        <v>-0.007165398746933227</v>
      </c>
      <c r="L676" t="s">
        <v>572</v>
      </c>
      <c r="M676" t="s">
        <v>631</v>
      </c>
      <c r="N676">
        <v>20.49090909090909</v>
      </c>
      <c r="O676">
        <v>0.55</v>
      </c>
      <c r="P676">
        <v>0.25</v>
      </c>
      <c r="Q676">
        <v>0.4545454545454545</v>
      </c>
      <c r="R676">
        <v>0</v>
      </c>
      <c r="S676">
        <v>0</v>
      </c>
      <c r="T676" t="s">
        <v>981</v>
      </c>
      <c r="U676">
        <v>0.3902423980756181</v>
      </c>
      <c r="V676" t="s">
        <v>986</v>
      </c>
      <c r="W676" t="s">
        <v>995</v>
      </c>
      <c r="X676">
        <v>8124.813097</v>
      </c>
      <c r="Y676" s="2">
        <v>44889</v>
      </c>
      <c r="Z676" t="s">
        <v>1007</v>
      </c>
    </row>
    <row r="677" spans="1:26">
      <c r="A677" s="1" t="s">
        <v>701</v>
      </c>
      <c r="B677">
        <f>HYPERLINK("https://www.suredividend.com/sure-analysis-MLR/","Miller Industries Inc.")</f>
        <v>0</v>
      </c>
      <c r="C677" t="s">
        <v>885</v>
      </c>
      <c r="D677">
        <v>27.8</v>
      </c>
      <c r="E677">
        <v>26.66</v>
      </c>
      <c r="F677">
        <v>18.5</v>
      </c>
      <c r="G677">
        <v>1.441081081081081</v>
      </c>
      <c r="H677">
        <v>0.02700675168792198</v>
      </c>
      <c r="I677">
        <v>-0.07047234204889563</v>
      </c>
      <c r="J677">
        <v>0.03</v>
      </c>
      <c r="K677">
        <v>-0.01240786131071969</v>
      </c>
      <c r="L677" t="s">
        <v>572</v>
      </c>
      <c r="M677" t="s">
        <v>631</v>
      </c>
      <c r="N677">
        <v>18.77464788732394</v>
      </c>
      <c r="O677">
        <v>1.42</v>
      </c>
      <c r="P677">
        <v>0.72</v>
      </c>
      <c r="Q677">
        <v>0.5070422535211268</v>
      </c>
      <c r="R677">
        <v>0</v>
      </c>
      <c r="S677">
        <v>0</v>
      </c>
      <c r="T677" t="s">
        <v>902</v>
      </c>
      <c r="U677">
        <v>-0.178025596517245</v>
      </c>
      <c r="V677" t="s">
        <v>986</v>
      </c>
      <c r="W677" t="s">
        <v>991</v>
      </c>
      <c r="X677">
        <v>304.369649</v>
      </c>
      <c r="Y677" s="2">
        <v>44878</v>
      </c>
      <c r="Z677" t="s">
        <v>1012</v>
      </c>
    </row>
    <row r="678" spans="1:26">
      <c r="A678" s="1" t="s">
        <v>702</v>
      </c>
      <c r="B678">
        <f>HYPERLINK("https://www.suredividend.com/sure-analysis-KALU/","Kaiser Aluminum Corp")</f>
        <v>0</v>
      </c>
      <c r="C678" t="s">
        <v>885</v>
      </c>
      <c r="D678">
        <v>80</v>
      </c>
      <c r="E678">
        <v>75.95999999999999</v>
      </c>
      <c r="F678">
        <v>54</v>
      </c>
      <c r="G678">
        <v>1.406666666666667</v>
      </c>
      <c r="H678">
        <v>0.04054765666140074</v>
      </c>
      <c r="I678">
        <v>-0.06596798858401309</v>
      </c>
      <c r="J678">
        <v>0</v>
      </c>
      <c r="K678">
        <v>-0.01242366734764533</v>
      </c>
      <c r="L678" t="s">
        <v>572</v>
      </c>
      <c r="M678" t="s">
        <v>572</v>
      </c>
      <c r="N678">
        <v>12.76638655462185</v>
      </c>
      <c r="O678">
        <v>5.95</v>
      </c>
      <c r="P678">
        <v>3.08</v>
      </c>
      <c r="Q678">
        <v>0.5176470588235295</v>
      </c>
      <c r="R678">
        <v>11</v>
      </c>
      <c r="S678">
        <v>0.04015032772751037</v>
      </c>
      <c r="T678" t="s">
        <v>964</v>
      </c>
      <c r="U678">
        <v>-0.161991758923695</v>
      </c>
      <c r="V678" t="s">
        <v>986</v>
      </c>
      <c r="W678" t="s">
        <v>990</v>
      </c>
      <c r="X678">
        <v>1210.849875</v>
      </c>
      <c r="Y678" s="2">
        <v>44864</v>
      </c>
      <c r="Z678" t="s">
        <v>1011</v>
      </c>
    </row>
    <row r="679" spans="1:26">
      <c r="A679" s="1" t="s">
        <v>703</v>
      </c>
      <c r="B679">
        <f>HYPERLINK("https://www.suredividend.com/sure-analysis-TRN/","Trinity Industries, Inc.")</f>
        <v>0</v>
      </c>
      <c r="C679" t="s">
        <v>885</v>
      </c>
      <c r="D679">
        <v>28</v>
      </c>
      <c r="E679">
        <v>29.57</v>
      </c>
      <c r="F679">
        <v>15</v>
      </c>
      <c r="G679">
        <v>1.971333333333333</v>
      </c>
      <c r="H679">
        <v>0.0311126141359486</v>
      </c>
      <c r="I679">
        <v>-0.1269321682417289</v>
      </c>
      <c r="J679">
        <v>0.08</v>
      </c>
      <c r="K679">
        <v>-0.01396764645452298</v>
      </c>
      <c r="L679" t="s">
        <v>572</v>
      </c>
      <c r="M679" t="s">
        <v>572</v>
      </c>
      <c r="N679">
        <v>28.99019607843137</v>
      </c>
      <c r="O679">
        <v>1.02</v>
      </c>
      <c r="P679">
        <v>0.92</v>
      </c>
      <c r="Q679">
        <v>0.9019607843137255</v>
      </c>
      <c r="R679">
        <v>12</v>
      </c>
      <c r="S679">
        <v>0.06151655480544238</v>
      </c>
      <c r="T679" t="s">
        <v>912</v>
      </c>
      <c r="U679">
        <v>0.038130312211459</v>
      </c>
      <c r="V679" t="s">
        <v>986</v>
      </c>
      <c r="W679" t="s">
        <v>991</v>
      </c>
      <c r="X679">
        <v>2407.097621</v>
      </c>
      <c r="Y679" s="2">
        <v>44865</v>
      </c>
      <c r="Z679" t="s">
        <v>1010</v>
      </c>
    </row>
    <row r="680" spans="1:26">
      <c r="A680" s="1" t="s">
        <v>704</v>
      </c>
      <c r="B680">
        <f>HYPERLINK("https://www.suredividend.com/sure-analysis-AZN/","Astrazeneca plc")</f>
        <v>0</v>
      </c>
      <c r="C680" t="s">
        <v>885</v>
      </c>
      <c r="D680">
        <v>64</v>
      </c>
      <c r="E680">
        <v>67.8</v>
      </c>
      <c r="F680">
        <v>44</v>
      </c>
      <c r="G680">
        <v>1.540909090909091</v>
      </c>
      <c r="H680">
        <v>0.02138643067846608</v>
      </c>
      <c r="I680">
        <v>-0.08284107515510541</v>
      </c>
      <c r="J680">
        <v>0.04</v>
      </c>
      <c r="K680">
        <v>-0.0216142957044404</v>
      </c>
      <c r="L680" t="s">
        <v>572</v>
      </c>
      <c r="M680" t="s">
        <v>631</v>
      </c>
      <c r="N680">
        <v>20</v>
      </c>
      <c r="O680">
        <v>3.39</v>
      </c>
      <c r="P680">
        <v>1.45</v>
      </c>
      <c r="Q680">
        <v>0.4277286135693215</v>
      </c>
      <c r="R680">
        <v>1</v>
      </c>
      <c r="S680">
        <v>0</v>
      </c>
      <c r="T680" t="s">
        <v>981</v>
      </c>
      <c r="U680">
        <v>0.187072465696582</v>
      </c>
      <c r="V680" t="s">
        <v>986</v>
      </c>
      <c r="W680" t="s">
        <v>998</v>
      </c>
      <c r="X680">
        <v>210101.371933</v>
      </c>
      <c r="Y680" s="2">
        <v>44881</v>
      </c>
      <c r="Z680" t="s">
        <v>1001</v>
      </c>
    </row>
    <row r="681" spans="1:26">
      <c r="A681" s="1" t="s">
        <v>705</v>
      </c>
      <c r="B681">
        <f>HYPERLINK("https://www.suredividend.com/sure-analysis-OSK/","Oshkosh Corp")</f>
        <v>0</v>
      </c>
      <c r="C681" t="s">
        <v>885</v>
      </c>
      <c r="D681">
        <v>89</v>
      </c>
      <c r="E681">
        <v>88.19</v>
      </c>
      <c r="F681">
        <v>49</v>
      </c>
      <c r="G681">
        <v>1.799795918367347</v>
      </c>
      <c r="H681">
        <v>0.01678194806667423</v>
      </c>
      <c r="I681">
        <v>-0.1108903017357491</v>
      </c>
      <c r="J681">
        <v>0.07000000000000001</v>
      </c>
      <c r="K681">
        <v>-0.02322410972254429</v>
      </c>
      <c r="L681" t="s">
        <v>572</v>
      </c>
      <c r="M681" t="s">
        <v>631</v>
      </c>
      <c r="N681">
        <v>25.19714285714286</v>
      </c>
      <c r="O681">
        <v>3.5</v>
      </c>
      <c r="P681">
        <v>1.48</v>
      </c>
      <c r="Q681">
        <v>0.4228571428571429</v>
      </c>
      <c r="R681">
        <v>9</v>
      </c>
      <c r="S681">
        <v>0.09122612129561491</v>
      </c>
      <c r="T681" t="s">
        <v>914</v>
      </c>
      <c r="U681">
        <v>-0.198457082143834</v>
      </c>
      <c r="V681" t="s">
        <v>986</v>
      </c>
      <c r="W681" t="s">
        <v>991</v>
      </c>
      <c r="X681">
        <v>5767.079046</v>
      </c>
      <c r="Y681" s="2">
        <v>44867</v>
      </c>
      <c r="Z681" t="s">
        <v>1008</v>
      </c>
    </row>
    <row r="682" spans="1:26">
      <c r="A682" s="1" t="s">
        <v>706</v>
      </c>
      <c r="B682">
        <f>HYPERLINK("https://www.suredividend.com/sure-analysis-RYN/","Rayonier Inc.")</f>
        <v>0</v>
      </c>
      <c r="C682" t="s">
        <v>885</v>
      </c>
      <c r="D682">
        <v>36</v>
      </c>
      <c r="E682">
        <v>32.96</v>
      </c>
      <c r="F682">
        <v>20</v>
      </c>
      <c r="G682">
        <v>1.648</v>
      </c>
      <c r="H682">
        <v>0.03428398058252427</v>
      </c>
      <c r="I682">
        <v>-0.09508339282637102</v>
      </c>
      <c r="J682">
        <v>0.025</v>
      </c>
      <c r="K682">
        <v>-0.02775234842559904</v>
      </c>
      <c r="L682" t="s">
        <v>572</v>
      </c>
      <c r="M682" t="s">
        <v>572</v>
      </c>
      <c r="N682">
        <v>27.46666666666667</v>
      </c>
      <c r="O682">
        <v>1.2</v>
      </c>
      <c r="P682">
        <v>1.13</v>
      </c>
      <c r="Q682">
        <v>0.9416666666666667</v>
      </c>
      <c r="R682">
        <v>1</v>
      </c>
      <c r="S682">
        <v>0.02039028219796957</v>
      </c>
      <c r="T682" t="s">
        <v>888</v>
      </c>
      <c r="U682">
        <v>-0.158662129840692</v>
      </c>
      <c r="V682" t="s">
        <v>987</v>
      </c>
      <c r="W682" t="s">
        <v>1000</v>
      </c>
      <c r="X682">
        <v>4826.138797</v>
      </c>
      <c r="Y682" s="2">
        <v>44888</v>
      </c>
      <c r="Z682" t="s">
        <v>1006</v>
      </c>
    </row>
    <row r="683" spans="1:26">
      <c r="A683" s="1" t="s">
        <v>707</v>
      </c>
      <c r="B683">
        <f>HYPERLINK("https://www.suredividend.com/sure-analysis-HLI/","Houlihan Lokey Inc")</f>
        <v>0</v>
      </c>
      <c r="C683" t="s">
        <v>885</v>
      </c>
      <c r="D683">
        <v>93</v>
      </c>
      <c r="E683">
        <v>87.16</v>
      </c>
      <c r="F683">
        <v>78</v>
      </c>
      <c r="G683">
        <v>1.117435897435897</v>
      </c>
      <c r="H683">
        <v>0.02432308398347866</v>
      </c>
      <c r="I683">
        <v>-0.02196256900370475</v>
      </c>
      <c r="J683">
        <v>-0.05</v>
      </c>
      <c r="K683">
        <v>-0.03942037910101337</v>
      </c>
      <c r="L683" t="s">
        <v>572</v>
      </c>
      <c r="M683" t="s">
        <v>572</v>
      </c>
      <c r="N683">
        <v>14.52666666666667</v>
      </c>
      <c r="O683">
        <v>6</v>
      </c>
      <c r="P683">
        <v>2.12</v>
      </c>
      <c r="Q683">
        <v>0.3533333333333333</v>
      </c>
      <c r="R683">
        <v>6</v>
      </c>
      <c r="S683">
        <v>0.01016845023520419</v>
      </c>
      <c r="T683" t="s">
        <v>889</v>
      </c>
      <c r="U683">
        <v>-0.136747650222349</v>
      </c>
      <c r="V683" t="s">
        <v>986</v>
      </c>
      <c r="W683" t="s">
        <v>994</v>
      </c>
      <c r="X683">
        <v>4344.997733</v>
      </c>
      <c r="Y683" s="2">
        <v>44870</v>
      </c>
      <c r="Z683" t="s">
        <v>1013</v>
      </c>
    </row>
    <row r="684" spans="1:26">
      <c r="A684" s="1" t="s">
        <v>708</v>
      </c>
      <c r="B684">
        <f>HYPERLINK("https://www.suredividend.com/sure-analysis-PGR/","Progressive Corp.")</f>
        <v>0</v>
      </c>
      <c r="C684" t="s">
        <v>885</v>
      </c>
      <c r="D684">
        <v>118</v>
      </c>
      <c r="E684">
        <v>129.71</v>
      </c>
      <c r="F684">
        <v>63</v>
      </c>
      <c r="G684">
        <v>2.058888888888889</v>
      </c>
      <c r="H684">
        <v>0.0146480610592861</v>
      </c>
      <c r="I684">
        <v>-0.1344873534175002</v>
      </c>
      <c r="J684">
        <v>0.08</v>
      </c>
      <c r="K684">
        <v>-0.04211652671162458</v>
      </c>
      <c r="L684" t="s">
        <v>572</v>
      </c>
      <c r="M684" t="s">
        <v>631</v>
      </c>
      <c r="N684">
        <v>28.82444444444445</v>
      </c>
      <c r="O684">
        <v>4.5</v>
      </c>
      <c r="P684">
        <v>1.9</v>
      </c>
      <c r="Q684">
        <v>0.4222222222222222</v>
      </c>
      <c r="R684">
        <v>0</v>
      </c>
      <c r="S684">
        <v>0.07986662909550124</v>
      </c>
      <c r="T684" t="s">
        <v>903</v>
      </c>
      <c r="U684">
        <v>0.2631478489676</v>
      </c>
      <c r="V684" t="s">
        <v>986</v>
      </c>
      <c r="W684" t="s">
        <v>994</v>
      </c>
      <c r="X684">
        <v>75889.39234400001</v>
      </c>
      <c r="Y684" s="2">
        <v>44848</v>
      </c>
      <c r="Z684" t="s">
        <v>1011</v>
      </c>
    </row>
    <row r="685" spans="1:26">
      <c r="A685" s="1" t="s">
        <v>709</v>
      </c>
      <c r="B685">
        <f>HYPERLINK("https://www.suredividend.com/sure-analysis-VLO/","Valero Energy Corp.")</f>
        <v>0</v>
      </c>
      <c r="C685" t="s">
        <v>885</v>
      </c>
      <c r="D685">
        <v>127</v>
      </c>
      <c r="E685">
        <v>126.86</v>
      </c>
      <c r="F685">
        <v>81</v>
      </c>
      <c r="G685">
        <v>1.566172839506173</v>
      </c>
      <c r="H685">
        <v>0.03090020495033896</v>
      </c>
      <c r="I685">
        <v>-0.08581927042180382</v>
      </c>
      <c r="J685">
        <v>0</v>
      </c>
      <c r="K685">
        <v>-0.04532696772681932</v>
      </c>
      <c r="L685" t="s">
        <v>572</v>
      </c>
      <c r="M685" t="s">
        <v>572</v>
      </c>
      <c r="N685">
        <v>16.91466666666667</v>
      </c>
      <c r="O685">
        <v>7.5</v>
      </c>
      <c r="P685">
        <v>3.92</v>
      </c>
      <c r="Q685">
        <v>0.5226666666666666</v>
      </c>
      <c r="R685">
        <v>0</v>
      </c>
      <c r="S685">
        <v>0</v>
      </c>
      <c r="T685" t="s">
        <v>897</v>
      </c>
      <c r="U685">
        <v>0.769087133746947</v>
      </c>
      <c r="V685" t="s">
        <v>986</v>
      </c>
      <c r="W685" t="s">
        <v>999</v>
      </c>
      <c r="X685">
        <v>48907.483047</v>
      </c>
      <c r="Y685" s="2">
        <v>44860</v>
      </c>
      <c r="Z685" t="s">
        <v>1003</v>
      </c>
    </row>
    <row r="686" spans="1:26">
      <c r="A686" s="1" t="s">
        <v>710</v>
      </c>
      <c r="B686">
        <f>HYPERLINK("https://www.suredividend.com/sure-analysis-APA/","APA Corporation")</f>
        <v>0</v>
      </c>
      <c r="C686" t="s">
        <v>885</v>
      </c>
      <c r="D686">
        <v>49</v>
      </c>
      <c r="E686">
        <v>46.68</v>
      </c>
      <c r="F686">
        <v>29</v>
      </c>
      <c r="G686">
        <v>1.609655172413793</v>
      </c>
      <c r="H686">
        <v>0.02142245072836332</v>
      </c>
      <c r="I686">
        <v>-0.09081255458572468</v>
      </c>
      <c r="J686">
        <v>0</v>
      </c>
      <c r="K686">
        <v>-0.05759379245735519</v>
      </c>
      <c r="L686" t="s">
        <v>572</v>
      </c>
      <c r="M686" t="s">
        <v>631</v>
      </c>
      <c r="N686">
        <v>23.34</v>
      </c>
      <c r="O686">
        <v>2</v>
      </c>
      <c r="P686">
        <v>1</v>
      </c>
      <c r="Q686">
        <v>0.5</v>
      </c>
      <c r="R686">
        <v>1</v>
      </c>
      <c r="S686">
        <v>0.04396114979019283</v>
      </c>
      <c r="T686" t="s">
        <v>892</v>
      </c>
      <c r="U686">
        <v>0.753318459423523</v>
      </c>
      <c r="V686" t="s">
        <v>986</v>
      </c>
      <c r="W686" t="s">
        <v>999</v>
      </c>
      <c r="X686">
        <v>15008.170871</v>
      </c>
      <c r="Y686" s="2">
        <v>44873</v>
      </c>
      <c r="Z686" t="s">
        <v>1003</v>
      </c>
    </row>
    <row r="687" spans="1:26">
      <c r="A687" s="1" t="s">
        <v>711</v>
      </c>
      <c r="B687">
        <f>HYPERLINK("https://www.suredividend.com/sure-analysis-BRMK/","Broadmark Realty Capital Inc")</f>
        <v>0</v>
      </c>
      <c r="C687" t="s">
        <v>883</v>
      </c>
      <c r="D687">
        <v>5.23</v>
      </c>
      <c r="E687">
        <v>3.56</v>
      </c>
      <c r="F687">
        <v>6.1</v>
      </c>
      <c r="G687">
        <v>0.5836065573770493</v>
      </c>
      <c r="H687">
        <v>0.2359550561797753</v>
      </c>
      <c r="I687">
        <v>0.1137198684138792</v>
      </c>
      <c r="J687">
        <v>0.03</v>
      </c>
      <c r="K687">
        <v>0.2592353216582133</v>
      </c>
      <c r="L687" t="s">
        <v>631</v>
      </c>
      <c r="M687" t="s">
        <v>573</v>
      </c>
      <c r="N687">
        <v>5.836065573770492</v>
      </c>
      <c r="O687">
        <v>0.61</v>
      </c>
      <c r="P687">
        <v>0.84</v>
      </c>
      <c r="Q687">
        <v>1.377049180327869</v>
      </c>
      <c r="R687">
        <v>1</v>
      </c>
      <c r="S687">
        <v>0</v>
      </c>
      <c r="T687" t="s">
        <v>905</v>
      </c>
      <c r="U687">
        <v>-0.5767497711357611</v>
      </c>
      <c r="V687" t="s">
        <v>987</v>
      </c>
      <c r="W687" t="s">
        <v>1000</v>
      </c>
      <c r="X687">
        <v>473.202587</v>
      </c>
      <c r="Y687" s="2">
        <v>44880</v>
      </c>
      <c r="Z687" t="s">
        <v>1001</v>
      </c>
    </row>
    <row r="688" spans="1:26">
      <c r="A688" s="1" t="s">
        <v>712</v>
      </c>
      <c r="B688">
        <f>HYPERLINK("https://www.suredividend.com/sure-analysis-IIPR/","Innovative Industrial Properties Inc")</f>
        <v>0</v>
      </c>
      <c r="C688" t="s">
        <v>883</v>
      </c>
      <c r="D688">
        <v>110</v>
      </c>
      <c r="E688">
        <v>101.35</v>
      </c>
      <c r="F688">
        <v>128</v>
      </c>
      <c r="G688">
        <v>0.791796875</v>
      </c>
      <c r="H688">
        <v>0.0710409472126295</v>
      </c>
      <c r="I688">
        <v>0.04779722355616767</v>
      </c>
      <c r="J688">
        <v>0.15</v>
      </c>
      <c r="K688">
        <v>0.2471760193867549</v>
      </c>
      <c r="L688" t="s">
        <v>631</v>
      </c>
      <c r="M688" t="s">
        <v>573</v>
      </c>
      <c r="N688">
        <v>12.66875</v>
      </c>
      <c r="O688">
        <v>8</v>
      </c>
      <c r="P688">
        <v>7.2</v>
      </c>
      <c r="Q688">
        <v>0.9</v>
      </c>
      <c r="R688">
        <v>6</v>
      </c>
      <c r="S688">
        <v>0.100082101138866</v>
      </c>
      <c r="T688" t="s">
        <v>905</v>
      </c>
      <c r="U688">
        <v>-0.5873110884440991</v>
      </c>
      <c r="V688" t="s">
        <v>987</v>
      </c>
      <c r="W688" t="s">
        <v>1000</v>
      </c>
      <c r="X688">
        <v>2835.058178</v>
      </c>
      <c r="Y688" s="2">
        <v>44872</v>
      </c>
      <c r="Z688" t="s">
        <v>1011</v>
      </c>
    </row>
    <row r="689" spans="1:26">
      <c r="A689" s="1" t="s">
        <v>713</v>
      </c>
      <c r="B689">
        <f>HYPERLINK("https://www.suredividend.com/sure-analysis-BDN/","Brandywine Realty Trust")</f>
        <v>0</v>
      </c>
      <c r="C689" t="s">
        <v>883</v>
      </c>
      <c r="D689">
        <v>6.2</v>
      </c>
      <c r="E689">
        <v>6.15</v>
      </c>
      <c r="F689">
        <v>13</v>
      </c>
      <c r="G689">
        <v>0.4730769230769231</v>
      </c>
      <c r="H689">
        <v>0.1235772357723577</v>
      </c>
      <c r="I689">
        <v>0.1614851118726119</v>
      </c>
      <c r="J689">
        <v>0.02</v>
      </c>
      <c r="K689">
        <v>0.2449175985654524</v>
      </c>
      <c r="L689" t="s">
        <v>631</v>
      </c>
      <c r="M689" t="s">
        <v>887</v>
      </c>
      <c r="N689">
        <v>4.48905109489051</v>
      </c>
      <c r="O689">
        <v>1.37</v>
      </c>
      <c r="P689">
        <v>0.76</v>
      </c>
      <c r="Q689">
        <v>0.5547445255474452</v>
      </c>
      <c r="R689">
        <v>0</v>
      </c>
      <c r="S689">
        <v>0.02021836907521135</v>
      </c>
      <c r="T689" t="s">
        <v>910</v>
      </c>
      <c r="U689">
        <v>-0.519730111750603</v>
      </c>
      <c r="V689" t="s">
        <v>987</v>
      </c>
      <c r="W689" t="s">
        <v>1000</v>
      </c>
      <c r="X689">
        <v>1055.154313</v>
      </c>
      <c r="Y689" s="2">
        <v>44855</v>
      </c>
      <c r="Z689" t="s">
        <v>1003</v>
      </c>
    </row>
    <row r="690" spans="1:26">
      <c r="A690" s="1" t="s">
        <v>714</v>
      </c>
      <c r="B690">
        <f>HYPERLINK("https://www.suredividend.com/sure-analysis-AQN/","Algonquin Power &amp; Utilities Corp")</f>
        <v>0</v>
      </c>
      <c r="C690" t="s">
        <v>883</v>
      </c>
      <c r="D690">
        <v>9</v>
      </c>
      <c r="E690">
        <v>6.52</v>
      </c>
      <c r="F690">
        <v>11</v>
      </c>
      <c r="G690">
        <v>0.5927272727272727</v>
      </c>
      <c r="H690">
        <v>0.1104294478527607</v>
      </c>
      <c r="I690">
        <v>0.1102710551825867</v>
      </c>
      <c r="J690">
        <v>0.065</v>
      </c>
      <c r="K690">
        <v>0.2410453603715046</v>
      </c>
      <c r="L690" t="s">
        <v>631</v>
      </c>
      <c r="M690" t="s">
        <v>573</v>
      </c>
      <c r="N690">
        <v>9.588235294117645</v>
      </c>
      <c r="O690">
        <v>0.68</v>
      </c>
      <c r="P690">
        <v>0.72</v>
      </c>
      <c r="Q690">
        <v>1.058823529411764</v>
      </c>
      <c r="R690">
        <v>10</v>
      </c>
      <c r="S690">
        <v>0.04563955259127317</v>
      </c>
      <c r="T690" t="s">
        <v>905</v>
      </c>
      <c r="U690">
        <v>-0.5165643443960021</v>
      </c>
      <c r="V690" t="s">
        <v>986</v>
      </c>
      <c r="W690" t="s">
        <v>997</v>
      </c>
      <c r="X690">
        <v>4396.256557</v>
      </c>
      <c r="Y690" s="2">
        <v>44877</v>
      </c>
      <c r="Z690" t="s">
        <v>1014</v>
      </c>
    </row>
    <row r="691" spans="1:26">
      <c r="A691" s="1" t="s">
        <v>715</v>
      </c>
      <c r="B691">
        <f>HYPERLINK("https://www.suredividend.com/sure-analysis-CIM/","Chimera Investment Corp")</f>
        <v>0</v>
      </c>
      <c r="C691" t="s">
        <v>884</v>
      </c>
      <c r="D691">
        <v>6.3</v>
      </c>
      <c r="E691">
        <v>5.5</v>
      </c>
      <c r="F691">
        <v>9.9</v>
      </c>
      <c r="G691">
        <v>0.5555555555555556</v>
      </c>
      <c r="H691">
        <v>0.1672727272727273</v>
      </c>
      <c r="I691">
        <v>0.1247461131420948</v>
      </c>
      <c r="J691">
        <v>0.02</v>
      </c>
      <c r="K691">
        <v>0.2307334095522018</v>
      </c>
      <c r="L691" t="s">
        <v>631</v>
      </c>
      <c r="M691" t="s">
        <v>887</v>
      </c>
      <c r="N691">
        <v>4.4</v>
      </c>
      <c r="O691">
        <v>1.25</v>
      </c>
      <c r="P691">
        <v>0.92</v>
      </c>
      <c r="Q691">
        <v>0.736</v>
      </c>
      <c r="R691">
        <v>0</v>
      </c>
      <c r="S691">
        <v>0</v>
      </c>
      <c r="T691" t="s">
        <v>905</v>
      </c>
      <c r="U691">
        <v>-0.580046882038986</v>
      </c>
      <c r="V691" t="s">
        <v>987</v>
      </c>
      <c r="W691" t="s">
        <v>1000</v>
      </c>
      <c r="X691">
        <v>1274.648903</v>
      </c>
      <c r="Y691" s="2">
        <v>44873</v>
      </c>
      <c r="Z691" t="s">
        <v>1003</v>
      </c>
    </row>
    <row r="692" spans="1:26">
      <c r="A692" s="1" t="s">
        <v>716</v>
      </c>
      <c r="B692">
        <f>HYPERLINK("https://www.suredividend.com/sure-analysis-VIA/","Via Renewables Inc")</f>
        <v>0</v>
      </c>
      <c r="C692" t="s">
        <v>884</v>
      </c>
      <c r="D692">
        <v>7.2</v>
      </c>
      <c r="E692">
        <v>5.11</v>
      </c>
      <c r="F692">
        <v>8</v>
      </c>
      <c r="G692">
        <v>0.63875</v>
      </c>
      <c r="H692">
        <v>0.1428571428571428</v>
      </c>
      <c r="I692">
        <v>0.09378966972283576</v>
      </c>
      <c r="J692">
        <v>0.06</v>
      </c>
      <c r="K692">
        <v>0.2294796017859584</v>
      </c>
      <c r="L692" t="s">
        <v>631</v>
      </c>
      <c r="M692" t="s">
        <v>573</v>
      </c>
      <c r="N692">
        <v>7.300000000000001</v>
      </c>
      <c r="O692">
        <v>0.7</v>
      </c>
      <c r="P692">
        <v>0.73</v>
      </c>
      <c r="Q692">
        <v>1.042857142857143</v>
      </c>
      <c r="R692">
        <v>0</v>
      </c>
      <c r="S692">
        <v>0</v>
      </c>
      <c r="T692" t="s">
        <v>891</v>
      </c>
      <c r="U692">
        <v>-0.524381276817542</v>
      </c>
      <c r="V692" t="s">
        <v>986</v>
      </c>
      <c r="W692" t="s">
        <v>997</v>
      </c>
      <c r="X692">
        <v>81.03318400000001</v>
      </c>
      <c r="Y692" s="2">
        <v>44873</v>
      </c>
      <c r="Z692" t="s">
        <v>1003</v>
      </c>
    </row>
    <row r="693" spans="1:26">
      <c r="A693" s="1" t="s">
        <v>717</v>
      </c>
      <c r="B693">
        <f>HYPERLINK("https://www.suredividend.com/sure-analysis-CLPR/","Clipper Realty Inc")</f>
        <v>0</v>
      </c>
      <c r="C693" t="s">
        <v>883</v>
      </c>
      <c r="D693">
        <v>7.5</v>
      </c>
      <c r="E693">
        <v>6.4</v>
      </c>
      <c r="F693">
        <v>11.9</v>
      </c>
      <c r="G693">
        <v>0.5378151260504201</v>
      </c>
      <c r="H693">
        <v>0.059375</v>
      </c>
      <c r="I693">
        <v>0.1320703018386642</v>
      </c>
      <c r="J693">
        <v>0.052</v>
      </c>
      <c r="K693">
        <v>0.2190904251616506</v>
      </c>
      <c r="L693" t="s">
        <v>631</v>
      </c>
      <c r="M693" t="s">
        <v>572</v>
      </c>
      <c r="N693">
        <v>13.33333333333333</v>
      </c>
      <c r="O693">
        <v>0.48</v>
      </c>
      <c r="P693">
        <v>0.38</v>
      </c>
      <c r="Q693">
        <v>0.7916666666666667</v>
      </c>
      <c r="R693">
        <v>0</v>
      </c>
      <c r="S693">
        <v>0</v>
      </c>
      <c r="T693" t="s">
        <v>949</v>
      </c>
      <c r="U693">
        <v>-0.332352726400233</v>
      </c>
      <c r="V693" t="s">
        <v>987</v>
      </c>
      <c r="W693" t="s">
        <v>1000</v>
      </c>
      <c r="X693">
        <v>102.804659</v>
      </c>
      <c r="Y693" s="2">
        <v>44898</v>
      </c>
      <c r="Z693" t="s">
        <v>1009</v>
      </c>
    </row>
    <row r="694" spans="1:26">
      <c r="A694" s="1" t="s">
        <v>718</v>
      </c>
      <c r="B694">
        <f>HYPERLINK("https://www.suredividend.com/sure-analysis-MPW/","Medical Properties Trust Inc")</f>
        <v>0</v>
      </c>
      <c r="C694" t="s">
        <v>883</v>
      </c>
      <c r="D694">
        <v>11.3</v>
      </c>
      <c r="E694">
        <v>11.14</v>
      </c>
      <c r="F694">
        <v>22.6</v>
      </c>
      <c r="G694">
        <v>0.4929203539823009</v>
      </c>
      <c r="H694">
        <v>0.104129263913824</v>
      </c>
      <c r="I694">
        <v>0.1519792320258055</v>
      </c>
      <c r="J694">
        <v>0.004</v>
      </c>
      <c r="K694">
        <v>0.2126402178786289</v>
      </c>
      <c r="L694" t="s">
        <v>631</v>
      </c>
      <c r="M694" t="s">
        <v>887</v>
      </c>
      <c r="N694">
        <v>6.154696132596685</v>
      </c>
      <c r="O694">
        <v>1.81</v>
      </c>
      <c r="P694">
        <v>1.16</v>
      </c>
      <c r="Q694">
        <v>0.6408839779005524</v>
      </c>
      <c r="R694">
        <v>9</v>
      </c>
      <c r="S694">
        <v>0.01988310171094443</v>
      </c>
      <c r="T694" t="s">
        <v>929</v>
      </c>
      <c r="U694">
        <v>-0.4865886256797861</v>
      </c>
      <c r="V694" t="s">
        <v>987</v>
      </c>
      <c r="W694" t="s">
        <v>1000</v>
      </c>
      <c r="X694">
        <v>6661.72</v>
      </c>
      <c r="Y694" s="2">
        <v>44875</v>
      </c>
      <c r="Z694" t="s">
        <v>1009</v>
      </c>
    </row>
    <row r="695" spans="1:26">
      <c r="A695" s="1" t="s">
        <v>719</v>
      </c>
      <c r="B695">
        <f>HYPERLINK("https://www.suredividend.com/sure-analysis-ARR/","ARMOUR Residential REIT Inc")</f>
        <v>0</v>
      </c>
      <c r="C695" t="s">
        <v>883</v>
      </c>
      <c r="D695">
        <v>5.7</v>
      </c>
      <c r="E695">
        <v>5.63</v>
      </c>
      <c r="F695">
        <v>8.1</v>
      </c>
      <c r="G695">
        <v>0.6950617283950618</v>
      </c>
      <c r="H695">
        <v>0.2131438721136767</v>
      </c>
      <c r="I695">
        <v>0.0754626315194824</v>
      </c>
      <c r="J695">
        <v>0.008999999999999999</v>
      </c>
      <c r="K695">
        <v>0.2078103640167757</v>
      </c>
      <c r="L695" t="s">
        <v>631</v>
      </c>
      <c r="M695" t="s">
        <v>573</v>
      </c>
      <c r="N695">
        <v>4.895652173913044</v>
      </c>
      <c r="O695">
        <v>1.15</v>
      </c>
      <c r="P695">
        <v>1.2</v>
      </c>
      <c r="Q695">
        <v>1.043478260869565</v>
      </c>
      <c r="R695">
        <v>1</v>
      </c>
      <c r="S695">
        <v>0</v>
      </c>
      <c r="T695" t="s">
        <v>901</v>
      </c>
      <c r="U695">
        <v>-0.323536832998906</v>
      </c>
      <c r="V695" t="s">
        <v>987</v>
      </c>
      <c r="W695" t="s">
        <v>1000</v>
      </c>
      <c r="X695">
        <v>743.948341</v>
      </c>
      <c r="Y695" s="2">
        <v>44898</v>
      </c>
      <c r="Z695" t="s">
        <v>1009</v>
      </c>
    </row>
    <row r="696" spans="1:26">
      <c r="A696" s="1" t="s">
        <v>720</v>
      </c>
      <c r="B696">
        <f>HYPERLINK("https://www.suredividend.com/sure-analysis-PHG/","Koninklijke Philips N.V.")</f>
        <v>0</v>
      </c>
      <c r="C696" t="s">
        <v>883</v>
      </c>
      <c r="D696">
        <v>13</v>
      </c>
      <c r="E696">
        <v>14.99</v>
      </c>
      <c r="F696">
        <v>19</v>
      </c>
      <c r="G696">
        <v>0.7889473684210526</v>
      </c>
      <c r="H696">
        <v>0.06070713809206137</v>
      </c>
      <c r="I696">
        <v>0.04855301565027959</v>
      </c>
      <c r="J696">
        <v>0.11</v>
      </c>
      <c r="K696">
        <v>0.1969786629073393</v>
      </c>
      <c r="L696" t="s">
        <v>631</v>
      </c>
      <c r="M696" t="s">
        <v>572</v>
      </c>
      <c r="N696">
        <v>14.27619047619048</v>
      </c>
      <c r="O696">
        <v>1.05</v>
      </c>
      <c r="P696">
        <v>0.91</v>
      </c>
      <c r="Q696">
        <v>0.8666666666666667</v>
      </c>
      <c r="R696">
        <v>0</v>
      </c>
      <c r="S696">
        <v>0.01904114973592153</v>
      </c>
      <c r="T696" t="s">
        <v>976</v>
      </c>
      <c r="U696">
        <v>-0.5801696685889051</v>
      </c>
      <c r="V696" t="s">
        <v>986</v>
      </c>
      <c r="W696" t="s">
        <v>998</v>
      </c>
      <c r="X696">
        <v>13330.833079</v>
      </c>
      <c r="Y696" s="2">
        <v>44860</v>
      </c>
      <c r="Z696" t="s">
        <v>1003</v>
      </c>
    </row>
    <row r="697" spans="1:26">
      <c r="A697" s="1" t="s">
        <v>721</v>
      </c>
      <c r="B697">
        <f>HYPERLINK("https://www.suredividend.com/sure-analysis-KNOP/","KNOT Offshore Partners LP")</f>
        <v>0</v>
      </c>
      <c r="C697" t="s">
        <v>884</v>
      </c>
      <c r="D697">
        <v>12.34</v>
      </c>
      <c r="E697">
        <v>9.630000000000001</v>
      </c>
      <c r="F697">
        <v>13.2</v>
      </c>
      <c r="G697">
        <v>0.7295454545454546</v>
      </c>
      <c r="H697">
        <v>0.2159916926272066</v>
      </c>
      <c r="I697">
        <v>0.06509790099828838</v>
      </c>
      <c r="J697">
        <v>0</v>
      </c>
      <c r="K697">
        <v>0.1963469402033096</v>
      </c>
      <c r="L697" t="s">
        <v>631</v>
      </c>
      <c r="M697" t="s">
        <v>573</v>
      </c>
      <c r="N697">
        <v>4.377272727272727</v>
      </c>
      <c r="O697">
        <v>2.2</v>
      </c>
      <c r="P697">
        <v>2.08</v>
      </c>
      <c r="Q697">
        <v>0.9454545454545454</v>
      </c>
      <c r="R697">
        <v>0</v>
      </c>
      <c r="S697">
        <v>0</v>
      </c>
      <c r="T697" t="s">
        <v>954</v>
      </c>
      <c r="U697">
        <v>-0.170642644297845</v>
      </c>
      <c r="V697" t="s">
        <v>988</v>
      </c>
      <c r="W697" t="s">
        <v>991</v>
      </c>
      <c r="X697">
        <v>327.04391</v>
      </c>
      <c r="Y697" s="2">
        <v>44895</v>
      </c>
      <c r="Z697" t="s">
        <v>1011</v>
      </c>
    </row>
    <row r="698" spans="1:26">
      <c r="A698" s="1" t="s">
        <v>722</v>
      </c>
      <c r="B698">
        <f>HYPERLINK("https://www.suredividend.com/sure-analysis-GECC/","Great Elm Capital Corp")</f>
        <v>0</v>
      </c>
      <c r="C698" t="s">
        <v>883</v>
      </c>
      <c r="D698">
        <v>10.2</v>
      </c>
      <c r="E698">
        <v>8.289999999999999</v>
      </c>
      <c r="F698">
        <v>12.4</v>
      </c>
      <c r="G698">
        <v>0.6685483870967741</v>
      </c>
      <c r="H698">
        <v>0.2171290711700845</v>
      </c>
      <c r="I698">
        <v>0.08386060404354256</v>
      </c>
      <c r="J698">
        <v>-0.004</v>
      </c>
      <c r="K698">
        <v>0.191571108502363</v>
      </c>
      <c r="L698" t="s">
        <v>631</v>
      </c>
      <c r="M698" t="s">
        <v>573</v>
      </c>
      <c r="N698">
        <v>4.580110497237569</v>
      </c>
      <c r="O698">
        <v>1.81</v>
      </c>
      <c r="P698">
        <v>1.8</v>
      </c>
      <c r="Q698">
        <v>0.994475138121547</v>
      </c>
      <c r="R698">
        <v>0</v>
      </c>
      <c r="S698">
        <v>-0.04902060720441037</v>
      </c>
      <c r="T698" t="s">
        <v>901</v>
      </c>
      <c r="U698">
        <v>-0.483974578433996</v>
      </c>
      <c r="V698" t="s">
        <v>989</v>
      </c>
      <c r="W698" t="s">
        <v>994</v>
      </c>
      <c r="X698">
        <v>63.020232</v>
      </c>
      <c r="Y698" s="2">
        <v>44893</v>
      </c>
      <c r="Z698" t="s">
        <v>1009</v>
      </c>
    </row>
    <row r="699" spans="1:26">
      <c r="A699" s="1" t="s">
        <v>723</v>
      </c>
      <c r="B699">
        <f>HYPERLINK("https://www.suredividend.com/sure-analysis-TPVG/","TriplePoint Venture Growth BDC Corp")</f>
        <v>0</v>
      </c>
      <c r="C699" t="s">
        <v>883</v>
      </c>
      <c r="D699">
        <v>13.02</v>
      </c>
      <c r="E699">
        <v>10.43</v>
      </c>
      <c r="F699">
        <v>15.75</v>
      </c>
      <c r="G699">
        <v>0.6622222222222222</v>
      </c>
      <c r="H699">
        <v>0.1418983700862896</v>
      </c>
      <c r="I699">
        <v>0.08592354583699713</v>
      </c>
      <c r="J699">
        <v>0.02</v>
      </c>
      <c r="K699">
        <v>0.1890384404247061</v>
      </c>
      <c r="L699" t="s">
        <v>631</v>
      </c>
      <c r="M699" t="s">
        <v>573</v>
      </c>
      <c r="N699">
        <v>5.96</v>
      </c>
      <c r="O699">
        <v>1.75</v>
      </c>
      <c r="P699">
        <v>1.48</v>
      </c>
      <c r="Q699">
        <v>0.8457142857142858</v>
      </c>
      <c r="R699">
        <v>1</v>
      </c>
      <c r="S699">
        <v>0</v>
      </c>
      <c r="T699" t="s">
        <v>901</v>
      </c>
      <c r="U699">
        <v>-0.338445632662899</v>
      </c>
      <c r="V699" t="s">
        <v>989</v>
      </c>
      <c r="W699" t="s">
        <v>994</v>
      </c>
      <c r="X699">
        <v>367.991865</v>
      </c>
      <c r="Y699" s="2">
        <v>44872</v>
      </c>
      <c r="Z699" t="s">
        <v>1011</v>
      </c>
    </row>
    <row r="700" spans="1:26">
      <c r="A700" s="1" t="s">
        <v>724</v>
      </c>
      <c r="B700">
        <f>HYPERLINK("https://www.suredividend.com/sure-analysis-HAS/","Hasbro, Inc.")</f>
        <v>0</v>
      </c>
      <c r="C700" t="s">
        <v>883</v>
      </c>
      <c r="D700">
        <v>65</v>
      </c>
      <c r="E700">
        <v>61.01</v>
      </c>
      <c r="F700">
        <v>81</v>
      </c>
      <c r="G700">
        <v>0.7532098765432098</v>
      </c>
      <c r="H700">
        <v>0.04589411571873463</v>
      </c>
      <c r="I700">
        <v>0.05831950124538432</v>
      </c>
      <c r="J700">
        <v>0.09</v>
      </c>
      <c r="K700">
        <v>0.1821692770126293</v>
      </c>
      <c r="L700" t="s">
        <v>631</v>
      </c>
      <c r="M700" t="s">
        <v>572</v>
      </c>
      <c r="N700">
        <v>12.84421052631579</v>
      </c>
      <c r="O700">
        <v>4.75</v>
      </c>
      <c r="P700">
        <v>2.8</v>
      </c>
      <c r="Q700">
        <v>0.5894736842105263</v>
      </c>
      <c r="R700">
        <v>1</v>
      </c>
      <c r="S700">
        <v>0.04978904632428516</v>
      </c>
      <c r="T700" t="s">
        <v>932</v>
      </c>
      <c r="U700">
        <v>-0.374617528545055</v>
      </c>
      <c r="V700" t="s">
        <v>986</v>
      </c>
      <c r="W700" t="s">
        <v>992</v>
      </c>
      <c r="X700">
        <v>8426.318179</v>
      </c>
      <c r="Y700" s="2">
        <v>44858</v>
      </c>
      <c r="Z700" t="s">
        <v>1005</v>
      </c>
    </row>
    <row r="701" spans="1:26">
      <c r="A701" s="1" t="s">
        <v>725</v>
      </c>
      <c r="B701">
        <f>HYPERLINK("https://www.suredividend.com/sure-analysis-ORAN/","Orange.")</f>
        <v>0</v>
      </c>
      <c r="C701" t="s">
        <v>883</v>
      </c>
      <c r="D701">
        <v>9.5</v>
      </c>
      <c r="E701">
        <v>9.880000000000001</v>
      </c>
      <c r="F701">
        <v>12.7</v>
      </c>
      <c r="G701">
        <v>0.7779527559055119</v>
      </c>
      <c r="H701">
        <v>0.1285425101214575</v>
      </c>
      <c r="I701">
        <v>0.05150018945964074</v>
      </c>
      <c r="J701">
        <v>0.04</v>
      </c>
      <c r="K701">
        <v>0.1801685323632953</v>
      </c>
      <c r="L701" t="s">
        <v>631</v>
      </c>
      <c r="M701" t="s">
        <v>573</v>
      </c>
      <c r="N701">
        <v>7.779527559055119</v>
      </c>
      <c r="O701">
        <v>1.27</v>
      </c>
      <c r="P701">
        <v>1.27</v>
      </c>
      <c r="Q701">
        <v>1</v>
      </c>
      <c r="R701">
        <v>0</v>
      </c>
      <c r="S701">
        <v>0.04065217305638735</v>
      </c>
      <c r="T701" t="s">
        <v>889</v>
      </c>
      <c r="U701">
        <v>-0.009354977790701</v>
      </c>
      <c r="V701" t="s">
        <v>986</v>
      </c>
      <c r="W701" t="s">
        <v>995</v>
      </c>
      <c r="X701">
        <v>26281.359198</v>
      </c>
      <c r="Y701" s="2">
        <v>44864</v>
      </c>
      <c r="Z701" t="s">
        <v>1012</v>
      </c>
    </row>
    <row r="702" spans="1:26">
      <c r="A702" s="1" t="s">
        <v>726</v>
      </c>
      <c r="B702">
        <f>HYPERLINK("https://www.suredividend.com/sure-analysis-NSA/","National Storage Affiliates Trust")</f>
        <v>0</v>
      </c>
      <c r="C702" t="s">
        <v>883</v>
      </c>
      <c r="D702">
        <v>39</v>
      </c>
      <c r="E702">
        <v>36.12</v>
      </c>
      <c r="F702">
        <v>46</v>
      </c>
      <c r="G702">
        <v>0.7852173913043478</v>
      </c>
      <c r="H702">
        <v>0.06090808416389813</v>
      </c>
      <c r="I702">
        <v>0.0495473055044322</v>
      </c>
      <c r="J702">
        <v>0.08</v>
      </c>
      <c r="K702">
        <v>0.1792030131380924</v>
      </c>
      <c r="L702" t="s">
        <v>631</v>
      </c>
      <c r="M702" t="s">
        <v>573</v>
      </c>
      <c r="N702">
        <v>12.85409252669039</v>
      </c>
      <c r="O702">
        <v>2.81</v>
      </c>
      <c r="P702">
        <v>2.2</v>
      </c>
      <c r="Q702">
        <v>0.7829181494661922</v>
      </c>
      <c r="R702">
        <v>7</v>
      </c>
      <c r="S702">
        <v>0.09980608000232882</v>
      </c>
      <c r="T702" t="s">
        <v>901</v>
      </c>
      <c r="U702">
        <v>-0.45020822678454</v>
      </c>
      <c r="V702" t="s">
        <v>987</v>
      </c>
      <c r="W702" t="s">
        <v>1000</v>
      </c>
      <c r="X702">
        <v>3282.056045</v>
      </c>
      <c r="Y702" s="2">
        <v>44880</v>
      </c>
      <c r="Z702" t="s">
        <v>1011</v>
      </c>
    </row>
    <row r="703" spans="1:26">
      <c r="A703" s="1" t="s">
        <v>727</v>
      </c>
      <c r="B703">
        <f>HYPERLINK("https://www.suredividend.com/sure-analysis-UMH/","UMH Properties Inc")</f>
        <v>0</v>
      </c>
      <c r="C703" t="s">
        <v>883</v>
      </c>
      <c r="D703">
        <v>17.6</v>
      </c>
      <c r="E703">
        <v>16.1</v>
      </c>
      <c r="F703">
        <v>23.7</v>
      </c>
      <c r="G703">
        <v>0.679324894514768</v>
      </c>
      <c r="H703">
        <v>0.04968944099378882</v>
      </c>
      <c r="I703">
        <v>0.08039979720225143</v>
      </c>
      <c r="J703">
        <v>0.062</v>
      </c>
      <c r="K703">
        <v>0.1772031654566912</v>
      </c>
      <c r="L703" t="s">
        <v>631</v>
      </c>
      <c r="M703" t="s">
        <v>572</v>
      </c>
      <c r="N703">
        <v>20.64102564102564</v>
      </c>
      <c r="O703">
        <v>0.78</v>
      </c>
      <c r="P703">
        <v>0.8</v>
      </c>
      <c r="Q703">
        <v>1.025641025641026</v>
      </c>
      <c r="R703">
        <v>2</v>
      </c>
      <c r="S703">
        <v>0.03057260164047237</v>
      </c>
      <c r="T703" t="s">
        <v>907</v>
      </c>
      <c r="U703">
        <v>-0.374295596751</v>
      </c>
      <c r="V703" t="s">
        <v>987</v>
      </c>
      <c r="W703" t="s">
        <v>1000</v>
      </c>
      <c r="X703">
        <v>897.3371550000001</v>
      </c>
      <c r="Y703" s="2">
        <v>44893</v>
      </c>
      <c r="Z703" t="s">
        <v>1009</v>
      </c>
    </row>
    <row r="704" spans="1:26">
      <c r="A704" s="1" t="s">
        <v>728</v>
      </c>
      <c r="B704">
        <f>HYPERLINK("https://www.suredividend.com/sure-analysis-HR/","Healthcare Realty Trust Inc")</f>
        <v>0</v>
      </c>
      <c r="C704" t="s">
        <v>883</v>
      </c>
      <c r="D704">
        <v>20</v>
      </c>
      <c r="E704">
        <v>19.27</v>
      </c>
      <c r="F704">
        <v>31</v>
      </c>
      <c r="G704">
        <v>0.6216129032258064</v>
      </c>
      <c r="H704">
        <v>0.06434872859366891</v>
      </c>
      <c r="I704">
        <v>0.09975512832775624</v>
      </c>
      <c r="J704">
        <v>0.0299</v>
      </c>
      <c r="K704">
        <v>0.1702792734629355</v>
      </c>
      <c r="L704" t="s">
        <v>631</v>
      </c>
      <c r="M704" t="s">
        <v>573</v>
      </c>
      <c r="N704">
        <v>11.33529411764706</v>
      </c>
      <c r="O704">
        <v>1.7</v>
      </c>
      <c r="P704">
        <v>1.24</v>
      </c>
      <c r="Q704">
        <v>0.7294117647058823</v>
      </c>
      <c r="R704">
        <v>2</v>
      </c>
      <c r="S704">
        <v>0.009495374682843893</v>
      </c>
      <c r="T704" t="s">
        <v>907</v>
      </c>
      <c r="U704">
        <v>-0.301634472511144</v>
      </c>
      <c r="V704" t="s">
        <v>987</v>
      </c>
      <c r="W704" t="s">
        <v>1000</v>
      </c>
      <c r="X704">
        <v>7333.628028</v>
      </c>
      <c r="Y704" s="2">
        <v>44889</v>
      </c>
      <c r="Z704" t="s">
        <v>1008</v>
      </c>
    </row>
    <row r="705" spans="1:26">
      <c r="A705" s="1" t="s">
        <v>729</v>
      </c>
      <c r="B705">
        <f>HYPERLINK("https://www.suredividend.com/sure-analysis-TDS/","Telephone And Data Systems, Inc.")</f>
        <v>0</v>
      </c>
      <c r="C705" t="s">
        <v>883</v>
      </c>
      <c r="D705">
        <v>11</v>
      </c>
      <c r="E705">
        <v>10.49</v>
      </c>
      <c r="F705">
        <v>19</v>
      </c>
      <c r="G705">
        <v>0.5521052631578948</v>
      </c>
      <c r="H705">
        <v>0.06863679694947569</v>
      </c>
      <c r="I705">
        <v>0.1261483958977632</v>
      </c>
      <c r="J705">
        <v>0.0005</v>
      </c>
      <c r="K705">
        <v>0.1697202126591331</v>
      </c>
      <c r="L705" t="s">
        <v>631</v>
      </c>
      <c r="M705" t="s">
        <v>572</v>
      </c>
      <c r="N705">
        <v>349.6666666666667</v>
      </c>
      <c r="O705">
        <v>0.03</v>
      </c>
      <c r="P705">
        <v>0.72</v>
      </c>
      <c r="Q705">
        <v>24</v>
      </c>
      <c r="R705">
        <v>48</v>
      </c>
      <c r="S705">
        <v>0.02884302866442456</v>
      </c>
      <c r="T705" t="s">
        <v>901</v>
      </c>
      <c r="U705">
        <v>-0.4585778507243901</v>
      </c>
      <c r="V705" t="s">
        <v>986</v>
      </c>
      <c r="W705" t="s">
        <v>995</v>
      </c>
      <c r="X705">
        <v>1113.847082</v>
      </c>
      <c r="Y705" s="2">
        <v>44882</v>
      </c>
      <c r="Z705" t="s">
        <v>1008</v>
      </c>
    </row>
    <row r="706" spans="1:26">
      <c r="A706" s="1" t="s">
        <v>730</v>
      </c>
      <c r="B706">
        <f>HYPERLINK("https://www.suredividend.com/sure-analysis-ALV/","Autoliv Inc.")</f>
        <v>0</v>
      </c>
      <c r="C706" t="s">
        <v>883</v>
      </c>
      <c r="D706">
        <v>80</v>
      </c>
      <c r="E706">
        <v>76.58</v>
      </c>
      <c r="F706">
        <v>75</v>
      </c>
      <c r="G706">
        <v>1.021066666666667</v>
      </c>
      <c r="H706">
        <v>0.03447375293810395</v>
      </c>
      <c r="I706">
        <v>-0.004160885929091585</v>
      </c>
      <c r="J706">
        <v>0.15</v>
      </c>
      <c r="K706">
        <v>0.1678197901154754</v>
      </c>
      <c r="L706" t="s">
        <v>631</v>
      </c>
      <c r="M706" t="s">
        <v>572</v>
      </c>
      <c r="N706">
        <v>17.40454545454545</v>
      </c>
      <c r="O706">
        <v>4.4</v>
      </c>
      <c r="P706">
        <v>2.64</v>
      </c>
      <c r="Q706">
        <v>0.6</v>
      </c>
      <c r="R706">
        <v>3</v>
      </c>
      <c r="S706">
        <v>0.05375109428832703</v>
      </c>
      <c r="T706" t="s">
        <v>906</v>
      </c>
      <c r="U706">
        <v>-0.238844570431228</v>
      </c>
      <c r="V706" t="s">
        <v>986</v>
      </c>
      <c r="W706" t="s">
        <v>992</v>
      </c>
      <c r="X706">
        <v>6649.946062</v>
      </c>
      <c r="Y706" s="2">
        <v>44864</v>
      </c>
      <c r="Z706" t="s">
        <v>1005</v>
      </c>
    </row>
    <row r="707" spans="1:26">
      <c r="A707" s="1" t="s">
        <v>731</v>
      </c>
      <c r="B707">
        <f>HYPERLINK("https://www.suredividend.com/sure-analysis-NEWT/","Newtek Business Services Corp")</f>
        <v>0</v>
      </c>
      <c r="C707" t="s">
        <v>883</v>
      </c>
      <c r="D707">
        <v>15.43</v>
      </c>
      <c r="E707">
        <v>16.25</v>
      </c>
      <c r="F707">
        <v>18.53</v>
      </c>
      <c r="G707">
        <v>0.8769562871019967</v>
      </c>
      <c r="H707">
        <v>0.1692307692307692</v>
      </c>
      <c r="I707">
        <v>0.02660744817451977</v>
      </c>
      <c r="J707">
        <v>0.03</v>
      </c>
      <c r="K707">
        <v>0.1673878809778004</v>
      </c>
      <c r="L707" t="s">
        <v>631</v>
      </c>
      <c r="M707" t="s">
        <v>573</v>
      </c>
      <c r="N707">
        <v>5.701754385964912</v>
      </c>
      <c r="O707">
        <v>2.85</v>
      </c>
      <c r="P707">
        <v>2.75</v>
      </c>
      <c r="Q707">
        <v>0.9649122807017544</v>
      </c>
      <c r="R707">
        <v>0</v>
      </c>
      <c r="S707">
        <v>0</v>
      </c>
      <c r="T707" t="s">
        <v>936</v>
      </c>
      <c r="U707">
        <v>-0.323750707460798</v>
      </c>
      <c r="V707" t="s">
        <v>989</v>
      </c>
      <c r="W707" t="s">
        <v>994</v>
      </c>
      <c r="X707">
        <v>396.902285</v>
      </c>
      <c r="Y707" s="2">
        <v>44882</v>
      </c>
      <c r="Z707" t="s">
        <v>1011</v>
      </c>
    </row>
    <row r="708" spans="1:26">
      <c r="A708" s="1" t="s">
        <v>732</v>
      </c>
      <c r="B708">
        <f>HYPERLINK("https://www.suredividend.com/sure-analysis-VNO/","Vornado Realty Trust")</f>
        <v>0</v>
      </c>
      <c r="C708" t="s">
        <v>883</v>
      </c>
      <c r="D708">
        <v>25</v>
      </c>
      <c r="E708">
        <v>20.81</v>
      </c>
      <c r="F708">
        <v>29</v>
      </c>
      <c r="G708">
        <v>0.7175862068965517</v>
      </c>
      <c r="H708">
        <v>0.1018740989908698</v>
      </c>
      <c r="I708">
        <v>0.06862463939461216</v>
      </c>
      <c r="J708">
        <v>0.03</v>
      </c>
      <c r="K708">
        <v>0.1661040481652443</v>
      </c>
      <c r="L708" t="s">
        <v>631</v>
      </c>
      <c r="M708" t="s">
        <v>887</v>
      </c>
      <c r="N708">
        <v>6.73462783171521</v>
      </c>
      <c r="O708">
        <v>3.09</v>
      </c>
      <c r="P708">
        <v>2.12</v>
      </c>
      <c r="Q708">
        <v>0.6860841423948221</v>
      </c>
      <c r="R708">
        <v>0</v>
      </c>
      <c r="S708">
        <v>0.01994322923769842</v>
      </c>
      <c r="T708" t="s">
        <v>911</v>
      </c>
      <c r="U708">
        <v>-0.473805315552453</v>
      </c>
      <c r="V708" t="s">
        <v>987</v>
      </c>
      <c r="W708" t="s">
        <v>1000</v>
      </c>
      <c r="X708">
        <v>3991.705194</v>
      </c>
      <c r="Y708" s="2">
        <v>44866</v>
      </c>
      <c r="Z708" t="s">
        <v>1011</v>
      </c>
    </row>
    <row r="709" spans="1:26">
      <c r="A709" s="1" t="s">
        <v>733</v>
      </c>
      <c r="B709">
        <f>HYPERLINK("https://www.suredividend.com/sure-analysis-BX/","Blackstone Inc")</f>
        <v>0</v>
      </c>
      <c r="C709" t="s">
        <v>883</v>
      </c>
      <c r="D709">
        <v>84</v>
      </c>
      <c r="E709">
        <v>74.19</v>
      </c>
      <c r="F709">
        <v>86</v>
      </c>
      <c r="G709">
        <v>0.8626744186046511</v>
      </c>
      <c r="H709">
        <v>0.07009030866693625</v>
      </c>
      <c r="I709">
        <v>0.02998432657718819</v>
      </c>
      <c r="J709">
        <v>0.08</v>
      </c>
      <c r="K709">
        <v>0.1651404037796214</v>
      </c>
      <c r="L709" t="s">
        <v>631</v>
      </c>
      <c r="M709" t="s">
        <v>572</v>
      </c>
      <c r="N709">
        <v>20.60833333333333</v>
      </c>
      <c r="O709">
        <v>3.6</v>
      </c>
      <c r="P709">
        <v>5.2</v>
      </c>
      <c r="Q709">
        <v>1.444444444444444</v>
      </c>
      <c r="R709">
        <v>0</v>
      </c>
      <c r="S709">
        <v>0.07998569482738827</v>
      </c>
      <c r="T709" t="s">
        <v>926</v>
      </c>
      <c r="U709">
        <v>-0.395899542955133</v>
      </c>
      <c r="V709" t="s">
        <v>986</v>
      </c>
      <c r="W709" t="s">
        <v>994</v>
      </c>
      <c r="X709">
        <v>52065.124971</v>
      </c>
      <c r="Y709" s="2">
        <v>44855</v>
      </c>
      <c r="Z709" t="s">
        <v>1011</v>
      </c>
    </row>
    <row r="710" spans="1:26">
      <c r="A710" s="1" t="s">
        <v>734</v>
      </c>
      <c r="B710">
        <f>HYPERLINK("https://www.suredividend.com/sure-analysis-KSS/","Kohl`s Corp.")</f>
        <v>0</v>
      </c>
      <c r="C710" t="s">
        <v>883</v>
      </c>
      <c r="D710">
        <v>32</v>
      </c>
      <c r="E710">
        <v>25.25</v>
      </c>
      <c r="F710">
        <v>33</v>
      </c>
      <c r="G710">
        <v>0.7651515151515151</v>
      </c>
      <c r="H710">
        <v>0.07920792079207921</v>
      </c>
      <c r="I710">
        <v>0.05499526751376149</v>
      </c>
      <c r="J710">
        <v>0.05</v>
      </c>
      <c r="K710">
        <v>0.1614843887052317</v>
      </c>
      <c r="L710" t="s">
        <v>631</v>
      </c>
      <c r="M710" t="s">
        <v>573</v>
      </c>
      <c r="N710">
        <v>8.416666666666666</v>
      </c>
      <c r="O710">
        <v>3</v>
      </c>
      <c r="P710">
        <v>2</v>
      </c>
      <c r="Q710">
        <v>0.6666666666666666</v>
      </c>
      <c r="R710">
        <v>2</v>
      </c>
      <c r="S710">
        <v>0.03971726473271953</v>
      </c>
      <c r="T710" t="s">
        <v>915</v>
      </c>
      <c r="U710">
        <v>-0.478073937802949</v>
      </c>
      <c r="V710" t="s">
        <v>986</v>
      </c>
      <c r="W710" t="s">
        <v>992</v>
      </c>
      <c r="X710">
        <v>2789.724232</v>
      </c>
      <c r="Y710" s="2">
        <v>44900</v>
      </c>
      <c r="Z710" t="s">
        <v>1005</v>
      </c>
    </row>
    <row r="711" spans="1:26">
      <c r="A711" s="1" t="s">
        <v>735</v>
      </c>
      <c r="B711">
        <f>HYPERLINK("https://www.suredividend.com/sure-analysis-OWL/","Blue Owl Capital Inc")</f>
        <v>0</v>
      </c>
      <c r="C711" t="s">
        <v>883</v>
      </c>
      <c r="D711">
        <v>11.6</v>
      </c>
      <c r="E711">
        <v>10.6</v>
      </c>
      <c r="F711">
        <v>8</v>
      </c>
      <c r="G711">
        <v>1.325</v>
      </c>
      <c r="H711">
        <v>0.04528301886792453</v>
      </c>
      <c r="I711">
        <v>-0.05472793352068905</v>
      </c>
      <c r="J711">
        <v>0.178</v>
      </c>
      <c r="K711">
        <v>0.1593805002873458</v>
      </c>
      <c r="L711" t="s">
        <v>631</v>
      </c>
      <c r="M711" t="s">
        <v>572</v>
      </c>
      <c r="N711">
        <v>20</v>
      </c>
      <c r="O711">
        <v>0.53</v>
      </c>
      <c r="P711">
        <v>0.48</v>
      </c>
      <c r="Q711">
        <v>0.9056603773584905</v>
      </c>
      <c r="R711">
        <v>1</v>
      </c>
      <c r="S711">
        <v>0.1804029591369694</v>
      </c>
      <c r="T711" t="s">
        <v>949</v>
      </c>
      <c r="U711">
        <v>-0.266390294205175</v>
      </c>
      <c r="V711" t="s">
        <v>986</v>
      </c>
      <c r="W711" t="s">
        <v>994</v>
      </c>
      <c r="X711">
        <v>4718.392321</v>
      </c>
      <c r="Y711" s="2">
        <v>44893</v>
      </c>
      <c r="Z711" t="s">
        <v>1009</v>
      </c>
    </row>
    <row r="712" spans="1:26">
      <c r="A712" s="1" t="s">
        <v>736</v>
      </c>
      <c r="B712">
        <f>HYPERLINK("https://www.suredividend.com/sure-analysis-KREF/","KKR Real Estate Finance Trust Inc")</f>
        <v>0</v>
      </c>
      <c r="C712" t="s">
        <v>883</v>
      </c>
      <c r="D712">
        <v>16.53</v>
      </c>
      <c r="E712">
        <v>13.96</v>
      </c>
      <c r="F712">
        <v>18.7</v>
      </c>
      <c r="G712">
        <v>0.746524064171123</v>
      </c>
      <c r="H712">
        <v>0.1232091690544413</v>
      </c>
      <c r="I712">
        <v>0.06020839229407815</v>
      </c>
      <c r="J712">
        <v>0.015</v>
      </c>
      <c r="K712">
        <v>0.1575574814021408</v>
      </c>
      <c r="L712" t="s">
        <v>631</v>
      </c>
      <c r="M712" t="s">
        <v>573</v>
      </c>
      <c r="N712">
        <v>7.46524064171123</v>
      </c>
      <c r="O712">
        <v>1.87</v>
      </c>
      <c r="P712">
        <v>1.72</v>
      </c>
      <c r="Q712">
        <v>0.9197860962566844</v>
      </c>
      <c r="R712">
        <v>0</v>
      </c>
      <c r="S712">
        <v>0.01025271344829148</v>
      </c>
      <c r="T712" t="s">
        <v>905</v>
      </c>
      <c r="U712">
        <v>-0.258889608528078</v>
      </c>
      <c r="V712" t="s">
        <v>987</v>
      </c>
      <c r="W712" t="s">
        <v>1000</v>
      </c>
      <c r="X712">
        <v>964.566354</v>
      </c>
      <c r="Y712" s="2">
        <v>44859</v>
      </c>
      <c r="Z712" t="s">
        <v>1011</v>
      </c>
    </row>
    <row r="713" spans="1:26">
      <c r="A713" s="1" t="s">
        <v>737</v>
      </c>
      <c r="B713">
        <f>HYPERLINK("https://www.suredividend.com/sure-analysis-SACH/","Sachem Capital Corp")</f>
        <v>0</v>
      </c>
      <c r="C713" t="s">
        <v>883</v>
      </c>
      <c r="D713">
        <v>3.58</v>
      </c>
      <c r="E713">
        <v>3.3</v>
      </c>
      <c r="F713">
        <v>3.84</v>
      </c>
      <c r="G713">
        <v>0.859375</v>
      </c>
      <c r="H713">
        <v>0.1575757575757576</v>
      </c>
      <c r="I713">
        <v>0.03077400337593272</v>
      </c>
      <c r="J713">
        <v>0.02</v>
      </c>
      <c r="K713">
        <v>0.1569224412282484</v>
      </c>
      <c r="L713" t="s">
        <v>631</v>
      </c>
      <c r="M713" t="s">
        <v>573</v>
      </c>
      <c r="N713">
        <v>6.875</v>
      </c>
      <c r="O713">
        <v>0.48</v>
      </c>
      <c r="P713">
        <v>0.52</v>
      </c>
      <c r="Q713">
        <v>1.083333333333333</v>
      </c>
      <c r="R713">
        <v>1</v>
      </c>
      <c r="S713">
        <v>0</v>
      </c>
      <c r="T713" t="s">
        <v>905</v>
      </c>
      <c r="U713">
        <v>-0.360440327144462</v>
      </c>
      <c r="V713" t="s">
        <v>987</v>
      </c>
      <c r="W713" t="s">
        <v>1000</v>
      </c>
      <c r="X713">
        <v>134.62584</v>
      </c>
      <c r="Y713" s="2">
        <v>44880</v>
      </c>
      <c r="Z713" t="s">
        <v>1011</v>
      </c>
    </row>
    <row r="714" spans="1:26">
      <c r="A714" s="1" t="s">
        <v>738</v>
      </c>
      <c r="B714">
        <f>HYPERLINK("https://www.suredividend.com/sure-analysis-CSWC/","Capital Southwest Corp.")</f>
        <v>0</v>
      </c>
      <c r="C714" t="s">
        <v>883</v>
      </c>
      <c r="D714">
        <v>19.16</v>
      </c>
      <c r="E714">
        <v>17.1</v>
      </c>
      <c r="F714">
        <v>20.6</v>
      </c>
      <c r="G714">
        <v>0.8300970873786407</v>
      </c>
      <c r="H714">
        <v>0.1216374269005848</v>
      </c>
      <c r="I714">
        <v>0.03794471521911746</v>
      </c>
      <c r="J714">
        <v>0.03</v>
      </c>
      <c r="K714">
        <v>0.1556772969899793</v>
      </c>
      <c r="L714" t="s">
        <v>631</v>
      </c>
      <c r="M714" t="s">
        <v>573</v>
      </c>
      <c r="N714">
        <v>8.300970873786408</v>
      </c>
      <c r="O714">
        <v>2.06</v>
      </c>
      <c r="P714">
        <v>2.08</v>
      </c>
      <c r="Q714">
        <v>1.009708737864078</v>
      </c>
      <c r="R714">
        <v>6</v>
      </c>
      <c r="S714">
        <v>0.02988976347130756</v>
      </c>
      <c r="T714" t="s">
        <v>901</v>
      </c>
      <c r="U714">
        <v>-0.23799508038929</v>
      </c>
      <c r="V714" t="s">
        <v>989</v>
      </c>
      <c r="W714" t="s">
        <v>994</v>
      </c>
      <c r="X714">
        <v>504.793129</v>
      </c>
      <c r="Y714" s="2">
        <v>44872</v>
      </c>
      <c r="Z714" t="s">
        <v>1011</v>
      </c>
    </row>
    <row r="715" spans="1:26">
      <c r="A715" s="1" t="s">
        <v>739</v>
      </c>
      <c r="B715">
        <f>HYPERLINK("https://www.suredividend.com/sure-analysis-EFC/","Ellington Financial Inc")</f>
        <v>0</v>
      </c>
      <c r="C715" t="s">
        <v>883</v>
      </c>
      <c r="D715">
        <v>15.3</v>
      </c>
      <c r="E715">
        <v>12.37</v>
      </c>
      <c r="F715">
        <v>15.3</v>
      </c>
      <c r="G715">
        <v>0.8084967320261437</v>
      </c>
      <c r="H715">
        <v>0.1455133387227163</v>
      </c>
      <c r="I715">
        <v>0.04343246776658782</v>
      </c>
      <c r="J715">
        <v>0.015</v>
      </c>
      <c r="K715">
        <v>0.155511521277325</v>
      </c>
      <c r="L715" t="s">
        <v>631</v>
      </c>
      <c r="M715" t="s">
        <v>573</v>
      </c>
      <c r="N715">
        <v>7.276470588235294</v>
      </c>
      <c r="O715">
        <v>1.7</v>
      </c>
      <c r="P715">
        <v>1.8</v>
      </c>
      <c r="Q715">
        <v>1.058823529411765</v>
      </c>
      <c r="R715">
        <v>1</v>
      </c>
      <c r="S715">
        <v>0</v>
      </c>
      <c r="T715" t="s">
        <v>905</v>
      </c>
      <c r="U715">
        <v>-0.178395180626863</v>
      </c>
      <c r="V715" t="s">
        <v>987</v>
      </c>
      <c r="W715" t="s">
        <v>994</v>
      </c>
      <c r="X715">
        <v>747.627795</v>
      </c>
      <c r="Y715" s="2">
        <v>44877</v>
      </c>
      <c r="Z715" t="s">
        <v>1011</v>
      </c>
    </row>
    <row r="716" spans="1:26">
      <c r="A716" s="1" t="s">
        <v>740</v>
      </c>
      <c r="B716">
        <f>HYPERLINK("https://www.suredividend.com/sure-analysis-ACRE/","Ares Commercial Real Estate Corp")</f>
        <v>0</v>
      </c>
      <c r="C716" t="s">
        <v>883</v>
      </c>
      <c r="D716">
        <v>11.94</v>
      </c>
      <c r="E716">
        <v>10.29</v>
      </c>
      <c r="F716">
        <v>14.5</v>
      </c>
      <c r="G716">
        <v>0.7096551724137931</v>
      </c>
      <c r="H716">
        <v>0.1282798833819242</v>
      </c>
      <c r="I716">
        <v>0.07100260087364618</v>
      </c>
      <c r="J716">
        <v>0</v>
      </c>
      <c r="K716">
        <v>0.1544454492182545</v>
      </c>
      <c r="L716" t="s">
        <v>631</v>
      </c>
      <c r="M716" t="s">
        <v>573</v>
      </c>
      <c r="N716">
        <v>7.096551724137931</v>
      </c>
      <c r="O716">
        <v>1.45</v>
      </c>
      <c r="P716">
        <v>1.32</v>
      </c>
      <c r="Q716">
        <v>0.9103448275862069</v>
      </c>
      <c r="R716">
        <v>0</v>
      </c>
      <c r="S716">
        <v>0</v>
      </c>
      <c r="T716" t="s">
        <v>905</v>
      </c>
      <c r="U716">
        <v>-0.262148731885357</v>
      </c>
      <c r="V716" t="s">
        <v>987</v>
      </c>
      <c r="W716" t="s">
        <v>1000</v>
      </c>
      <c r="X716">
        <v>560.214858</v>
      </c>
      <c r="Y716" s="2">
        <v>44872</v>
      </c>
      <c r="Z716" t="s">
        <v>1011</v>
      </c>
    </row>
    <row r="717" spans="1:26">
      <c r="A717" s="1" t="s">
        <v>741</v>
      </c>
      <c r="B717">
        <f>HYPERLINK("https://www.suredividend.com/sure-analysis-LSI/","Life Storage Inc")</f>
        <v>0</v>
      </c>
      <c r="C717" t="s">
        <v>883</v>
      </c>
      <c r="D717">
        <v>103</v>
      </c>
      <c r="E717">
        <v>98.5</v>
      </c>
      <c r="F717">
        <v>119</v>
      </c>
      <c r="G717">
        <v>0.8277310924369747</v>
      </c>
      <c r="H717">
        <v>0.04385786802030457</v>
      </c>
      <c r="I717">
        <v>0.03853741227567298</v>
      </c>
      <c r="J717">
        <v>0.08</v>
      </c>
      <c r="K717">
        <v>0.1529355430918116</v>
      </c>
      <c r="L717" t="s">
        <v>631</v>
      </c>
      <c r="M717" t="s">
        <v>572</v>
      </c>
      <c r="N717">
        <v>15.390625</v>
      </c>
      <c r="O717">
        <v>6.4</v>
      </c>
      <c r="P717">
        <v>4.32</v>
      </c>
      <c r="Q717">
        <v>0.675</v>
      </c>
      <c r="R717">
        <v>4</v>
      </c>
      <c r="S717">
        <v>0.05995839365595068</v>
      </c>
      <c r="T717" t="s">
        <v>912</v>
      </c>
      <c r="U717">
        <v>-0.329448445818072</v>
      </c>
      <c r="V717" t="s">
        <v>987</v>
      </c>
      <c r="W717" t="s">
        <v>1000</v>
      </c>
      <c r="X717">
        <v>8372.259265999999</v>
      </c>
      <c r="Y717" s="2">
        <v>44872</v>
      </c>
      <c r="Z717" t="s">
        <v>1003</v>
      </c>
    </row>
    <row r="718" spans="1:26">
      <c r="A718" s="1" t="s">
        <v>742</v>
      </c>
      <c r="B718">
        <f>HYPERLINK("https://www.suredividend.com/sure-analysis-TRP/","TC Energy Corporation")</f>
        <v>0</v>
      </c>
      <c r="C718" t="s">
        <v>884</v>
      </c>
      <c r="D718">
        <v>48</v>
      </c>
      <c r="E718">
        <v>39.86</v>
      </c>
      <c r="F718">
        <v>53</v>
      </c>
      <c r="G718">
        <v>0.7520754716981132</v>
      </c>
      <c r="H718">
        <v>0.06623181133968892</v>
      </c>
      <c r="I718">
        <v>0.05863857535823813</v>
      </c>
      <c r="J718">
        <v>0.04</v>
      </c>
      <c r="K718">
        <v>0.1482814074319003</v>
      </c>
      <c r="L718" t="s">
        <v>631</v>
      </c>
      <c r="M718" t="s">
        <v>573</v>
      </c>
      <c r="N718">
        <v>12.07878787878788</v>
      </c>
      <c r="O718">
        <v>3.3</v>
      </c>
      <c r="P718">
        <v>2.64</v>
      </c>
      <c r="Q718">
        <v>0.8</v>
      </c>
      <c r="R718">
        <v>7</v>
      </c>
      <c r="S718">
        <v>0.04500506210411404</v>
      </c>
      <c r="T718" t="s">
        <v>905</v>
      </c>
      <c r="U718">
        <v>-0.086203181094997</v>
      </c>
      <c r="V718" t="s">
        <v>986</v>
      </c>
      <c r="W718" t="s">
        <v>999</v>
      </c>
      <c r="X718">
        <v>40572.340292</v>
      </c>
      <c r="Y718" s="2">
        <v>44882</v>
      </c>
      <c r="Z718" t="s">
        <v>1003</v>
      </c>
    </row>
    <row r="719" spans="1:26">
      <c r="A719" s="1" t="s">
        <v>743</v>
      </c>
      <c r="B719">
        <f>HYPERLINK("https://www.suredividend.com/sure-analysis-GMRE/","Global Medical REIT Inc")</f>
        <v>0</v>
      </c>
      <c r="C719" t="s">
        <v>883</v>
      </c>
      <c r="D719">
        <v>8.880000000000001</v>
      </c>
      <c r="E719">
        <v>9.48</v>
      </c>
      <c r="F719">
        <v>12.5</v>
      </c>
      <c r="G719">
        <v>0.7584000000000001</v>
      </c>
      <c r="H719">
        <v>0.08860759493670885</v>
      </c>
      <c r="I719">
        <v>0.05686699413620344</v>
      </c>
      <c r="J719">
        <v>0.03</v>
      </c>
      <c r="K719">
        <v>0.1468772300021266</v>
      </c>
      <c r="L719" t="s">
        <v>631</v>
      </c>
      <c r="M719" t="s">
        <v>573</v>
      </c>
      <c r="N719">
        <v>9.48</v>
      </c>
      <c r="O719">
        <v>1</v>
      </c>
      <c r="P719">
        <v>0.84</v>
      </c>
      <c r="Q719">
        <v>0.84</v>
      </c>
      <c r="R719">
        <v>2</v>
      </c>
      <c r="S719">
        <v>0.009347419909568888</v>
      </c>
      <c r="T719" t="s">
        <v>950</v>
      </c>
      <c r="U719">
        <v>-0.426410527908032</v>
      </c>
      <c r="V719" t="s">
        <v>987</v>
      </c>
      <c r="W719" t="s">
        <v>1000</v>
      </c>
      <c r="X719">
        <v>621.1135410000001</v>
      </c>
      <c r="Y719" s="2">
        <v>44872</v>
      </c>
      <c r="Z719" t="s">
        <v>1011</v>
      </c>
    </row>
    <row r="720" spans="1:26">
      <c r="A720" s="1" t="s">
        <v>744</v>
      </c>
      <c r="B720">
        <f>HYPERLINK("https://www.suredividend.com/sure-analysis-EPR/","EPR Properties")</f>
        <v>0</v>
      </c>
      <c r="C720" t="s">
        <v>883</v>
      </c>
      <c r="D720">
        <v>40</v>
      </c>
      <c r="E720">
        <v>37.72</v>
      </c>
      <c r="F720">
        <v>51</v>
      </c>
      <c r="G720">
        <v>0.7396078431372549</v>
      </c>
      <c r="H720">
        <v>0.08748674443266172</v>
      </c>
      <c r="I720">
        <v>0.06218386104056783</v>
      </c>
      <c r="J720">
        <v>0.02</v>
      </c>
      <c r="K720">
        <v>0.1454106018230337</v>
      </c>
      <c r="L720" t="s">
        <v>631</v>
      </c>
      <c r="M720" t="s">
        <v>573</v>
      </c>
      <c r="N720">
        <v>8.111827956989247</v>
      </c>
      <c r="O720">
        <v>4.65</v>
      </c>
      <c r="P720">
        <v>3.3</v>
      </c>
      <c r="Q720">
        <v>0.7096774193548386</v>
      </c>
      <c r="R720">
        <v>1</v>
      </c>
      <c r="S720">
        <v>0.03023658180975963</v>
      </c>
      <c r="T720" t="s">
        <v>905</v>
      </c>
      <c r="U720">
        <v>-0.146641087014555</v>
      </c>
      <c r="V720" t="s">
        <v>987</v>
      </c>
      <c r="W720" t="s">
        <v>1000</v>
      </c>
      <c r="X720">
        <v>2829.794044</v>
      </c>
      <c r="Y720" s="2">
        <v>44885</v>
      </c>
      <c r="Z720" t="s">
        <v>1005</v>
      </c>
    </row>
    <row r="721" spans="1:26">
      <c r="A721" s="1" t="s">
        <v>745</v>
      </c>
      <c r="B721">
        <f>HYPERLINK("https://www.suredividend.com/sure-analysis-DGICA/","Donegal Group Inc.")</f>
        <v>0</v>
      </c>
      <c r="C721" t="s">
        <v>883</v>
      </c>
      <c r="D721">
        <v>15</v>
      </c>
      <c r="E721">
        <v>14.2</v>
      </c>
      <c r="F721">
        <v>19</v>
      </c>
      <c r="G721">
        <v>0.7473684210526316</v>
      </c>
      <c r="H721">
        <v>0.04647887323943663</v>
      </c>
      <c r="I721">
        <v>0.05996872493653238</v>
      </c>
      <c r="J721">
        <v>0.05</v>
      </c>
      <c r="K721">
        <v>0.1451051419989722</v>
      </c>
      <c r="L721" t="s">
        <v>631</v>
      </c>
      <c r="M721" t="s">
        <v>572</v>
      </c>
      <c r="N721">
        <v>56.8</v>
      </c>
      <c r="O721">
        <v>0.25</v>
      </c>
      <c r="P721">
        <v>0.66</v>
      </c>
      <c r="Q721">
        <v>2.64</v>
      </c>
      <c r="R721">
        <v>20</v>
      </c>
      <c r="S721">
        <v>0.03922410156720635</v>
      </c>
      <c r="T721" t="s">
        <v>932</v>
      </c>
      <c r="U721">
        <v>0.053490615030788</v>
      </c>
      <c r="V721" t="s">
        <v>986</v>
      </c>
      <c r="W721" t="s">
        <v>994</v>
      </c>
      <c r="X721">
        <v>472.590603</v>
      </c>
      <c r="Y721" s="2">
        <v>44908</v>
      </c>
      <c r="Z721" t="s">
        <v>1004</v>
      </c>
    </row>
    <row r="722" spans="1:26">
      <c r="A722" s="1" t="s">
        <v>746</v>
      </c>
      <c r="B722">
        <f>HYPERLINK("https://www.suredividend.com/sure-analysis-SFL/","SFL Corporation Ltd")</f>
        <v>0</v>
      </c>
      <c r="C722" t="s">
        <v>883</v>
      </c>
      <c r="D722">
        <v>10.02</v>
      </c>
      <c r="E722">
        <v>9.220000000000001</v>
      </c>
      <c r="F722">
        <v>11.25</v>
      </c>
      <c r="G722">
        <v>0.8195555555555556</v>
      </c>
      <c r="H722">
        <v>0.09978308026030369</v>
      </c>
      <c r="I722">
        <v>0.04060119496570347</v>
      </c>
      <c r="J722">
        <v>0.03</v>
      </c>
      <c r="K722">
        <v>0.1442128719403866</v>
      </c>
      <c r="L722" t="s">
        <v>631</v>
      </c>
      <c r="M722" t="s">
        <v>573</v>
      </c>
      <c r="N722">
        <v>7.376</v>
      </c>
      <c r="O722">
        <v>1.25</v>
      </c>
      <c r="P722">
        <v>0.92</v>
      </c>
      <c r="Q722">
        <v>0.736</v>
      </c>
      <c r="R722">
        <v>1</v>
      </c>
      <c r="S722">
        <v>0.03066894385040531</v>
      </c>
      <c r="T722" t="s">
        <v>955</v>
      </c>
      <c r="U722">
        <v>0.252138957546785</v>
      </c>
      <c r="V722" t="s">
        <v>986</v>
      </c>
      <c r="W722" t="s">
        <v>991</v>
      </c>
      <c r="X722">
        <v>1277.443788</v>
      </c>
      <c r="Y722" s="2">
        <v>44887</v>
      </c>
      <c r="Z722" t="s">
        <v>1011</v>
      </c>
    </row>
    <row r="723" spans="1:26">
      <c r="A723" s="1" t="s">
        <v>747</v>
      </c>
      <c r="B723">
        <f>HYPERLINK("https://www.suredividend.com/sure-analysis-EXR/","Extra Space Storage Inc.")</f>
        <v>0</v>
      </c>
      <c r="C723" t="s">
        <v>883</v>
      </c>
      <c r="D723">
        <v>159</v>
      </c>
      <c r="E723">
        <v>147.18</v>
      </c>
      <c r="F723">
        <v>159</v>
      </c>
      <c r="G723">
        <v>0.9256603773584906</v>
      </c>
      <c r="H723">
        <v>0.04076640847941296</v>
      </c>
      <c r="I723">
        <v>0.0155695366167572</v>
      </c>
      <c r="J723">
        <v>0.09</v>
      </c>
      <c r="K723">
        <v>0.142191986269218</v>
      </c>
      <c r="L723" t="s">
        <v>631</v>
      </c>
      <c r="M723" t="s">
        <v>572</v>
      </c>
      <c r="N723">
        <v>17.62634730538922</v>
      </c>
      <c r="O723">
        <v>8.35</v>
      </c>
      <c r="P723">
        <v>6</v>
      </c>
      <c r="Q723">
        <v>0.718562874251497</v>
      </c>
      <c r="R723">
        <v>13</v>
      </c>
      <c r="S723">
        <v>0.1099923381810939</v>
      </c>
      <c r="T723" t="s">
        <v>955</v>
      </c>
      <c r="U723">
        <v>-0.324713078763286</v>
      </c>
      <c r="V723" t="s">
        <v>987</v>
      </c>
      <c r="W723" t="s">
        <v>1000</v>
      </c>
      <c r="X723">
        <v>19710.570491</v>
      </c>
      <c r="Y723" s="2">
        <v>44867</v>
      </c>
      <c r="Z723" t="s">
        <v>1011</v>
      </c>
    </row>
    <row r="724" spans="1:26">
      <c r="A724" s="1" t="s">
        <v>748</v>
      </c>
      <c r="B724">
        <f>HYPERLINK("https://www.suredividend.com/sure-analysis-NTST/","Netstreit Corp")</f>
        <v>0</v>
      </c>
      <c r="C724" t="s">
        <v>883</v>
      </c>
      <c r="D724">
        <v>19</v>
      </c>
      <c r="E724">
        <v>18.33</v>
      </c>
      <c r="F724">
        <v>23</v>
      </c>
      <c r="G724">
        <v>0.7969565217391303</v>
      </c>
      <c r="H724">
        <v>0.0436442989634479</v>
      </c>
      <c r="I724">
        <v>0.04643696901774175</v>
      </c>
      <c r="J724">
        <v>0.06</v>
      </c>
      <c r="K724">
        <v>0.1408062686611173</v>
      </c>
      <c r="L724" t="s">
        <v>631</v>
      </c>
      <c r="M724" t="s">
        <v>572</v>
      </c>
      <c r="N724">
        <v>15.80172413793103</v>
      </c>
      <c r="O724">
        <v>1.16</v>
      </c>
      <c r="P724">
        <v>0.8</v>
      </c>
      <c r="Q724">
        <v>0.6896551724137931</v>
      </c>
      <c r="R724">
        <v>1</v>
      </c>
      <c r="S724">
        <v>0.04978904632428516</v>
      </c>
      <c r="T724" t="s">
        <v>891</v>
      </c>
      <c r="U724">
        <v>-0.169347895046902</v>
      </c>
      <c r="V724" t="s">
        <v>987</v>
      </c>
      <c r="W724" t="s">
        <v>1000</v>
      </c>
      <c r="X724">
        <v>1005.882487</v>
      </c>
      <c r="Y724" s="2">
        <v>44867</v>
      </c>
      <c r="Z724" t="s">
        <v>1008</v>
      </c>
    </row>
    <row r="725" spans="1:26">
      <c r="A725" s="1" t="s">
        <v>749</v>
      </c>
      <c r="B725">
        <f>HYPERLINK("https://www.suredividend.com/sure-analysis-EQR/","Equity Residential Properties Trust")</f>
        <v>0</v>
      </c>
      <c r="C725" t="s">
        <v>884</v>
      </c>
      <c r="D725">
        <v>63.9</v>
      </c>
      <c r="E725">
        <v>59</v>
      </c>
      <c r="F725">
        <v>77.7</v>
      </c>
      <c r="G725">
        <v>0.7593307593307593</v>
      </c>
      <c r="H725">
        <v>0.0423728813559322</v>
      </c>
      <c r="I725">
        <v>0.05660777337720746</v>
      </c>
      <c r="J725">
        <v>0.05</v>
      </c>
      <c r="K725">
        <v>0.1401977647183434</v>
      </c>
      <c r="L725" t="s">
        <v>631</v>
      </c>
      <c r="M725" t="s">
        <v>572</v>
      </c>
      <c r="N725">
        <v>16.71388101983003</v>
      </c>
      <c r="O725">
        <v>3.53</v>
      </c>
      <c r="P725">
        <v>2.5</v>
      </c>
      <c r="Q725">
        <v>0.708215297450425</v>
      </c>
      <c r="R725">
        <v>2</v>
      </c>
      <c r="S725">
        <v>0.05061112176150684</v>
      </c>
      <c r="T725" t="s">
        <v>898</v>
      </c>
      <c r="U725">
        <v>-0.320364975527379</v>
      </c>
      <c r="V725" t="s">
        <v>987</v>
      </c>
      <c r="W725" t="s">
        <v>1000</v>
      </c>
      <c r="X725">
        <v>22297.21628</v>
      </c>
      <c r="Y725" s="2">
        <v>44879</v>
      </c>
      <c r="Z725" t="s">
        <v>1009</v>
      </c>
    </row>
    <row r="726" spans="1:26">
      <c r="A726" s="1" t="s">
        <v>750</v>
      </c>
      <c r="B726">
        <f>HYPERLINK("https://www.suredividend.com/sure-analysis-GSBD/","Goldman Sachs BDC Inc")</f>
        <v>0</v>
      </c>
      <c r="C726" t="s">
        <v>883</v>
      </c>
      <c r="D726">
        <v>15.83</v>
      </c>
      <c r="E726">
        <v>13.72</v>
      </c>
      <c r="F726">
        <v>17.4</v>
      </c>
      <c r="G726">
        <v>0.7885057471264368</v>
      </c>
      <c r="H726">
        <v>0.1311953352769679</v>
      </c>
      <c r="I726">
        <v>0.04867044272977727</v>
      </c>
      <c r="J726">
        <v>0</v>
      </c>
      <c r="K726">
        <v>0.1398559303918312</v>
      </c>
      <c r="L726" t="s">
        <v>631</v>
      </c>
      <c r="M726" t="s">
        <v>573</v>
      </c>
      <c r="N726">
        <v>6.86</v>
      </c>
      <c r="O726">
        <v>2</v>
      </c>
      <c r="P726">
        <v>1.8</v>
      </c>
      <c r="Q726">
        <v>0.9</v>
      </c>
      <c r="R726">
        <v>0</v>
      </c>
      <c r="S726">
        <v>0</v>
      </c>
      <c r="T726" t="s">
        <v>905</v>
      </c>
      <c r="U726">
        <v>-0.198406160353822</v>
      </c>
      <c r="V726" t="s">
        <v>989</v>
      </c>
      <c r="W726" t="s">
        <v>994</v>
      </c>
      <c r="X726">
        <v>1410.120211</v>
      </c>
      <c r="Y726" s="2">
        <v>44874</v>
      </c>
      <c r="Z726" t="s">
        <v>1011</v>
      </c>
    </row>
    <row r="727" spans="1:26">
      <c r="A727" s="1" t="s">
        <v>751</v>
      </c>
      <c r="B727">
        <f>HYPERLINK("https://www.suredividend.com/sure-analysis-RTL/","Necessity Retail REIT Inc (The)")</f>
        <v>0</v>
      </c>
      <c r="C727" t="s">
        <v>883</v>
      </c>
      <c r="D727">
        <v>6.64</v>
      </c>
      <c r="E727">
        <v>5.93</v>
      </c>
      <c r="F727">
        <v>7.14</v>
      </c>
      <c r="G727">
        <v>0.8305322128851541</v>
      </c>
      <c r="H727">
        <v>0.1433389544688027</v>
      </c>
      <c r="I727">
        <v>0.03783593415326858</v>
      </c>
      <c r="J727">
        <v>0</v>
      </c>
      <c r="K727">
        <v>0.1394461521331263</v>
      </c>
      <c r="L727" t="s">
        <v>631</v>
      </c>
      <c r="M727" t="s">
        <v>887</v>
      </c>
      <c r="N727">
        <v>5.813725490196078</v>
      </c>
      <c r="O727">
        <v>1.02</v>
      </c>
      <c r="P727">
        <v>0.85</v>
      </c>
      <c r="Q727">
        <v>0.8333333333333333</v>
      </c>
      <c r="R727">
        <v>1</v>
      </c>
      <c r="S727">
        <v>0</v>
      </c>
      <c r="T727" t="s">
        <v>966</v>
      </c>
      <c r="U727">
        <v>-0.330117596556827</v>
      </c>
      <c r="V727" t="s">
        <v>987</v>
      </c>
      <c r="W727" t="s">
        <v>1000</v>
      </c>
      <c r="X727">
        <v>795.9501760000001</v>
      </c>
      <c r="Y727" s="2">
        <v>44872</v>
      </c>
      <c r="Z727" t="s">
        <v>1011</v>
      </c>
    </row>
    <row r="728" spans="1:26">
      <c r="A728" s="1" t="s">
        <v>752</v>
      </c>
      <c r="B728">
        <f>HYPERLINK("https://www.suredividend.com/sure-analysis-RITM/","Rithm Capital Corporation")</f>
        <v>0</v>
      </c>
      <c r="C728" t="s">
        <v>883</v>
      </c>
      <c r="D728">
        <v>8.699999999999999</v>
      </c>
      <c r="E728">
        <v>8.17</v>
      </c>
      <c r="F728">
        <v>9.4</v>
      </c>
      <c r="G728">
        <v>0.8691489361702127</v>
      </c>
      <c r="H728">
        <v>0.1223990208078335</v>
      </c>
      <c r="I728">
        <v>0.02844520911955617</v>
      </c>
      <c r="J728">
        <v>0.025</v>
      </c>
      <c r="K728">
        <v>0.1386139059010028</v>
      </c>
      <c r="L728" t="s">
        <v>631</v>
      </c>
      <c r="M728" t="s">
        <v>573</v>
      </c>
      <c r="N728">
        <v>6.536</v>
      </c>
      <c r="O728">
        <v>1.25</v>
      </c>
      <c r="P728">
        <v>1</v>
      </c>
      <c r="Q728">
        <v>0.8</v>
      </c>
      <c r="R728">
        <v>2</v>
      </c>
      <c r="S728">
        <v>0</v>
      </c>
      <c r="T728" t="s">
        <v>905</v>
      </c>
      <c r="U728">
        <v>-0.202413261221859</v>
      </c>
      <c r="V728" t="s">
        <v>987</v>
      </c>
      <c r="W728" t="s">
        <v>1000</v>
      </c>
      <c r="X728">
        <v>3870.252367</v>
      </c>
      <c r="Y728" s="2">
        <v>44888</v>
      </c>
      <c r="Z728" t="s">
        <v>1007</v>
      </c>
    </row>
    <row r="729" spans="1:26">
      <c r="A729" s="1" t="s">
        <v>753</v>
      </c>
      <c r="B729">
        <f>HYPERLINK("https://www.suredividend.com/sure-analysis-NLY/","Annaly Capital Management Inc")</f>
        <v>0</v>
      </c>
      <c r="C729" t="s">
        <v>883</v>
      </c>
      <c r="D729">
        <v>19.12</v>
      </c>
      <c r="E729">
        <v>21.08</v>
      </c>
      <c r="F729">
        <v>29.8</v>
      </c>
      <c r="G729">
        <v>0.7073825503355704</v>
      </c>
      <c r="H729">
        <v>0.1669829222011385</v>
      </c>
      <c r="I729">
        <v>0.07168988451881431</v>
      </c>
      <c r="J729">
        <v>-0.048</v>
      </c>
      <c r="K729">
        <v>0.1362822480483519</v>
      </c>
      <c r="L729" t="s">
        <v>631</v>
      </c>
      <c r="M729" t="s">
        <v>887</v>
      </c>
      <c r="N729">
        <v>4.96</v>
      </c>
      <c r="O729">
        <v>4.25</v>
      </c>
      <c r="P729">
        <v>3.52</v>
      </c>
      <c r="Q729">
        <v>0.8282352941176471</v>
      </c>
      <c r="R729">
        <v>1</v>
      </c>
      <c r="S729">
        <v>-0.01888150427373569</v>
      </c>
      <c r="T729" t="s">
        <v>905</v>
      </c>
      <c r="U729">
        <v>-0.226952513321133</v>
      </c>
      <c r="V729" t="s">
        <v>987</v>
      </c>
      <c r="W729" t="s">
        <v>1000</v>
      </c>
      <c r="X729">
        <v>9862.605583</v>
      </c>
      <c r="Y729" s="2">
        <v>44879</v>
      </c>
      <c r="Z729" t="s">
        <v>1009</v>
      </c>
    </row>
    <row r="730" spans="1:26">
      <c r="A730" s="1" t="s">
        <v>754</v>
      </c>
      <c r="B730">
        <f>HYPERLINK("https://www.suredividend.com/sure-analysis-CCOI/","Cogent Communications Holdings Inc")</f>
        <v>0</v>
      </c>
      <c r="C730" t="s">
        <v>883</v>
      </c>
      <c r="D730">
        <v>54</v>
      </c>
      <c r="E730">
        <v>57.08</v>
      </c>
      <c r="F730">
        <v>58</v>
      </c>
      <c r="G730">
        <v>0.9841379310344828</v>
      </c>
      <c r="H730">
        <v>0.06412053258584444</v>
      </c>
      <c r="I730">
        <v>0.003202962144021937</v>
      </c>
      <c r="J730">
        <v>0.08</v>
      </c>
      <c r="K730">
        <v>0.1354626834133774</v>
      </c>
      <c r="L730" t="s">
        <v>631</v>
      </c>
      <c r="M730" t="s">
        <v>572</v>
      </c>
      <c r="N730">
        <v>87.81538461538462</v>
      </c>
      <c r="O730">
        <v>0.65</v>
      </c>
      <c r="P730">
        <v>3.66</v>
      </c>
      <c r="Q730">
        <v>5.630769230769231</v>
      </c>
      <c r="R730">
        <v>11</v>
      </c>
      <c r="S730">
        <v>0.06986075271311409</v>
      </c>
      <c r="T730" t="s">
        <v>894</v>
      </c>
      <c r="U730">
        <v>-0.176718499169939</v>
      </c>
      <c r="V730" t="s">
        <v>986</v>
      </c>
      <c r="W730" t="s">
        <v>995</v>
      </c>
      <c r="X730">
        <v>2740.413197</v>
      </c>
      <c r="Y730" s="2">
        <v>44869</v>
      </c>
      <c r="Z730" t="s">
        <v>1012</v>
      </c>
    </row>
    <row r="731" spans="1:26">
      <c r="A731" s="1" t="s">
        <v>755</v>
      </c>
      <c r="B731">
        <f>HYPERLINK("https://www.suredividend.com/sure-analysis-IEP/","Icahn Enterprises L P")</f>
        <v>0</v>
      </c>
      <c r="C731" t="s">
        <v>883</v>
      </c>
      <c r="D731">
        <v>54</v>
      </c>
      <c r="E731">
        <v>50.65</v>
      </c>
      <c r="F731">
        <v>54</v>
      </c>
      <c r="G731">
        <v>0.9379629629629629</v>
      </c>
      <c r="H731">
        <v>0.1579466929911155</v>
      </c>
      <c r="I731">
        <v>0.01289134932731928</v>
      </c>
      <c r="J731">
        <v>0</v>
      </c>
      <c r="K731">
        <v>0.131643623873493</v>
      </c>
      <c r="L731" t="s">
        <v>631</v>
      </c>
      <c r="M731" t="s">
        <v>573</v>
      </c>
      <c r="N731">
        <v>6.33125</v>
      </c>
      <c r="O731">
        <v>8</v>
      </c>
      <c r="P731">
        <v>8</v>
      </c>
      <c r="Q731">
        <v>1</v>
      </c>
      <c r="R731">
        <v>0</v>
      </c>
      <c r="S731">
        <v>0</v>
      </c>
      <c r="T731" t="s">
        <v>894</v>
      </c>
      <c r="U731">
        <v>0.182789421449004</v>
      </c>
      <c r="V731" t="s">
        <v>988</v>
      </c>
      <c r="W731" t="s">
        <v>991</v>
      </c>
      <c r="X731">
        <v>17093.055618</v>
      </c>
      <c r="Y731" s="2">
        <v>44873</v>
      </c>
      <c r="Z731" t="s">
        <v>1011</v>
      </c>
    </row>
    <row r="732" spans="1:26">
      <c r="A732" s="1" t="s">
        <v>756</v>
      </c>
      <c r="B732">
        <f>HYPERLINK("https://www.suredividend.com/sure-analysis-BEP/","Brookfield Renewable Partners LP")</f>
        <v>0</v>
      </c>
      <c r="C732" t="s">
        <v>884</v>
      </c>
      <c r="D732">
        <v>30</v>
      </c>
      <c r="E732">
        <v>25.34</v>
      </c>
      <c r="F732">
        <v>28</v>
      </c>
      <c r="G732">
        <v>0.905</v>
      </c>
      <c r="H732">
        <v>0.0505130228887135</v>
      </c>
      <c r="I732">
        <v>0.02016468184820908</v>
      </c>
      <c r="J732">
        <v>0.07000000000000001</v>
      </c>
      <c r="K732">
        <v>0.1300016189725166</v>
      </c>
      <c r="L732" t="s">
        <v>631</v>
      </c>
      <c r="M732" t="s">
        <v>572</v>
      </c>
      <c r="N732">
        <v>15.35757575757576</v>
      </c>
      <c r="O732">
        <v>1.65</v>
      </c>
      <c r="P732">
        <v>1.28</v>
      </c>
      <c r="Q732">
        <v>0.7757575757575759</v>
      </c>
      <c r="R732">
        <v>1</v>
      </c>
      <c r="S732">
        <v>0.04953161886656288</v>
      </c>
      <c r="T732" t="s">
        <v>917</v>
      </c>
      <c r="U732">
        <v>-0.250178282393393</v>
      </c>
      <c r="V732" t="s">
        <v>988</v>
      </c>
      <c r="W732" t="s">
        <v>997</v>
      </c>
      <c r="X732">
        <v>6975.773619</v>
      </c>
      <c r="Y732" s="2">
        <v>44879</v>
      </c>
      <c r="Z732" t="s">
        <v>1003</v>
      </c>
    </row>
    <row r="733" spans="1:26">
      <c r="A733" s="1" t="s">
        <v>757</v>
      </c>
      <c r="B733">
        <f>HYPERLINK("https://www.suredividend.com/sure-analysis-SBLK/","Star Bulk Carriers Corp")</f>
        <v>0</v>
      </c>
      <c r="C733" t="s">
        <v>883</v>
      </c>
      <c r="D733">
        <v>19.64</v>
      </c>
      <c r="E733">
        <v>19.23</v>
      </c>
      <c r="F733">
        <v>30</v>
      </c>
      <c r="G733">
        <v>0.641</v>
      </c>
      <c r="H733">
        <v>0.249609984399376</v>
      </c>
      <c r="I733">
        <v>0.09302071824951463</v>
      </c>
      <c r="J733">
        <v>-0.1</v>
      </c>
      <c r="K733">
        <v>0.1297469129140205</v>
      </c>
      <c r="L733" t="s">
        <v>631</v>
      </c>
      <c r="M733" t="s">
        <v>887</v>
      </c>
      <c r="N733">
        <v>3.205</v>
      </c>
      <c r="O733">
        <v>6</v>
      </c>
      <c r="P733">
        <v>4.8</v>
      </c>
      <c r="Q733">
        <v>0.7999999999999999</v>
      </c>
      <c r="R733">
        <v>0</v>
      </c>
      <c r="S733">
        <v>-0.1002765505368165</v>
      </c>
      <c r="T733" t="s">
        <v>917</v>
      </c>
      <c r="U733">
        <v>0.142405646085938</v>
      </c>
      <c r="V733" t="s">
        <v>986</v>
      </c>
      <c r="W733" t="s">
        <v>991</v>
      </c>
      <c r="X733">
        <v>1967.128196</v>
      </c>
      <c r="Y733" s="2">
        <v>44882</v>
      </c>
      <c r="Z733" t="s">
        <v>1011</v>
      </c>
    </row>
    <row r="734" spans="1:26">
      <c r="A734" s="1" t="s">
        <v>758</v>
      </c>
      <c r="B734">
        <f>HYPERLINK("https://www.suredividend.com/sure-analysis-EARN/","Ellington Residential Mortgage REIT")</f>
        <v>0</v>
      </c>
      <c r="C734" t="s">
        <v>884</v>
      </c>
      <c r="D734">
        <v>7.13</v>
      </c>
      <c r="E734">
        <v>6.86</v>
      </c>
      <c r="F734">
        <v>7.43</v>
      </c>
      <c r="G734">
        <v>0.9232839838492598</v>
      </c>
      <c r="H734">
        <v>0.1399416909620991</v>
      </c>
      <c r="I734">
        <v>0.01609178373550257</v>
      </c>
      <c r="J734">
        <v>0.01</v>
      </c>
      <c r="K734">
        <v>0.1294612563006594</v>
      </c>
      <c r="L734" t="s">
        <v>631</v>
      </c>
      <c r="M734" t="s">
        <v>573</v>
      </c>
      <c r="N734">
        <v>6.92929292929293</v>
      </c>
      <c r="O734">
        <v>0.99</v>
      </c>
      <c r="P734">
        <v>0.96</v>
      </c>
      <c r="Q734">
        <v>0.9696969696969697</v>
      </c>
      <c r="R734">
        <v>0</v>
      </c>
      <c r="S734">
        <v>0</v>
      </c>
      <c r="T734" t="s">
        <v>905</v>
      </c>
      <c r="U734">
        <v>-0.264516682391285</v>
      </c>
      <c r="V734" t="s">
        <v>987</v>
      </c>
      <c r="W734" t="s">
        <v>1000</v>
      </c>
      <c r="X734">
        <v>89.724643</v>
      </c>
      <c r="Y734" s="2">
        <v>44877</v>
      </c>
      <c r="Z734" t="s">
        <v>1008</v>
      </c>
    </row>
    <row r="735" spans="1:26">
      <c r="A735" s="1" t="s">
        <v>759</v>
      </c>
      <c r="B735">
        <f>HYPERLINK("https://www.suredividend.com/sure-analysis-GSK/","GSK Plc")</f>
        <v>0</v>
      </c>
      <c r="C735" t="s">
        <v>883</v>
      </c>
      <c r="D735">
        <v>33</v>
      </c>
      <c r="E735">
        <v>35.14</v>
      </c>
      <c r="F735">
        <v>47</v>
      </c>
      <c r="G735">
        <v>0.7476595744680851</v>
      </c>
      <c r="H735">
        <v>0.0520774046670461</v>
      </c>
      <c r="I735">
        <v>0.05988615751991766</v>
      </c>
      <c r="J735">
        <v>0.03</v>
      </c>
      <c r="K735">
        <v>0.1291107452326721</v>
      </c>
      <c r="L735" t="s">
        <v>631</v>
      </c>
      <c r="M735" t="s">
        <v>573</v>
      </c>
      <c r="N735">
        <v>11.22683706070288</v>
      </c>
      <c r="O735">
        <v>3.13</v>
      </c>
      <c r="P735">
        <v>1.83</v>
      </c>
      <c r="Q735">
        <v>0.5846645367412141</v>
      </c>
      <c r="R735">
        <v>3</v>
      </c>
      <c r="S735">
        <v>0.02985706870639104</v>
      </c>
      <c r="T735" t="s">
        <v>894</v>
      </c>
      <c r="U735">
        <v>-0.334440704803428</v>
      </c>
      <c r="V735" t="s">
        <v>986</v>
      </c>
      <c r="W735" t="s">
        <v>998</v>
      </c>
      <c r="X735">
        <v>71935.075235</v>
      </c>
      <c r="Y735" s="2">
        <v>44873</v>
      </c>
      <c r="Z735" t="s">
        <v>1001</v>
      </c>
    </row>
    <row r="736" spans="1:26">
      <c r="A736" s="1" t="s">
        <v>760</v>
      </c>
      <c r="B736">
        <f>HYPERLINK("https://www.suredividend.com/sure-analysis-CTO/","CTO Realty Growth Inc")</f>
        <v>0</v>
      </c>
      <c r="C736" t="s">
        <v>883</v>
      </c>
      <c r="D736">
        <v>20</v>
      </c>
      <c r="E736">
        <v>18.28</v>
      </c>
      <c r="F736">
        <v>22</v>
      </c>
      <c r="G736">
        <v>0.8309090909090909</v>
      </c>
      <c r="H736">
        <v>0.08205689277899343</v>
      </c>
      <c r="I736">
        <v>0.03774177017229285</v>
      </c>
      <c r="J736">
        <v>0.03</v>
      </c>
      <c r="K736">
        <v>0.1286401097507841</v>
      </c>
      <c r="L736" t="s">
        <v>631</v>
      </c>
      <c r="M736" t="s">
        <v>573</v>
      </c>
      <c r="N736">
        <v>10.15555555555556</v>
      </c>
      <c r="O736">
        <v>1.8</v>
      </c>
      <c r="P736">
        <v>1.5</v>
      </c>
      <c r="Q736">
        <v>0.8333333333333333</v>
      </c>
      <c r="R736">
        <v>9</v>
      </c>
      <c r="S736">
        <v>0.0204773406453429</v>
      </c>
      <c r="T736" t="s">
        <v>948</v>
      </c>
      <c r="U736">
        <v>-0.036799730219618</v>
      </c>
      <c r="V736" t="s">
        <v>987</v>
      </c>
      <c r="W736" t="s">
        <v>1000</v>
      </c>
      <c r="X736">
        <v>417.533297</v>
      </c>
      <c r="Y736" s="2">
        <v>44874</v>
      </c>
      <c r="Z736" t="s">
        <v>1008</v>
      </c>
    </row>
    <row r="737" spans="1:26">
      <c r="A737" s="1" t="s">
        <v>761</v>
      </c>
      <c r="B737">
        <f>HYPERLINK("https://www.suredividend.com/sure-analysis-HRZN/","Horizon Technology Finance Corp")</f>
        <v>0</v>
      </c>
      <c r="C737" t="s">
        <v>883</v>
      </c>
      <c r="D737">
        <v>12.77</v>
      </c>
      <c r="E737">
        <v>11.6</v>
      </c>
      <c r="F737">
        <v>13.23</v>
      </c>
      <c r="G737">
        <v>0.8767951625094482</v>
      </c>
      <c r="H737">
        <v>0.1137931034482759</v>
      </c>
      <c r="I737">
        <v>0.02664517638207142</v>
      </c>
      <c r="J737">
        <v>0.02</v>
      </c>
      <c r="K737">
        <v>0.1282470443645343</v>
      </c>
      <c r="L737" t="s">
        <v>631</v>
      </c>
      <c r="M737" t="s">
        <v>573</v>
      </c>
      <c r="N737">
        <v>8.592592592592592</v>
      </c>
      <c r="O737">
        <v>1.35</v>
      </c>
      <c r="P737">
        <v>1.32</v>
      </c>
      <c r="Q737">
        <v>0.9777777777777777</v>
      </c>
      <c r="R737">
        <v>1</v>
      </c>
      <c r="S737">
        <v>0</v>
      </c>
      <c r="T737" t="s">
        <v>904</v>
      </c>
      <c r="U737">
        <v>-0.201343945360909</v>
      </c>
      <c r="V737" t="s">
        <v>989</v>
      </c>
      <c r="W737" t="s">
        <v>994</v>
      </c>
      <c r="X737">
        <v>306.257122</v>
      </c>
      <c r="Y737" s="2">
        <v>44868</v>
      </c>
      <c r="Z737" t="s">
        <v>1011</v>
      </c>
    </row>
    <row r="738" spans="1:26">
      <c r="A738" s="1" t="s">
        <v>762</v>
      </c>
      <c r="B738">
        <f>HYPERLINK("https://www.suredividend.com/sure-analysis-SMG/","Scotts Miracle-Gro Company")</f>
        <v>0</v>
      </c>
      <c r="C738" t="s">
        <v>884</v>
      </c>
      <c r="D738">
        <v>50</v>
      </c>
      <c r="E738">
        <v>48.59</v>
      </c>
      <c r="F738">
        <v>53</v>
      </c>
      <c r="G738">
        <v>0.9167924528301887</v>
      </c>
      <c r="H738">
        <v>0.0543321671125746</v>
      </c>
      <c r="I738">
        <v>0.01752665344845128</v>
      </c>
      <c r="J738">
        <v>0.07000000000000001</v>
      </c>
      <c r="K738">
        <v>0.1280914373059812</v>
      </c>
      <c r="L738" t="s">
        <v>631</v>
      </c>
      <c r="M738" t="s">
        <v>573</v>
      </c>
      <c r="N738">
        <v>12.95733333333333</v>
      </c>
      <c r="O738">
        <v>3.75</v>
      </c>
      <c r="P738">
        <v>2.64</v>
      </c>
      <c r="Q738">
        <v>0.7040000000000001</v>
      </c>
      <c r="R738">
        <v>12</v>
      </c>
      <c r="S738">
        <v>0.02996744995959233</v>
      </c>
      <c r="T738" t="s">
        <v>908</v>
      </c>
      <c r="U738">
        <v>-0.6878188308400811</v>
      </c>
      <c r="V738" t="s">
        <v>986</v>
      </c>
      <c r="W738" t="s">
        <v>990</v>
      </c>
      <c r="X738">
        <v>2695.030793</v>
      </c>
      <c r="Y738" s="2">
        <v>44872</v>
      </c>
      <c r="Z738" t="s">
        <v>1011</v>
      </c>
    </row>
    <row r="739" spans="1:26">
      <c r="A739" s="1" t="s">
        <v>763</v>
      </c>
      <c r="B739">
        <f>HYPERLINK("https://www.suredividend.com/sure-analysis-ORCC/","Owl Rock Capital Corp")</f>
        <v>0</v>
      </c>
      <c r="C739" t="s">
        <v>883</v>
      </c>
      <c r="D739">
        <v>12.78</v>
      </c>
      <c r="E739">
        <v>11.55</v>
      </c>
      <c r="F739">
        <v>13.13</v>
      </c>
      <c r="G739">
        <v>0.8796648895658796</v>
      </c>
      <c r="H739">
        <v>0.1142857142857143</v>
      </c>
      <c r="I739">
        <v>0.02597445653031616</v>
      </c>
      <c r="J739">
        <v>0.02</v>
      </c>
      <c r="K739">
        <v>0.128043944246319</v>
      </c>
      <c r="L739" t="s">
        <v>631</v>
      </c>
      <c r="M739" t="s">
        <v>573</v>
      </c>
      <c r="N739">
        <v>9.24</v>
      </c>
      <c r="O739">
        <v>1.25</v>
      </c>
      <c r="P739">
        <v>1.32</v>
      </c>
      <c r="Q739">
        <v>1.056</v>
      </c>
      <c r="R739">
        <v>1</v>
      </c>
      <c r="S739">
        <v>0</v>
      </c>
      <c r="T739" t="s">
        <v>905</v>
      </c>
      <c r="U739">
        <v>-0.09160977758203001</v>
      </c>
      <c r="V739" t="s">
        <v>989</v>
      </c>
      <c r="W739" t="s">
        <v>994</v>
      </c>
      <c r="X739">
        <v>4548.6558</v>
      </c>
      <c r="Y739" s="2">
        <v>44872</v>
      </c>
      <c r="Z739" t="s">
        <v>1011</v>
      </c>
    </row>
    <row r="740" spans="1:26">
      <c r="A740" s="1" t="s">
        <v>764</v>
      </c>
      <c r="B740">
        <f>HYPERLINK("https://www.suredividend.com/sure-analysis-TWO/","Two Harbors Investment Corp")</f>
        <v>0</v>
      </c>
      <c r="C740" t="s">
        <v>883</v>
      </c>
      <c r="D740">
        <v>16.3</v>
      </c>
      <c r="E740">
        <v>15.77</v>
      </c>
      <c r="F740">
        <v>15.9</v>
      </c>
      <c r="G740">
        <v>0.9918238993710692</v>
      </c>
      <c r="H740">
        <v>0.1724793912492074</v>
      </c>
      <c r="I740">
        <v>0.001643290374513606</v>
      </c>
      <c r="J740">
        <v>-0.004</v>
      </c>
      <c r="K740">
        <v>0.1250541660314568</v>
      </c>
      <c r="L740" t="s">
        <v>631</v>
      </c>
      <c r="M740" t="s">
        <v>573</v>
      </c>
      <c r="N740">
        <v>5.239202657807309</v>
      </c>
      <c r="O740">
        <v>3.01</v>
      </c>
      <c r="P740">
        <v>2.72</v>
      </c>
      <c r="Q740">
        <v>0.903654485049834</v>
      </c>
      <c r="R740">
        <v>1</v>
      </c>
      <c r="S740">
        <v>-0.01909802301537944</v>
      </c>
      <c r="T740" t="s">
        <v>982</v>
      </c>
      <c r="U740">
        <v>-0.240439264040073</v>
      </c>
      <c r="V740" t="s">
        <v>987</v>
      </c>
      <c r="W740" t="s">
        <v>1000</v>
      </c>
      <c r="X740">
        <v>1362.126717</v>
      </c>
      <c r="Y740" s="2">
        <v>44893</v>
      </c>
      <c r="Z740" t="s">
        <v>1009</v>
      </c>
    </row>
    <row r="741" spans="1:26">
      <c r="A741" s="1" t="s">
        <v>765</v>
      </c>
      <c r="B741">
        <f>HYPERLINK("https://www.suredividend.com/sure-analysis-UDR/","UDR Inc")</f>
        <v>0</v>
      </c>
      <c r="C741" t="s">
        <v>883</v>
      </c>
      <c r="D741">
        <v>40</v>
      </c>
      <c r="E741">
        <v>38.73</v>
      </c>
      <c r="F741">
        <v>47</v>
      </c>
      <c r="G741">
        <v>0.8240425531914893</v>
      </c>
      <c r="H741">
        <v>0.03924606248386264</v>
      </c>
      <c r="I741">
        <v>0.03946548223003199</v>
      </c>
      <c r="J741">
        <v>0.055</v>
      </c>
      <c r="K741">
        <v>0.1225209412231287</v>
      </c>
      <c r="L741" t="s">
        <v>631</v>
      </c>
      <c r="M741" t="s">
        <v>572</v>
      </c>
      <c r="N741">
        <v>18.2688679245283</v>
      </c>
      <c r="O741">
        <v>2.12</v>
      </c>
      <c r="P741">
        <v>1.52</v>
      </c>
      <c r="Q741">
        <v>0.7169811320754716</v>
      </c>
      <c r="R741">
        <v>11</v>
      </c>
      <c r="S741">
        <v>0</v>
      </c>
      <c r="T741" t="s">
        <v>967</v>
      </c>
      <c r="U741">
        <v>-0.333146230890154</v>
      </c>
      <c r="V741" t="s">
        <v>987</v>
      </c>
      <c r="W741" t="s">
        <v>1000</v>
      </c>
      <c r="X741">
        <v>12608.233139</v>
      </c>
      <c r="Y741" s="2">
        <v>44867</v>
      </c>
      <c r="Z741" t="s">
        <v>1008</v>
      </c>
    </row>
    <row r="742" spans="1:26">
      <c r="A742" s="1" t="s">
        <v>766</v>
      </c>
      <c r="B742">
        <f>HYPERLINK("https://www.suredividend.com/sure-analysis-BGS/","B&amp;G Foods, Inc")</f>
        <v>0</v>
      </c>
      <c r="C742" t="s">
        <v>884</v>
      </c>
      <c r="D742">
        <v>15</v>
      </c>
      <c r="E742">
        <v>11.15</v>
      </c>
      <c r="F742">
        <v>12</v>
      </c>
      <c r="G742">
        <v>0.9291666666666667</v>
      </c>
      <c r="H742">
        <v>0.06816143497757847</v>
      </c>
      <c r="I742">
        <v>0.01480190948335536</v>
      </c>
      <c r="J742">
        <v>0.06</v>
      </c>
      <c r="K742">
        <v>0.1223678550042775</v>
      </c>
      <c r="L742" t="s">
        <v>631</v>
      </c>
      <c r="M742" t="s">
        <v>573</v>
      </c>
      <c r="N742">
        <v>11.73684210526316</v>
      </c>
      <c r="O742">
        <v>0.95</v>
      </c>
      <c r="P742">
        <v>0.76</v>
      </c>
      <c r="Q742">
        <v>0.8</v>
      </c>
      <c r="R742">
        <v>0</v>
      </c>
      <c r="S742">
        <v>0</v>
      </c>
      <c r="T742" t="s">
        <v>905</v>
      </c>
      <c r="U742">
        <v>-0.6099407389786391</v>
      </c>
      <c r="V742" t="s">
        <v>986</v>
      </c>
      <c r="W742" t="s">
        <v>996</v>
      </c>
      <c r="X742">
        <v>799.0998059999999</v>
      </c>
      <c r="Y742" s="2">
        <v>44877</v>
      </c>
      <c r="Z742" t="s">
        <v>1008</v>
      </c>
    </row>
    <row r="743" spans="1:26">
      <c r="A743" s="1" t="s">
        <v>767</v>
      </c>
      <c r="B743">
        <f>HYPERLINK("https://www.suredividend.com/sure-analysis-STWD/","Starwood Property Trust Inc")</f>
        <v>0</v>
      </c>
      <c r="C743" t="s">
        <v>884</v>
      </c>
      <c r="D743">
        <v>21.15</v>
      </c>
      <c r="E743">
        <v>18.33</v>
      </c>
      <c r="F743">
        <v>22.9</v>
      </c>
      <c r="G743">
        <v>0.8004366812227074</v>
      </c>
      <c r="H743">
        <v>0.104746317512275</v>
      </c>
      <c r="I743">
        <v>0.04552543717301494</v>
      </c>
      <c r="J743">
        <v>0</v>
      </c>
      <c r="K743">
        <v>0.1213577249020852</v>
      </c>
      <c r="L743" t="s">
        <v>631</v>
      </c>
      <c r="M743" t="s">
        <v>573</v>
      </c>
      <c r="N743">
        <v>8.004366812227074</v>
      </c>
      <c r="O743">
        <v>2.29</v>
      </c>
      <c r="P743">
        <v>1.92</v>
      </c>
      <c r="Q743">
        <v>0.8384279475982532</v>
      </c>
      <c r="R743">
        <v>0</v>
      </c>
      <c r="S743">
        <v>0</v>
      </c>
      <c r="T743" t="s">
        <v>905</v>
      </c>
      <c r="U743">
        <v>-0.175979788353128</v>
      </c>
      <c r="V743" t="s">
        <v>987</v>
      </c>
      <c r="W743" t="s">
        <v>1000</v>
      </c>
      <c r="X743">
        <v>5674.680182</v>
      </c>
      <c r="Y743" s="2">
        <v>44879</v>
      </c>
      <c r="Z743" t="s">
        <v>1011</v>
      </c>
    </row>
    <row r="744" spans="1:26">
      <c r="A744" s="1" t="s">
        <v>768</v>
      </c>
      <c r="B744">
        <f>HYPERLINK("https://www.suredividend.com/sure-analysis-ABEV/","Ambev S.A.")</f>
        <v>0</v>
      </c>
      <c r="C744" t="s">
        <v>884</v>
      </c>
      <c r="D744">
        <v>3.15</v>
      </c>
      <c r="E744">
        <v>2.72</v>
      </c>
      <c r="F744">
        <v>3.63</v>
      </c>
      <c r="G744">
        <v>0.7493112947658401</v>
      </c>
      <c r="H744">
        <v>0.04044117647058824</v>
      </c>
      <c r="I744">
        <v>0.05941847976850623</v>
      </c>
      <c r="J744">
        <v>0.03</v>
      </c>
      <c r="K744">
        <v>0.121084806495279</v>
      </c>
      <c r="L744" t="s">
        <v>631</v>
      </c>
      <c r="M744" t="s">
        <v>572</v>
      </c>
      <c r="N744">
        <v>16</v>
      </c>
      <c r="O744">
        <v>0.17</v>
      </c>
      <c r="P744">
        <v>0.11</v>
      </c>
      <c r="Q744">
        <v>0.6470588235294117</v>
      </c>
      <c r="R744">
        <v>0</v>
      </c>
      <c r="S744">
        <v>0.03397522653195018</v>
      </c>
      <c r="T744" t="s">
        <v>909</v>
      </c>
      <c r="U744">
        <v>0.03860399404330001</v>
      </c>
      <c r="V744" t="s">
        <v>986</v>
      </c>
      <c r="W744" t="s">
        <v>996</v>
      </c>
      <c r="X744">
        <v>42840.589835</v>
      </c>
      <c r="Y744" s="2">
        <v>44875</v>
      </c>
      <c r="Z744" t="s">
        <v>1015</v>
      </c>
    </row>
    <row r="745" spans="1:26">
      <c r="A745" s="1" t="s">
        <v>769</v>
      </c>
      <c r="B745">
        <f>HYPERLINK("https://www.suredividend.com/sure-analysis-KRO/","Kronos Worldwide, Inc.")</f>
        <v>0</v>
      </c>
      <c r="C745" t="s">
        <v>884</v>
      </c>
      <c r="D745">
        <v>10</v>
      </c>
      <c r="E745">
        <v>9.4</v>
      </c>
      <c r="F745">
        <v>12</v>
      </c>
      <c r="G745">
        <v>0.7833333333333333</v>
      </c>
      <c r="H745">
        <v>0.08085106382978723</v>
      </c>
      <c r="I745">
        <v>0.05005169060192549</v>
      </c>
      <c r="J745">
        <v>0.01</v>
      </c>
      <c r="K745">
        <v>0.1195302438796104</v>
      </c>
      <c r="L745" t="s">
        <v>631</v>
      </c>
      <c r="M745" t="s">
        <v>573</v>
      </c>
      <c r="N745">
        <v>9.038461538461538</v>
      </c>
      <c r="O745">
        <v>1.04</v>
      </c>
      <c r="P745">
        <v>0.76</v>
      </c>
      <c r="Q745">
        <v>0.7307692307692307</v>
      </c>
      <c r="R745">
        <v>1</v>
      </c>
      <c r="S745">
        <v>0.01031145931793609</v>
      </c>
      <c r="T745" t="s">
        <v>891</v>
      </c>
      <c r="U745">
        <v>-0.328293150019293</v>
      </c>
      <c r="V745" t="s">
        <v>986</v>
      </c>
      <c r="W745" t="s">
        <v>991</v>
      </c>
      <c r="X745">
        <v>1085.418254</v>
      </c>
      <c r="Y745" s="2">
        <v>44907</v>
      </c>
      <c r="Z745" t="s">
        <v>1017</v>
      </c>
    </row>
    <row r="746" spans="1:26">
      <c r="A746" s="1" t="s">
        <v>770</v>
      </c>
      <c r="B746">
        <f>HYPERLINK("https://www.suredividend.com/sure-analysis-OHI/","Omega Healthcare Investors, Inc.")</f>
        <v>0</v>
      </c>
      <c r="C746" t="s">
        <v>883</v>
      </c>
      <c r="D746">
        <v>30</v>
      </c>
      <c r="E746">
        <v>27.95</v>
      </c>
      <c r="F746">
        <v>32</v>
      </c>
      <c r="G746">
        <v>0.8734375</v>
      </c>
      <c r="H746">
        <v>0.09588550983899823</v>
      </c>
      <c r="I746">
        <v>0.02743328993154392</v>
      </c>
      <c r="J746">
        <v>0.02</v>
      </c>
      <c r="K746">
        <v>0.1195006186577074</v>
      </c>
      <c r="L746" t="s">
        <v>631</v>
      </c>
      <c r="M746" t="s">
        <v>573</v>
      </c>
      <c r="N746">
        <v>9.637931034482758</v>
      </c>
      <c r="O746">
        <v>2.9</v>
      </c>
      <c r="P746">
        <v>2.68</v>
      </c>
      <c r="Q746">
        <v>0.9241379310344828</v>
      </c>
      <c r="R746">
        <v>0</v>
      </c>
      <c r="S746">
        <v>0.01023605168466424</v>
      </c>
      <c r="T746" t="s">
        <v>932</v>
      </c>
      <c r="U746">
        <v>0.032897508481215</v>
      </c>
      <c r="V746" t="s">
        <v>987</v>
      </c>
      <c r="W746" t="s">
        <v>1000</v>
      </c>
      <c r="X746">
        <v>6545.4094</v>
      </c>
      <c r="Y746" s="2">
        <v>44885</v>
      </c>
      <c r="Z746" t="s">
        <v>1005</v>
      </c>
    </row>
    <row r="747" spans="1:26">
      <c r="A747" s="1" t="s">
        <v>771</v>
      </c>
      <c r="B747">
        <f>HYPERLINK("https://www.suredividend.com/sure-analysis-BXMT/","Blackstone Mortgage Trust Inc")</f>
        <v>0</v>
      </c>
      <c r="C747" t="s">
        <v>884</v>
      </c>
      <c r="D747">
        <v>25.4</v>
      </c>
      <c r="E747">
        <v>21.17</v>
      </c>
      <c r="F747">
        <v>27</v>
      </c>
      <c r="G747">
        <v>0.7840740740740741</v>
      </c>
      <c r="H747">
        <v>0.1171469059990553</v>
      </c>
      <c r="I747">
        <v>0.04985321186349978</v>
      </c>
      <c r="J747">
        <v>-0.019</v>
      </c>
      <c r="K747">
        <v>0.1177204188591752</v>
      </c>
      <c r="L747" t="s">
        <v>631</v>
      </c>
      <c r="M747" t="s">
        <v>573</v>
      </c>
      <c r="N747">
        <v>7.840740740740741</v>
      </c>
      <c r="O747">
        <v>2.7</v>
      </c>
      <c r="P747">
        <v>2.48</v>
      </c>
      <c r="Q747">
        <v>0.9185185185185184</v>
      </c>
      <c r="R747">
        <v>0</v>
      </c>
      <c r="S747">
        <v>0</v>
      </c>
      <c r="T747" t="s">
        <v>905</v>
      </c>
      <c r="U747">
        <v>-0.246699640607764</v>
      </c>
      <c r="V747" t="s">
        <v>987</v>
      </c>
      <c r="W747" t="s">
        <v>1000</v>
      </c>
      <c r="X747">
        <v>3617.933735</v>
      </c>
      <c r="Y747" s="2">
        <v>44879</v>
      </c>
      <c r="Z747" t="s">
        <v>1009</v>
      </c>
    </row>
    <row r="748" spans="1:26">
      <c r="A748" s="1" t="s">
        <v>772</v>
      </c>
      <c r="B748">
        <f>HYPERLINK("https://www.suredividend.com/sure-analysis-SBRA/","Sabra Healthcare REIT Inc")</f>
        <v>0</v>
      </c>
      <c r="C748" t="s">
        <v>884</v>
      </c>
      <c r="D748">
        <v>12.5</v>
      </c>
      <c r="E748">
        <v>12.43</v>
      </c>
      <c r="F748">
        <v>13.8</v>
      </c>
      <c r="G748">
        <v>0.9007246376811594</v>
      </c>
      <c r="H748">
        <v>0.09654062751407884</v>
      </c>
      <c r="I748">
        <v>0.02113130714938349</v>
      </c>
      <c r="J748">
        <v>0.016</v>
      </c>
      <c r="K748">
        <v>0.1164026256339201</v>
      </c>
      <c r="L748" t="s">
        <v>631</v>
      </c>
      <c r="M748" t="s">
        <v>573</v>
      </c>
      <c r="N748">
        <v>8.286666666666667</v>
      </c>
      <c r="O748">
        <v>1.5</v>
      </c>
      <c r="P748">
        <v>1.2</v>
      </c>
      <c r="Q748">
        <v>0.7999999999999999</v>
      </c>
      <c r="R748">
        <v>0</v>
      </c>
      <c r="S748">
        <v>0.03277941543624618</v>
      </c>
      <c r="T748" t="s">
        <v>897</v>
      </c>
      <c r="U748">
        <v>-0.002079335897044</v>
      </c>
      <c r="V748" t="s">
        <v>987</v>
      </c>
      <c r="W748" t="s">
        <v>1000</v>
      </c>
      <c r="X748">
        <v>2871.039213</v>
      </c>
      <c r="Y748" s="2">
        <v>44893</v>
      </c>
      <c r="Z748" t="s">
        <v>1009</v>
      </c>
    </row>
    <row r="749" spans="1:26">
      <c r="A749" s="1" t="s">
        <v>773</v>
      </c>
      <c r="B749">
        <f>HYPERLINK("https://www.suredividend.com/sure-analysis-CHCT/","Community Healthcare Trust Inc")</f>
        <v>0</v>
      </c>
      <c r="C749" t="s">
        <v>883</v>
      </c>
      <c r="D749">
        <v>35</v>
      </c>
      <c r="E749">
        <v>35.8</v>
      </c>
      <c r="F749">
        <v>41</v>
      </c>
      <c r="G749">
        <v>0.873170731707317</v>
      </c>
      <c r="H749">
        <v>0.04972067039106146</v>
      </c>
      <c r="I749">
        <v>0.02749606187878517</v>
      </c>
      <c r="J749">
        <v>0.05</v>
      </c>
      <c r="K749">
        <v>0.1153387865127113</v>
      </c>
      <c r="L749" t="s">
        <v>631</v>
      </c>
      <c r="M749" t="s">
        <v>572</v>
      </c>
      <c r="N749">
        <v>15.77092511013216</v>
      </c>
      <c r="O749">
        <v>2.27</v>
      </c>
      <c r="P749">
        <v>1.78</v>
      </c>
      <c r="Q749">
        <v>0.7841409691629956</v>
      </c>
      <c r="R749">
        <v>6</v>
      </c>
      <c r="S749">
        <v>0.02049115477439067</v>
      </c>
      <c r="T749" t="s">
        <v>890</v>
      </c>
      <c r="U749">
        <v>-0.208857262822921</v>
      </c>
      <c r="V749" t="s">
        <v>987</v>
      </c>
      <c r="W749" t="s">
        <v>1000</v>
      </c>
      <c r="X749">
        <v>905.7098559999999</v>
      </c>
      <c r="Y749" s="2">
        <v>44877</v>
      </c>
      <c r="Z749" t="s">
        <v>1008</v>
      </c>
    </row>
    <row r="750" spans="1:26">
      <c r="A750" s="1" t="s">
        <v>774</v>
      </c>
      <c r="B750">
        <f>HYPERLINK("https://www.suredividend.com/sure-analysis-SRC/","Spirit Realty Capital Inc")</f>
        <v>0</v>
      </c>
      <c r="C750" t="s">
        <v>883</v>
      </c>
      <c r="D750">
        <v>40</v>
      </c>
      <c r="E750">
        <v>39.93</v>
      </c>
      <c r="F750">
        <v>45</v>
      </c>
      <c r="G750">
        <v>0.8873333333333333</v>
      </c>
      <c r="H750">
        <v>0.06636614074630603</v>
      </c>
      <c r="I750">
        <v>0.02419497497241618</v>
      </c>
      <c r="J750">
        <v>0.04</v>
      </c>
      <c r="K750">
        <v>0.1150474164635866</v>
      </c>
      <c r="L750" t="s">
        <v>631</v>
      </c>
      <c r="M750" t="s">
        <v>573</v>
      </c>
      <c r="N750">
        <v>11.21629213483146</v>
      </c>
      <c r="O750">
        <v>3.56</v>
      </c>
      <c r="P750">
        <v>2.65</v>
      </c>
      <c r="Q750">
        <v>0.7443820224719101</v>
      </c>
      <c r="R750">
        <v>2</v>
      </c>
      <c r="S750">
        <v>0.02029168959550431</v>
      </c>
      <c r="T750" t="s">
        <v>905</v>
      </c>
      <c r="U750">
        <v>-0.113354309657621</v>
      </c>
      <c r="V750" t="s">
        <v>987</v>
      </c>
      <c r="W750" t="s">
        <v>1000</v>
      </c>
      <c r="X750">
        <v>5576.633423</v>
      </c>
      <c r="Y750" s="2">
        <v>44879</v>
      </c>
      <c r="Z750" t="s">
        <v>1011</v>
      </c>
    </row>
    <row r="751" spans="1:26">
      <c r="A751" s="1" t="s">
        <v>775</v>
      </c>
      <c r="B751">
        <f>HYPERLINK("https://www.suredividend.com/sure-analysis-CORR/","CorEnergy Infrastructure Trust Inc")</f>
        <v>0</v>
      </c>
      <c r="C751" t="s">
        <v>884</v>
      </c>
      <c r="D751">
        <v>2.2</v>
      </c>
      <c r="E751">
        <v>2.09</v>
      </c>
      <c r="F751">
        <v>2.6</v>
      </c>
      <c r="G751">
        <v>0.8038461538461538</v>
      </c>
      <c r="H751">
        <v>0.09569377990430623</v>
      </c>
      <c r="I751">
        <v>0.04463702001608816</v>
      </c>
      <c r="J751">
        <v>0</v>
      </c>
      <c r="K751">
        <v>0.1148880049732497</v>
      </c>
      <c r="L751" t="s">
        <v>631</v>
      </c>
      <c r="M751" t="s">
        <v>572</v>
      </c>
      <c r="N751">
        <v>-1.756302521008403</v>
      </c>
      <c r="O751">
        <v>-1.19</v>
      </c>
      <c r="P751">
        <v>0.2</v>
      </c>
      <c r="Q751">
        <v>9.99</v>
      </c>
      <c r="R751">
        <v>0</v>
      </c>
      <c r="S751">
        <v>0</v>
      </c>
      <c r="T751" t="s">
        <v>895</v>
      </c>
      <c r="U751">
        <v>-0.259810171412381</v>
      </c>
      <c r="V751" t="s">
        <v>987</v>
      </c>
      <c r="W751" t="s">
        <v>1000</v>
      </c>
      <c r="X751">
        <v>31.719744</v>
      </c>
      <c r="Y751" s="2">
        <v>44880</v>
      </c>
      <c r="Z751" t="s">
        <v>1001</v>
      </c>
    </row>
    <row r="752" spans="1:26">
      <c r="A752" s="1" t="s">
        <v>776</v>
      </c>
      <c r="B752">
        <f>HYPERLINK("https://www.suredividend.com/sure-analysis-OLP/","One Liberty Properties, Inc.")</f>
        <v>0</v>
      </c>
      <c r="C752" t="s">
        <v>884</v>
      </c>
      <c r="D752">
        <v>24</v>
      </c>
      <c r="E752">
        <v>22.22</v>
      </c>
      <c r="F752">
        <v>25</v>
      </c>
      <c r="G752">
        <v>0.8887999999999999</v>
      </c>
      <c r="H752">
        <v>0.08100810081008102</v>
      </c>
      <c r="I752">
        <v>0.02385673349341411</v>
      </c>
      <c r="J752">
        <v>0.03</v>
      </c>
      <c r="K752">
        <v>0.1147505461710012</v>
      </c>
      <c r="L752" t="s">
        <v>631</v>
      </c>
      <c r="M752" t="s">
        <v>573</v>
      </c>
      <c r="N752">
        <v>11.11</v>
      </c>
      <c r="O752">
        <v>2</v>
      </c>
      <c r="P752">
        <v>1.8</v>
      </c>
      <c r="Q752">
        <v>0.9</v>
      </c>
      <c r="R752">
        <v>0</v>
      </c>
      <c r="S752">
        <v>0.009805797673485328</v>
      </c>
      <c r="T752" t="s">
        <v>936</v>
      </c>
      <c r="U752">
        <v>-0.31997147675141</v>
      </c>
      <c r="V752" t="s">
        <v>987</v>
      </c>
      <c r="W752" t="s">
        <v>1000</v>
      </c>
      <c r="X752">
        <v>468.262858</v>
      </c>
      <c r="Y752" s="2">
        <v>44882</v>
      </c>
      <c r="Z752" t="s">
        <v>1008</v>
      </c>
    </row>
    <row r="753" spans="1:26">
      <c r="A753" s="1" t="s">
        <v>777</v>
      </c>
      <c r="B753">
        <f>HYPERLINK("https://www.suredividend.com/sure-analysis-CTRE/","CareTrust REIT Inc")</f>
        <v>0</v>
      </c>
      <c r="C753" t="s">
        <v>883</v>
      </c>
      <c r="D753">
        <v>19</v>
      </c>
      <c r="E753">
        <v>18.58</v>
      </c>
      <c r="F753">
        <v>21</v>
      </c>
      <c r="G753">
        <v>0.8847619047619046</v>
      </c>
      <c r="H753">
        <v>0.05920344456404737</v>
      </c>
      <c r="I753">
        <v>0.02478961807757263</v>
      </c>
      <c r="J753">
        <v>0.04</v>
      </c>
      <c r="K753">
        <v>0.1143089358601255</v>
      </c>
      <c r="L753" t="s">
        <v>631</v>
      </c>
      <c r="M753" t="s">
        <v>573</v>
      </c>
      <c r="N753">
        <v>12.63945578231292</v>
      </c>
      <c r="O753">
        <v>1.47</v>
      </c>
      <c r="P753">
        <v>1.1</v>
      </c>
      <c r="Q753">
        <v>0.7482993197278912</v>
      </c>
      <c r="R753">
        <v>8</v>
      </c>
      <c r="S753">
        <v>0.04941452284458392</v>
      </c>
      <c r="T753" t="s">
        <v>905</v>
      </c>
      <c r="U753">
        <v>-0.122239281918034</v>
      </c>
      <c r="V753" t="s">
        <v>987</v>
      </c>
      <c r="W753" t="s">
        <v>1000</v>
      </c>
      <c r="X753">
        <v>1802.794026</v>
      </c>
      <c r="Y753" s="2">
        <v>44889</v>
      </c>
      <c r="Z753" t="s">
        <v>1008</v>
      </c>
    </row>
    <row r="754" spans="1:26">
      <c r="A754" s="1" t="s">
        <v>778</v>
      </c>
      <c r="B754">
        <f>HYPERLINK("https://www.suredividend.com/sure-analysis-MAIN/","Main Street Capital Corporation")</f>
        <v>0</v>
      </c>
      <c r="C754" t="s">
        <v>883</v>
      </c>
      <c r="D754">
        <v>38</v>
      </c>
      <c r="E754">
        <v>36.95</v>
      </c>
      <c r="F754">
        <v>46</v>
      </c>
      <c r="G754">
        <v>0.8032608695652175</v>
      </c>
      <c r="H754">
        <v>0.07307171853856563</v>
      </c>
      <c r="I754">
        <v>0.04478920756318572</v>
      </c>
      <c r="J754">
        <v>0.015</v>
      </c>
      <c r="K754">
        <v>0.1142787990523997</v>
      </c>
      <c r="L754" t="s">
        <v>631</v>
      </c>
      <c r="M754" t="s">
        <v>573</v>
      </c>
      <c r="N754">
        <v>11.76751592356688</v>
      </c>
      <c r="O754">
        <v>3.14</v>
      </c>
      <c r="P754">
        <v>2.7</v>
      </c>
      <c r="Q754">
        <v>0.8598726114649682</v>
      </c>
      <c r="R754">
        <v>7</v>
      </c>
      <c r="S754">
        <v>0.01016173917808794</v>
      </c>
      <c r="T754" t="s">
        <v>936</v>
      </c>
      <c r="U754">
        <v>-0.110607242232556</v>
      </c>
      <c r="V754" t="s">
        <v>989</v>
      </c>
      <c r="W754" t="s">
        <v>994</v>
      </c>
      <c r="X754">
        <v>2854.527651</v>
      </c>
      <c r="Y754" s="2">
        <v>44882</v>
      </c>
      <c r="Z754" t="s">
        <v>1008</v>
      </c>
    </row>
    <row r="755" spans="1:26">
      <c r="A755" s="1" t="s">
        <v>779</v>
      </c>
      <c r="B755">
        <f>HYPERLINK("https://www.suredividend.com/sure-analysis-PEAK/","Healthpeak Properties Inc")</f>
        <v>0</v>
      </c>
      <c r="C755" t="s">
        <v>884</v>
      </c>
      <c r="D755">
        <v>24</v>
      </c>
      <c r="E755">
        <v>25.07</v>
      </c>
      <c r="F755">
        <v>27</v>
      </c>
      <c r="G755">
        <v>0.9285185185185185</v>
      </c>
      <c r="H755">
        <v>0.04786597526924611</v>
      </c>
      <c r="I755">
        <v>0.01494354551723331</v>
      </c>
      <c r="J755">
        <v>0.06</v>
      </c>
      <c r="K755">
        <v>0.1136762947569367</v>
      </c>
      <c r="L755" t="s">
        <v>631</v>
      </c>
      <c r="M755" t="s">
        <v>572</v>
      </c>
      <c r="N755">
        <v>14.49132947976879</v>
      </c>
      <c r="O755">
        <v>1.73</v>
      </c>
      <c r="P755">
        <v>1.2</v>
      </c>
      <c r="Q755">
        <v>0.6936416184971098</v>
      </c>
      <c r="R755">
        <v>0</v>
      </c>
      <c r="S755">
        <v>0.04283618904063879</v>
      </c>
      <c r="T755" t="s">
        <v>911</v>
      </c>
      <c r="U755">
        <v>-0.273444949036814</v>
      </c>
      <c r="V755" t="s">
        <v>987</v>
      </c>
      <c r="W755" t="s">
        <v>1000</v>
      </c>
      <c r="X755">
        <v>13476.13141</v>
      </c>
      <c r="Y755" s="2">
        <v>44870</v>
      </c>
      <c r="Z755" t="s">
        <v>1003</v>
      </c>
    </row>
    <row r="756" spans="1:26">
      <c r="A756" s="1" t="s">
        <v>780</v>
      </c>
      <c r="B756">
        <f>HYPERLINK("https://www.suredividend.com/sure-analysis-NWBI/","Northwest Bancshares Inc")</f>
        <v>0</v>
      </c>
      <c r="C756" t="s">
        <v>884</v>
      </c>
      <c r="D756">
        <v>15</v>
      </c>
      <c r="E756">
        <v>13.98</v>
      </c>
      <c r="F756">
        <v>15</v>
      </c>
      <c r="G756">
        <v>0.9320000000000001</v>
      </c>
      <c r="H756">
        <v>0.05722460658082976</v>
      </c>
      <c r="I756">
        <v>0.01418414663685752</v>
      </c>
      <c r="J756">
        <v>0.05</v>
      </c>
      <c r="K756">
        <v>0.1115906598244525</v>
      </c>
      <c r="L756" t="s">
        <v>631</v>
      </c>
      <c r="M756" t="s">
        <v>573</v>
      </c>
      <c r="N756">
        <v>12.8256880733945</v>
      </c>
      <c r="O756">
        <v>1.09</v>
      </c>
      <c r="P756">
        <v>0.8</v>
      </c>
      <c r="Q756">
        <v>0.7339449541284404</v>
      </c>
      <c r="R756">
        <v>12</v>
      </c>
      <c r="S756">
        <v>0.04563955259127317</v>
      </c>
      <c r="T756" t="s">
        <v>893</v>
      </c>
      <c r="U756">
        <v>0.04677543746677301</v>
      </c>
      <c r="V756" t="s">
        <v>986</v>
      </c>
      <c r="W756" t="s">
        <v>994</v>
      </c>
      <c r="X756">
        <v>1775.297371</v>
      </c>
      <c r="Y756" s="2">
        <v>44867</v>
      </c>
      <c r="Z756" t="s">
        <v>1006</v>
      </c>
    </row>
    <row r="757" spans="1:26">
      <c r="A757" s="1" t="s">
        <v>781</v>
      </c>
      <c r="B757">
        <f>HYPERLINK("https://www.suredividend.com/sure-analysis-MRCC/","Monroe Capital Corp")</f>
        <v>0</v>
      </c>
      <c r="C757" t="s">
        <v>883</v>
      </c>
      <c r="D757">
        <v>8.4</v>
      </c>
      <c r="E757">
        <v>8.539999999999999</v>
      </c>
      <c r="F757">
        <v>9.390000000000001</v>
      </c>
      <c r="G757">
        <v>0.9094781682641107</v>
      </c>
      <c r="H757">
        <v>0.117096018735363</v>
      </c>
      <c r="I757">
        <v>0.01915806205499471</v>
      </c>
      <c r="J757">
        <v>0</v>
      </c>
      <c r="K757">
        <v>0.1099938809148902</v>
      </c>
      <c r="L757" t="s">
        <v>631</v>
      </c>
      <c r="M757" t="s">
        <v>573</v>
      </c>
      <c r="N757">
        <v>8.455445544554454</v>
      </c>
      <c r="O757">
        <v>1.01</v>
      </c>
      <c r="P757">
        <v>1</v>
      </c>
      <c r="Q757">
        <v>0.9900990099009901</v>
      </c>
      <c r="R757">
        <v>0</v>
      </c>
      <c r="S757">
        <v>0</v>
      </c>
      <c r="T757" t="s">
        <v>901</v>
      </c>
      <c r="U757">
        <v>-0.150705093780456</v>
      </c>
      <c r="V757" t="s">
        <v>989</v>
      </c>
      <c r="W757" t="s">
        <v>994</v>
      </c>
      <c r="X757">
        <v>185.030544</v>
      </c>
      <c r="Y757" s="2">
        <v>44877</v>
      </c>
      <c r="Z757" t="s">
        <v>1011</v>
      </c>
    </row>
    <row r="758" spans="1:26">
      <c r="A758" s="1" t="s">
        <v>782</v>
      </c>
      <c r="B758">
        <f>HYPERLINK("https://www.suredividend.com/sure-analysis-AM/","Antero Midstream Corp")</f>
        <v>0</v>
      </c>
      <c r="C758" t="s">
        <v>883</v>
      </c>
      <c r="D758">
        <v>10.5</v>
      </c>
      <c r="E758">
        <v>10.79</v>
      </c>
      <c r="F758">
        <v>9.6</v>
      </c>
      <c r="G758">
        <v>1.123958333333333</v>
      </c>
      <c r="H758">
        <v>0.08341056533827619</v>
      </c>
      <c r="I758">
        <v>-0.02310034175473874</v>
      </c>
      <c r="J758">
        <v>0.07199999999999999</v>
      </c>
      <c r="K758">
        <v>0.1088869853286991</v>
      </c>
      <c r="L758" t="s">
        <v>631</v>
      </c>
      <c r="M758" t="s">
        <v>573</v>
      </c>
      <c r="N758">
        <v>7.875912408759123</v>
      </c>
      <c r="O758">
        <v>1.37</v>
      </c>
      <c r="P758">
        <v>0.9</v>
      </c>
      <c r="Q758">
        <v>0.656934306569343</v>
      </c>
      <c r="R758">
        <v>0</v>
      </c>
      <c r="S758">
        <v>0</v>
      </c>
      <c r="T758" t="s">
        <v>937</v>
      </c>
      <c r="U758">
        <v>0.228635519978137</v>
      </c>
      <c r="V758" t="s">
        <v>986</v>
      </c>
      <c r="W758" t="s">
        <v>999</v>
      </c>
      <c r="X758">
        <v>5162.848446</v>
      </c>
      <c r="Y758" s="2">
        <v>44866</v>
      </c>
      <c r="Z758" t="s">
        <v>1009</v>
      </c>
    </row>
    <row r="759" spans="1:26">
      <c r="A759" s="1" t="s">
        <v>783</v>
      </c>
      <c r="B759">
        <f>HYPERLINK("https://www.suredividend.com/sure-analysis-IPAR/","Inter Parfums, Inc.")</f>
        <v>0</v>
      </c>
      <c r="C759" t="s">
        <v>883</v>
      </c>
      <c r="D759">
        <v>97</v>
      </c>
      <c r="E759">
        <v>96.52</v>
      </c>
      <c r="F759">
        <v>112</v>
      </c>
      <c r="G759">
        <v>0.8617857142857143</v>
      </c>
      <c r="H759">
        <v>0.0207210940737671</v>
      </c>
      <c r="I759">
        <v>0.03019667035602658</v>
      </c>
      <c r="J759">
        <v>0.06</v>
      </c>
      <c r="K759">
        <v>0.10840669512282</v>
      </c>
      <c r="L759" t="s">
        <v>631</v>
      </c>
      <c r="M759" t="s">
        <v>631</v>
      </c>
      <c r="N759">
        <v>28.38823529411765</v>
      </c>
      <c r="O759">
        <v>3.4</v>
      </c>
      <c r="P759">
        <v>2</v>
      </c>
      <c r="Q759">
        <v>0.5882352941176471</v>
      </c>
      <c r="R759">
        <v>2</v>
      </c>
      <c r="S759">
        <v>0.04978904632428516</v>
      </c>
      <c r="T759" t="s">
        <v>901</v>
      </c>
      <c r="U759">
        <v>-0.060653630137719</v>
      </c>
      <c r="V759" t="s">
        <v>986</v>
      </c>
      <c r="W759" t="s">
        <v>992</v>
      </c>
      <c r="X759">
        <v>3076.635325</v>
      </c>
      <c r="Y759" s="2">
        <v>44909</v>
      </c>
      <c r="Z759" t="s">
        <v>1002</v>
      </c>
    </row>
    <row r="760" spans="1:26">
      <c r="A760" s="1" t="s">
        <v>784</v>
      </c>
      <c r="B760">
        <f>HYPERLINK("https://www.suredividend.com/sure-analysis-VTR/","Ventas Inc")</f>
        <v>0</v>
      </c>
      <c r="C760" t="s">
        <v>884</v>
      </c>
      <c r="D760">
        <v>44</v>
      </c>
      <c r="E760">
        <v>45.05</v>
      </c>
      <c r="F760">
        <v>44</v>
      </c>
      <c r="G760">
        <v>1.023863636363636</v>
      </c>
      <c r="H760">
        <v>0.03995560488346282</v>
      </c>
      <c r="I760">
        <v>-0.004705564007149388</v>
      </c>
      <c r="J760">
        <v>0.08</v>
      </c>
      <c r="K760">
        <v>0.1077856785085805</v>
      </c>
      <c r="L760" t="s">
        <v>631</v>
      </c>
      <c r="M760" t="s">
        <v>572</v>
      </c>
      <c r="N760">
        <v>15.01666666666667</v>
      </c>
      <c r="O760">
        <v>3</v>
      </c>
      <c r="P760">
        <v>1.8</v>
      </c>
      <c r="Q760">
        <v>0.6</v>
      </c>
      <c r="R760">
        <v>0</v>
      </c>
      <c r="S760">
        <v>0.05206626739843068</v>
      </c>
      <c r="T760" t="s">
        <v>898</v>
      </c>
      <c r="U760">
        <v>-0.0814801524274</v>
      </c>
      <c r="V760" t="s">
        <v>987</v>
      </c>
      <c r="W760" t="s">
        <v>1000</v>
      </c>
      <c r="X760">
        <v>18007.295224</v>
      </c>
      <c r="Y760" s="2">
        <v>44886</v>
      </c>
      <c r="Z760" t="s">
        <v>1003</v>
      </c>
    </row>
    <row r="761" spans="1:26">
      <c r="A761" s="1" t="s">
        <v>785</v>
      </c>
      <c r="B761">
        <f>HYPERLINK("https://www.suredividend.com/sure-analysis-FCPT/","Four Corners Property Trust Inc")</f>
        <v>0</v>
      </c>
      <c r="C761" t="s">
        <v>883</v>
      </c>
      <c r="D761">
        <v>26</v>
      </c>
      <c r="E761">
        <v>25.93</v>
      </c>
      <c r="F761">
        <v>28</v>
      </c>
      <c r="G761">
        <v>0.9260714285714285</v>
      </c>
      <c r="H761">
        <v>0.05244890088700348</v>
      </c>
      <c r="I761">
        <v>0.01547936533761463</v>
      </c>
      <c r="J761">
        <v>0.05</v>
      </c>
      <c r="K761">
        <v>0.1067978149170488</v>
      </c>
      <c r="L761" t="s">
        <v>631</v>
      </c>
      <c r="M761" t="s">
        <v>572</v>
      </c>
      <c r="N761">
        <v>16.00617283950617</v>
      </c>
      <c r="O761">
        <v>1.62</v>
      </c>
      <c r="P761">
        <v>1.36</v>
      </c>
      <c r="Q761">
        <v>0.8395061728395061</v>
      </c>
      <c r="R761">
        <v>8</v>
      </c>
      <c r="S761">
        <v>0.02517111829582741</v>
      </c>
      <c r="T761" t="s">
        <v>905</v>
      </c>
      <c r="U761">
        <v>-0.07258713496307101</v>
      </c>
      <c r="V761" t="s">
        <v>987</v>
      </c>
      <c r="W761" t="s">
        <v>1000</v>
      </c>
      <c r="X761">
        <v>2175.197507</v>
      </c>
      <c r="Y761" s="2">
        <v>44867</v>
      </c>
      <c r="Z761" t="s">
        <v>1006</v>
      </c>
    </row>
    <row r="762" spans="1:26">
      <c r="A762" s="1" t="s">
        <v>786</v>
      </c>
      <c r="B762">
        <f>HYPERLINK("https://www.suredividend.com/sure-analysis-ARI/","Apollo Commercial Real Estate Finance Inc")</f>
        <v>0</v>
      </c>
      <c r="C762" t="s">
        <v>884</v>
      </c>
      <c r="D762">
        <v>11.4</v>
      </c>
      <c r="E762">
        <v>10.76</v>
      </c>
      <c r="F762">
        <v>11.2</v>
      </c>
      <c r="G762">
        <v>0.9607142857142857</v>
      </c>
      <c r="H762">
        <v>0.1301115241635688</v>
      </c>
      <c r="I762">
        <v>0.00804785600079394</v>
      </c>
      <c r="J762">
        <v>-0.006</v>
      </c>
      <c r="K762">
        <v>0.106758262283666</v>
      </c>
      <c r="L762" t="s">
        <v>631</v>
      </c>
      <c r="M762" t="s">
        <v>573</v>
      </c>
      <c r="N762">
        <v>7.685714285714286</v>
      </c>
      <c r="O762">
        <v>1.4</v>
      </c>
      <c r="P762">
        <v>1.4</v>
      </c>
      <c r="Q762">
        <v>1</v>
      </c>
      <c r="R762">
        <v>1</v>
      </c>
      <c r="S762">
        <v>0</v>
      </c>
      <c r="T762" t="s">
        <v>905</v>
      </c>
      <c r="U762">
        <v>-0.063329706202393</v>
      </c>
      <c r="V762" t="s">
        <v>987</v>
      </c>
      <c r="W762" t="s">
        <v>1000</v>
      </c>
      <c r="X762">
        <v>1512.812906</v>
      </c>
      <c r="Y762" s="2">
        <v>44875</v>
      </c>
      <c r="Z762" t="s">
        <v>1009</v>
      </c>
    </row>
    <row r="763" spans="1:26">
      <c r="A763" s="1" t="s">
        <v>787</v>
      </c>
      <c r="B763">
        <f>HYPERLINK("https://www.suredividend.com/sure-analysis-GNL/","Global Net Lease Inc")</f>
        <v>0</v>
      </c>
      <c r="C763" t="s">
        <v>884</v>
      </c>
      <c r="D763">
        <v>13.1</v>
      </c>
      <c r="E763">
        <v>12.57</v>
      </c>
      <c r="F763">
        <v>11.6</v>
      </c>
      <c r="G763">
        <v>1.083620689655173</v>
      </c>
      <c r="H763">
        <v>0.1272871917263325</v>
      </c>
      <c r="I763">
        <v>-0.01593328545909611</v>
      </c>
      <c r="J763">
        <v>0.02</v>
      </c>
      <c r="K763">
        <v>0.1060537843250871</v>
      </c>
      <c r="L763" t="s">
        <v>631</v>
      </c>
      <c r="M763" t="s">
        <v>573</v>
      </c>
      <c r="N763">
        <v>7.572289156626507</v>
      </c>
      <c r="O763">
        <v>1.66</v>
      </c>
      <c r="P763">
        <v>1.6</v>
      </c>
      <c r="Q763">
        <v>0.9638554216867471</v>
      </c>
      <c r="R763">
        <v>0</v>
      </c>
      <c r="S763">
        <v>0</v>
      </c>
      <c r="T763" t="s">
        <v>966</v>
      </c>
      <c r="U763">
        <v>-0.07764781849400501</v>
      </c>
      <c r="V763" t="s">
        <v>987</v>
      </c>
      <c r="W763" t="s">
        <v>1000</v>
      </c>
      <c r="X763">
        <v>1304.707725</v>
      </c>
      <c r="Y763" s="2">
        <v>44893</v>
      </c>
      <c r="Z763" t="s">
        <v>1009</v>
      </c>
    </row>
    <row r="764" spans="1:26">
      <c r="A764" s="1" t="s">
        <v>788</v>
      </c>
      <c r="B764">
        <f>HYPERLINK("https://www.suredividend.com/sure-analysis-LTC/","LTC Properties, Inc.")</f>
        <v>0</v>
      </c>
      <c r="C764" t="s">
        <v>884</v>
      </c>
      <c r="D764">
        <v>38</v>
      </c>
      <c r="E764">
        <v>35.53</v>
      </c>
      <c r="F764">
        <v>37</v>
      </c>
      <c r="G764">
        <v>0.9602702702702703</v>
      </c>
      <c r="H764">
        <v>0.0641711229946524</v>
      </c>
      <c r="I764">
        <v>0.008141060189173155</v>
      </c>
      <c r="J764">
        <v>0.05</v>
      </c>
      <c r="K764">
        <v>0.1053344446131559</v>
      </c>
      <c r="L764" t="s">
        <v>631</v>
      </c>
      <c r="M764" t="s">
        <v>572</v>
      </c>
      <c r="N764">
        <v>14.212</v>
      </c>
      <c r="O764">
        <v>2.5</v>
      </c>
      <c r="P764">
        <v>2.28</v>
      </c>
      <c r="Q764">
        <v>0.9119999999999999</v>
      </c>
      <c r="R764">
        <v>0</v>
      </c>
      <c r="S764">
        <v>0</v>
      </c>
      <c r="T764" t="s">
        <v>950</v>
      </c>
      <c r="U764">
        <v>0.09638160127875101</v>
      </c>
      <c r="V764" t="s">
        <v>987</v>
      </c>
      <c r="W764" t="s">
        <v>1000</v>
      </c>
      <c r="X764">
        <v>1439.135224</v>
      </c>
      <c r="Y764" s="2">
        <v>44867</v>
      </c>
      <c r="Z764" t="s">
        <v>1003</v>
      </c>
    </row>
    <row r="765" spans="1:26">
      <c r="A765" s="1" t="s">
        <v>789</v>
      </c>
      <c r="B765">
        <f>HYPERLINK("https://www.suredividend.com/sure-analysis-PSEC/","Prospect Capital Corp")</f>
        <v>0</v>
      </c>
      <c r="C765" t="s">
        <v>884</v>
      </c>
      <c r="D765">
        <v>7.29</v>
      </c>
      <c r="E765">
        <v>6.99</v>
      </c>
      <c r="F765">
        <v>7.91</v>
      </c>
      <c r="G765">
        <v>0.8836915297092288</v>
      </c>
      <c r="H765">
        <v>0.1030042918454936</v>
      </c>
      <c r="I765">
        <v>0.02503775402459074</v>
      </c>
      <c r="J765">
        <v>0</v>
      </c>
      <c r="K765">
        <v>0.1048914924802249</v>
      </c>
      <c r="L765" t="s">
        <v>631</v>
      </c>
      <c r="M765" t="s">
        <v>573</v>
      </c>
      <c r="N765">
        <v>7.516129032258064</v>
      </c>
      <c r="O765">
        <v>0.93</v>
      </c>
      <c r="P765">
        <v>0.72</v>
      </c>
      <c r="Q765">
        <v>0.7741935483870968</v>
      </c>
      <c r="R765">
        <v>0</v>
      </c>
      <c r="S765">
        <v>0</v>
      </c>
      <c r="T765" t="s">
        <v>922</v>
      </c>
      <c r="U765">
        <v>-0.08884717659940501</v>
      </c>
      <c r="V765" t="s">
        <v>989</v>
      </c>
      <c r="W765" t="s">
        <v>994</v>
      </c>
      <c r="X765">
        <v>2779.381093</v>
      </c>
      <c r="Y765" s="2">
        <v>44909</v>
      </c>
      <c r="Z765" t="s">
        <v>1005</v>
      </c>
    </row>
    <row r="766" spans="1:26">
      <c r="A766" s="1" t="s">
        <v>790</v>
      </c>
      <c r="B766">
        <f>HYPERLINK("https://www.suredividend.com/sure-analysis-VOD/","Vodafone Group plc")</f>
        <v>0</v>
      </c>
      <c r="C766" t="s">
        <v>884</v>
      </c>
      <c r="D766">
        <v>11</v>
      </c>
      <c r="E766">
        <v>10.12</v>
      </c>
      <c r="F766">
        <v>12</v>
      </c>
      <c r="G766">
        <v>0.8433333333333333</v>
      </c>
      <c r="H766">
        <v>0.09189723320158104</v>
      </c>
      <c r="I766">
        <v>0.03466592536227875</v>
      </c>
      <c r="J766">
        <v>0</v>
      </c>
      <c r="K766">
        <v>0.1047060820722119</v>
      </c>
      <c r="L766" t="s">
        <v>631</v>
      </c>
      <c r="M766" t="s">
        <v>573</v>
      </c>
      <c r="N766">
        <v>10.12</v>
      </c>
      <c r="O766">
        <v>1</v>
      </c>
      <c r="P766">
        <v>0.93</v>
      </c>
      <c r="Q766">
        <v>0.93</v>
      </c>
      <c r="R766">
        <v>0</v>
      </c>
      <c r="S766">
        <v>0</v>
      </c>
      <c r="T766" t="s">
        <v>899</v>
      </c>
      <c r="U766">
        <v>-0.282757838634688</v>
      </c>
      <c r="V766" t="s">
        <v>986</v>
      </c>
      <c r="W766" t="s">
        <v>995</v>
      </c>
      <c r="X766">
        <v>27671.497463</v>
      </c>
      <c r="Y766" s="2">
        <v>44903</v>
      </c>
      <c r="Z766" t="s">
        <v>1005</v>
      </c>
    </row>
    <row r="767" spans="1:26">
      <c r="A767" s="1" t="s">
        <v>791</v>
      </c>
      <c r="B767">
        <f>HYPERLINK("https://www.suredividend.com/sure-analysis-ROL/","Rollins, Inc.")</f>
        <v>0</v>
      </c>
      <c r="C767" t="s">
        <v>884</v>
      </c>
      <c r="D767">
        <v>40</v>
      </c>
      <c r="E767">
        <v>36.54</v>
      </c>
      <c r="F767">
        <v>37</v>
      </c>
      <c r="G767">
        <v>0.9875675675675676</v>
      </c>
      <c r="H767">
        <v>0.01423097974822113</v>
      </c>
      <c r="I767">
        <v>0.002505205134149202</v>
      </c>
      <c r="J767">
        <v>0.09</v>
      </c>
      <c r="K767">
        <v>0.1045508339005949</v>
      </c>
      <c r="L767" t="s">
        <v>631</v>
      </c>
      <c r="M767" t="s">
        <v>631</v>
      </c>
      <c r="N767">
        <v>50.05479452054794</v>
      </c>
      <c r="O767">
        <v>0.73</v>
      </c>
      <c r="P767">
        <v>0.52</v>
      </c>
      <c r="Q767">
        <v>0.7123287671232877</v>
      </c>
      <c r="R767">
        <v>3</v>
      </c>
      <c r="S767">
        <v>0.06426799232624725</v>
      </c>
      <c r="T767" t="s">
        <v>890</v>
      </c>
      <c r="U767">
        <v>0.099304435726491</v>
      </c>
      <c r="V767" t="s">
        <v>986</v>
      </c>
      <c r="W767" t="s">
        <v>994</v>
      </c>
      <c r="X767">
        <v>17994.942811</v>
      </c>
      <c r="Y767" s="2">
        <v>44902</v>
      </c>
      <c r="Z767" t="s">
        <v>1010</v>
      </c>
    </row>
    <row r="768" spans="1:26">
      <c r="A768" s="1" t="s">
        <v>792</v>
      </c>
      <c r="B768">
        <f>HYPERLINK("https://www.suredividend.com/sure-analysis-EPRT/","Essential Properties Realty Trust Inc")</f>
        <v>0</v>
      </c>
      <c r="C768" t="s">
        <v>883</v>
      </c>
      <c r="D768">
        <v>22</v>
      </c>
      <c r="E768">
        <v>23.47</v>
      </c>
      <c r="F768">
        <v>23</v>
      </c>
      <c r="G768">
        <v>1.020434782608696</v>
      </c>
      <c r="H768">
        <v>0.046016190881977</v>
      </c>
      <c r="I768">
        <v>-0.004037585730462645</v>
      </c>
      <c r="J768">
        <v>0.07000000000000001</v>
      </c>
      <c r="K768">
        <v>0.1042200247600555</v>
      </c>
      <c r="L768" t="s">
        <v>631</v>
      </c>
      <c r="M768" t="s">
        <v>572</v>
      </c>
      <c r="N768">
        <v>15.33986928104575</v>
      </c>
      <c r="O768">
        <v>1.53</v>
      </c>
      <c r="P768">
        <v>1.08</v>
      </c>
      <c r="Q768">
        <v>0.7058823529411765</v>
      </c>
      <c r="R768">
        <v>4</v>
      </c>
      <c r="S768">
        <v>0.05024607263868264</v>
      </c>
      <c r="T768" t="s">
        <v>905</v>
      </c>
      <c r="U768">
        <v>-0.140337125568652</v>
      </c>
      <c r="V768" t="s">
        <v>987</v>
      </c>
      <c r="W768" t="s">
        <v>1000</v>
      </c>
      <c r="X768">
        <v>3341.593236</v>
      </c>
      <c r="Y768" s="2">
        <v>44867</v>
      </c>
      <c r="Z768" t="s">
        <v>1008</v>
      </c>
    </row>
    <row r="769" spans="1:26">
      <c r="A769" s="1" t="s">
        <v>793</v>
      </c>
      <c r="B769">
        <f>HYPERLINK("https://www.suredividend.com/sure-analysis-EGP/","Eastgroup Properties, Inc.")</f>
        <v>0</v>
      </c>
      <c r="C769" t="s">
        <v>884</v>
      </c>
      <c r="D769">
        <v>153</v>
      </c>
      <c r="E769">
        <v>148.06</v>
      </c>
      <c r="F769">
        <v>146</v>
      </c>
      <c r="G769">
        <v>1.014109589041096</v>
      </c>
      <c r="H769">
        <v>0.03377009320545725</v>
      </c>
      <c r="I769">
        <v>-0.002798272577452687</v>
      </c>
      <c r="J769">
        <v>0.075</v>
      </c>
      <c r="K769">
        <v>0.103027520163532</v>
      </c>
      <c r="L769" t="s">
        <v>631</v>
      </c>
      <c r="M769" t="s">
        <v>572</v>
      </c>
      <c r="N769">
        <v>21.30359712230216</v>
      </c>
      <c r="O769">
        <v>6.95</v>
      </c>
      <c r="P769">
        <v>5</v>
      </c>
      <c r="Q769">
        <v>0.7194244604316546</v>
      </c>
      <c r="R769">
        <v>12</v>
      </c>
      <c r="S769">
        <v>0.08504954018366795</v>
      </c>
      <c r="T769" t="s">
        <v>905</v>
      </c>
      <c r="U769">
        <v>-0.326798039411823</v>
      </c>
      <c r="V769" t="s">
        <v>987</v>
      </c>
      <c r="W769" t="s">
        <v>1000</v>
      </c>
      <c r="X769">
        <v>6451.794304</v>
      </c>
      <c r="Y769" s="2">
        <v>44862</v>
      </c>
      <c r="Z769" t="s">
        <v>1011</v>
      </c>
    </row>
    <row r="770" spans="1:26">
      <c r="A770" s="1" t="s">
        <v>794</v>
      </c>
      <c r="B770">
        <f>HYPERLINK("https://www.suredividend.com/sure-analysis-DREUF/","Dream Industrial Real Estate Investment Trust")</f>
        <v>0</v>
      </c>
      <c r="C770" t="s">
        <v>884</v>
      </c>
      <c r="D770">
        <v>9.1</v>
      </c>
      <c r="E770">
        <v>8.66</v>
      </c>
      <c r="F770">
        <v>8.91</v>
      </c>
      <c r="G770">
        <v>0.9719416386083053</v>
      </c>
      <c r="H770">
        <v>0.06120092378752887</v>
      </c>
      <c r="I770">
        <v>0.005708133443952157</v>
      </c>
      <c r="J770">
        <v>0.05</v>
      </c>
      <c r="K770">
        <v>0.1025747168670019</v>
      </c>
      <c r="L770" t="s">
        <v>631</v>
      </c>
      <c r="M770" t="s">
        <v>572</v>
      </c>
      <c r="N770">
        <v>13.12121212121212</v>
      </c>
      <c r="O770">
        <v>0.66</v>
      </c>
      <c r="P770">
        <v>0.53</v>
      </c>
      <c r="Q770">
        <v>0.803030303030303</v>
      </c>
      <c r="R770">
        <v>0</v>
      </c>
      <c r="S770">
        <v>0.01107281018934803</v>
      </c>
      <c r="T770" t="s">
        <v>905</v>
      </c>
      <c r="U770">
        <v>-0.356693433964506</v>
      </c>
      <c r="V770" t="s">
        <v>987</v>
      </c>
      <c r="W770" t="s">
        <v>1000</v>
      </c>
      <c r="X770">
        <v>2219.788356</v>
      </c>
      <c r="Y770" s="2">
        <v>44877</v>
      </c>
      <c r="Z770" t="s">
        <v>1008</v>
      </c>
    </row>
    <row r="771" spans="1:26">
      <c r="A771" s="1" t="s">
        <v>795</v>
      </c>
      <c r="B771">
        <f>HYPERLINK("https://www.suredividend.com/sure-analysis-SPG/","Simon Property Group, Inc.")</f>
        <v>0</v>
      </c>
      <c r="C771" t="s">
        <v>883</v>
      </c>
      <c r="D771">
        <v>113</v>
      </c>
      <c r="E771">
        <v>117.48</v>
      </c>
      <c r="F771">
        <v>130</v>
      </c>
      <c r="G771">
        <v>0.9036923076923077</v>
      </c>
      <c r="H771">
        <v>0.06128702757916241</v>
      </c>
      <c r="I771">
        <v>0.02045975794466104</v>
      </c>
      <c r="J771">
        <v>0.03</v>
      </c>
      <c r="K771">
        <v>0.1010268775551539</v>
      </c>
      <c r="L771" t="s">
        <v>631</v>
      </c>
      <c r="M771" t="s">
        <v>573</v>
      </c>
      <c r="N771">
        <v>9.905564924114673</v>
      </c>
      <c r="O771">
        <v>11.86</v>
      </c>
      <c r="P771">
        <v>7.2</v>
      </c>
      <c r="Q771">
        <v>0.6070826306913997</v>
      </c>
      <c r="R771">
        <v>1</v>
      </c>
      <c r="S771">
        <v>0.03007962241378426</v>
      </c>
      <c r="T771" t="s">
        <v>920</v>
      </c>
      <c r="U771">
        <v>-0.220394501086988</v>
      </c>
      <c r="V771" t="s">
        <v>987</v>
      </c>
      <c r="W771" t="s">
        <v>1000</v>
      </c>
      <c r="X771">
        <v>38409.591527</v>
      </c>
      <c r="Y771" s="2">
        <v>44866</v>
      </c>
      <c r="Z771" t="s">
        <v>1011</v>
      </c>
    </row>
    <row r="772" spans="1:26">
      <c r="A772" s="1" t="s">
        <v>796</v>
      </c>
      <c r="B772">
        <f>HYPERLINK("https://www.suredividend.com/sure-analysis-STAG/","STAG Industrial Inc")</f>
        <v>0</v>
      </c>
      <c r="C772" t="s">
        <v>884</v>
      </c>
      <c r="D772">
        <v>32</v>
      </c>
      <c r="E772">
        <v>32.31</v>
      </c>
      <c r="F772">
        <v>35</v>
      </c>
      <c r="G772">
        <v>0.9231428571428572</v>
      </c>
      <c r="H772">
        <v>0.04518724852986691</v>
      </c>
      <c r="I772">
        <v>0.01612284911562023</v>
      </c>
      <c r="J772">
        <v>0.05</v>
      </c>
      <c r="K772">
        <v>0.1003532368006188</v>
      </c>
      <c r="L772" t="s">
        <v>631</v>
      </c>
      <c r="M772" t="s">
        <v>572</v>
      </c>
      <c r="N772">
        <v>14.68636363636364</v>
      </c>
      <c r="O772">
        <v>2.2</v>
      </c>
      <c r="P772">
        <v>1.46</v>
      </c>
      <c r="Q772">
        <v>0.6636363636363636</v>
      </c>
      <c r="R772">
        <v>11</v>
      </c>
      <c r="S772">
        <v>0.006757371724215311</v>
      </c>
      <c r="T772" t="s">
        <v>905</v>
      </c>
      <c r="U772">
        <v>-0.289455975299193</v>
      </c>
      <c r="V772" t="s">
        <v>987</v>
      </c>
      <c r="W772" t="s">
        <v>1000</v>
      </c>
      <c r="X772">
        <v>5790.483047</v>
      </c>
      <c r="Y772" s="2">
        <v>44867</v>
      </c>
      <c r="Z772" t="s">
        <v>1003</v>
      </c>
    </row>
    <row r="773" spans="1:26">
      <c r="A773" s="1" t="s">
        <v>797</v>
      </c>
      <c r="B773">
        <f>HYPERLINK("https://www.suredividend.com/sure-analysis-AEG/","Aegon N. V.")</f>
        <v>0</v>
      </c>
      <c r="C773" t="s">
        <v>884</v>
      </c>
      <c r="D773">
        <v>4.8</v>
      </c>
      <c r="E773">
        <v>5.04</v>
      </c>
      <c r="F773">
        <v>2.8</v>
      </c>
      <c r="G773">
        <v>1.8</v>
      </c>
      <c r="H773">
        <v>0.04166666666666666</v>
      </c>
      <c r="I773">
        <v>-0.1109104638678</v>
      </c>
      <c r="J773">
        <v>0.19</v>
      </c>
      <c r="K773">
        <v>0.09725651973979921</v>
      </c>
      <c r="L773" t="s">
        <v>631</v>
      </c>
      <c r="M773" t="s">
        <v>572</v>
      </c>
      <c r="N773">
        <v>14.4</v>
      </c>
      <c r="O773">
        <v>0.35</v>
      </c>
      <c r="P773">
        <v>0.21</v>
      </c>
      <c r="Q773">
        <v>0.6</v>
      </c>
      <c r="R773">
        <v>2</v>
      </c>
      <c r="S773">
        <v>0.08100693430783124</v>
      </c>
      <c r="T773" t="s">
        <v>983</v>
      </c>
      <c r="U773">
        <v>0.06802288620470401</v>
      </c>
      <c r="V773" t="s">
        <v>986</v>
      </c>
      <c r="W773" t="s">
        <v>994</v>
      </c>
      <c r="X773">
        <v>10631.528354</v>
      </c>
      <c r="Y773" s="2">
        <v>44888</v>
      </c>
      <c r="Z773" t="s">
        <v>1003</v>
      </c>
    </row>
    <row r="774" spans="1:26">
      <c r="A774" s="1" t="s">
        <v>798</v>
      </c>
      <c r="B774">
        <f>HYPERLINK("https://www.suredividend.com/sure-analysis-STOR/","Store Capital Corp")</f>
        <v>0</v>
      </c>
      <c r="C774" t="s">
        <v>884</v>
      </c>
      <c r="D774">
        <v>32</v>
      </c>
      <c r="E774">
        <v>32.06</v>
      </c>
      <c r="F774">
        <v>34</v>
      </c>
      <c r="G774">
        <v>0.9429411764705883</v>
      </c>
      <c r="H774">
        <v>0.0511540860885839</v>
      </c>
      <c r="I774">
        <v>0.01181958116153781</v>
      </c>
      <c r="J774">
        <v>0.04</v>
      </c>
      <c r="K774">
        <v>0.09674100532791008</v>
      </c>
      <c r="L774" t="s">
        <v>631</v>
      </c>
      <c r="M774" t="s">
        <v>572</v>
      </c>
      <c r="N774">
        <v>14.1858407079646</v>
      </c>
      <c r="O774">
        <v>2.26</v>
      </c>
      <c r="P774">
        <v>1.64</v>
      </c>
      <c r="Q774">
        <v>0.7256637168141593</v>
      </c>
      <c r="R774">
        <v>9</v>
      </c>
      <c r="S774">
        <v>0.04968861687192305</v>
      </c>
      <c r="T774" t="s">
        <v>946</v>
      </c>
      <c r="U774">
        <v>-0.037604277047492</v>
      </c>
      <c r="V774" t="s">
        <v>987</v>
      </c>
      <c r="W774" t="s">
        <v>1000</v>
      </c>
      <c r="X774">
        <v>9062.906652</v>
      </c>
      <c r="Y774" s="2">
        <v>44888</v>
      </c>
      <c r="Z774" t="s">
        <v>1015</v>
      </c>
    </row>
    <row r="775" spans="1:26">
      <c r="A775" s="1" t="s">
        <v>799</v>
      </c>
      <c r="B775">
        <f>HYPERLINK("https://www.suredividend.com/sure-analysis-LADR/","Ladder Capital Corp")</f>
        <v>0</v>
      </c>
      <c r="C775" t="s">
        <v>884</v>
      </c>
      <c r="D775">
        <v>10.9</v>
      </c>
      <c r="E775">
        <v>10.04</v>
      </c>
      <c r="F775">
        <v>10.1</v>
      </c>
      <c r="G775">
        <v>0.9940594059405941</v>
      </c>
      <c r="H775">
        <v>0.09163346613545818</v>
      </c>
      <c r="I775">
        <v>0.001192372227910354</v>
      </c>
      <c r="J775">
        <v>0.02</v>
      </c>
      <c r="K775">
        <v>0.0963104249079656</v>
      </c>
      <c r="L775" t="s">
        <v>631</v>
      </c>
      <c r="M775" t="s">
        <v>573</v>
      </c>
      <c r="N775">
        <v>8.964285714285714</v>
      </c>
      <c r="O775">
        <v>1.12</v>
      </c>
      <c r="P775">
        <v>0.92</v>
      </c>
      <c r="Q775">
        <v>0.8214285714285714</v>
      </c>
      <c r="R775">
        <v>1</v>
      </c>
      <c r="S775">
        <v>0.01064069405849488</v>
      </c>
      <c r="T775" t="s">
        <v>905</v>
      </c>
      <c r="U775">
        <v>-0.089524085896691</v>
      </c>
      <c r="V775" t="s">
        <v>987</v>
      </c>
      <c r="W775" t="s">
        <v>1000</v>
      </c>
      <c r="X775">
        <v>1270.706064</v>
      </c>
      <c r="Y775" s="2">
        <v>44874</v>
      </c>
      <c r="Z775" t="s">
        <v>1008</v>
      </c>
    </row>
    <row r="776" spans="1:26">
      <c r="A776" s="1" t="s">
        <v>800</v>
      </c>
      <c r="B776">
        <f>HYPERLINK("https://www.suredividend.com/sure-analysis-BCE/","BCE Inc")</f>
        <v>0</v>
      </c>
      <c r="C776" t="s">
        <v>884</v>
      </c>
      <c r="D776">
        <v>46</v>
      </c>
      <c r="E776">
        <v>43.95</v>
      </c>
      <c r="F776">
        <v>44</v>
      </c>
      <c r="G776">
        <v>0.9988636363636364</v>
      </c>
      <c r="H776">
        <v>0.06143344709897611</v>
      </c>
      <c r="I776">
        <v>0.0002274278152001319</v>
      </c>
      <c r="J776">
        <v>0.045</v>
      </c>
      <c r="K776">
        <v>0.09629093861101223</v>
      </c>
      <c r="L776" t="s">
        <v>631</v>
      </c>
      <c r="M776" t="s">
        <v>572</v>
      </c>
      <c r="N776">
        <v>16.52255639097744</v>
      </c>
      <c r="O776">
        <v>2.66</v>
      </c>
      <c r="P776">
        <v>2.7</v>
      </c>
      <c r="Q776">
        <v>1.015037593984963</v>
      </c>
      <c r="R776">
        <v>13</v>
      </c>
      <c r="S776">
        <v>0.02999736739218006</v>
      </c>
      <c r="T776" t="s">
        <v>901</v>
      </c>
      <c r="U776">
        <v>-0.10029232822646</v>
      </c>
      <c r="V776" t="s">
        <v>986</v>
      </c>
      <c r="W776" t="s">
        <v>995</v>
      </c>
      <c r="X776">
        <v>40080.403395</v>
      </c>
      <c r="Y776" s="2">
        <v>44874</v>
      </c>
      <c r="Z776" t="s">
        <v>1014</v>
      </c>
    </row>
    <row r="777" spans="1:26">
      <c r="A777" s="1" t="s">
        <v>801</v>
      </c>
      <c r="B777">
        <f>HYPERLINK("https://www.suredividend.com/sure-analysis-ARCC/","Ares Capital Corp")</f>
        <v>0</v>
      </c>
      <c r="C777" t="s">
        <v>884</v>
      </c>
      <c r="D777">
        <v>19.4</v>
      </c>
      <c r="E777">
        <v>18.47</v>
      </c>
      <c r="F777">
        <v>17.4</v>
      </c>
      <c r="G777">
        <v>1.061494252873563</v>
      </c>
      <c r="H777">
        <v>0.1039523551705468</v>
      </c>
      <c r="I777">
        <v>-0.01186457184657186</v>
      </c>
      <c r="J777">
        <v>0.022</v>
      </c>
      <c r="K777">
        <v>0.09577590295923266</v>
      </c>
      <c r="L777" t="s">
        <v>631</v>
      </c>
      <c r="M777" t="s">
        <v>573</v>
      </c>
      <c r="N777">
        <v>9.569948186528498</v>
      </c>
      <c r="O777">
        <v>1.93</v>
      </c>
      <c r="P777">
        <v>1.92</v>
      </c>
      <c r="Q777">
        <v>0.9948186528497409</v>
      </c>
      <c r="R777">
        <v>2</v>
      </c>
      <c r="S777">
        <v>0.006173308542779088</v>
      </c>
      <c r="T777" t="s">
        <v>901</v>
      </c>
      <c r="U777">
        <v>-0.09248586154881701</v>
      </c>
      <c r="V777" t="s">
        <v>989</v>
      </c>
      <c r="W777" t="s">
        <v>994</v>
      </c>
      <c r="X777">
        <v>9387.549142</v>
      </c>
      <c r="Y777" s="2">
        <v>44879</v>
      </c>
      <c r="Z777" t="s">
        <v>1009</v>
      </c>
    </row>
    <row r="778" spans="1:26">
      <c r="A778" s="1" t="s">
        <v>802</v>
      </c>
      <c r="B778">
        <f>HYPERLINK("https://www.suredividend.com/sure-analysis-HTGC/","Hercules Capital Inc")</f>
        <v>0</v>
      </c>
      <c r="C778" t="s">
        <v>884</v>
      </c>
      <c r="D778">
        <v>14.3</v>
      </c>
      <c r="E778">
        <v>13.22</v>
      </c>
      <c r="F778">
        <v>12.5</v>
      </c>
      <c r="G778">
        <v>1.0576</v>
      </c>
      <c r="H778">
        <v>0.1089258698940998</v>
      </c>
      <c r="I778">
        <v>-0.01113794664497392</v>
      </c>
      <c r="J778">
        <v>0.016</v>
      </c>
      <c r="K778">
        <v>0.09573979481745432</v>
      </c>
      <c r="L778" t="s">
        <v>631</v>
      </c>
      <c r="M778" t="s">
        <v>573</v>
      </c>
      <c r="N778">
        <v>9.244755244755245</v>
      </c>
      <c r="O778">
        <v>1.43</v>
      </c>
      <c r="P778">
        <v>1.44</v>
      </c>
      <c r="Q778">
        <v>1.006993006993007</v>
      </c>
      <c r="R778">
        <v>0</v>
      </c>
      <c r="S778">
        <v>0.006849955629746995</v>
      </c>
      <c r="T778" t="s">
        <v>890</v>
      </c>
      <c r="U778">
        <v>-0.170051542184861</v>
      </c>
      <c r="V778" t="s">
        <v>989</v>
      </c>
      <c r="W778" t="s">
        <v>994</v>
      </c>
      <c r="X778">
        <v>1720.571155</v>
      </c>
      <c r="Y778" s="2">
        <v>44893</v>
      </c>
      <c r="Z778" t="s">
        <v>1009</v>
      </c>
    </row>
    <row r="779" spans="1:26">
      <c r="A779" s="1" t="s">
        <v>803</v>
      </c>
      <c r="B779">
        <f>HYPERLINK("https://www.suredividend.com/sure-analysis-DRETF/","Dream Office Real Estate Investment Trust")</f>
        <v>0</v>
      </c>
      <c r="C779" t="s">
        <v>884</v>
      </c>
      <c r="D779">
        <v>11.6</v>
      </c>
      <c r="E779">
        <v>11.01</v>
      </c>
      <c r="F779">
        <v>11.1</v>
      </c>
      <c r="G779">
        <v>0.9918918918918919</v>
      </c>
      <c r="H779">
        <v>0.06630336058128973</v>
      </c>
      <c r="I779">
        <v>0.001629557805413295</v>
      </c>
      <c r="J779">
        <v>0.04</v>
      </c>
      <c r="K779">
        <v>0.0953777270188807</v>
      </c>
      <c r="L779" t="s">
        <v>631</v>
      </c>
      <c r="M779" t="s">
        <v>573</v>
      </c>
      <c r="N779">
        <v>8.951219512195122</v>
      </c>
      <c r="O779">
        <v>1.23</v>
      </c>
      <c r="P779">
        <v>0.73</v>
      </c>
      <c r="Q779">
        <v>0.5934959349593496</v>
      </c>
      <c r="R779">
        <v>0</v>
      </c>
      <c r="S779">
        <v>0.01848215809402909</v>
      </c>
      <c r="T779" t="s">
        <v>905</v>
      </c>
      <c r="U779">
        <v>-0.414673046251993</v>
      </c>
      <c r="V779" t="s">
        <v>986</v>
      </c>
      <c r="W779" t="s">
        <v>994</v>
      </c>
      <c r="X779">
        <v>507.677629</v>
      </c>
      <c r="Y779" s="2">
        <v>44893</v>
      </c>
      <c r="Z779" t="s">
        <v>1009</v>
      </c>
    </row>
    <row r="780" spans="1:26">
      <c r="A780" s="1" t="s">
        <v>804</v>
      </c>
      <c r="B780">
        <f>HYPERLINK("https://www.suredividend.com/sure-analysis-NWL/","Newell Brands Inc")</f>
        <v>0</v>
      </c>
      <c r="C780" t="s">
        <v>884</v>
      </c>
      <c r="D780">
        <v>14</v>
      </c>
      <c r="E780">
        <v>13.08</v>
      </c>
      <c r="F780">
        <v>16</v>
      </c>
      <c r="G780">
        <v>0.8175</v>
      </c>
      <c r="H780">
        <v>0.07033639143730887</v>
      </c>
      <c r="I780">
        <v>0.04112397550099822</v>
      </c>
      <c r="J780">
        <v>0</v>
      </c>
      <c r="K780">
        <v>0.09509525018238985</v>
      </c>
      <c r="L780" t="s">
        <v>631</v>
      </c>
      <c r="M780" t="s">
        <v>573</v>
      </c>
      <c r="N780">
        <v>8.174999999999999</v>
      </c>
      <c r="O780">
        <v>1.6</v>
      </c>
      <c r="P780">
        <v>0.92</v>
      </c>
      <c r="Q780">
        <v>0.575</v>
      </c>
      <c r="R780">
        <v>0</v>
      </c>
      <c r="S780">
        <v>0</v>
      </c>
      <c r="T780" t="s">
        <v>917</v>
      </c>
      <c r="U780">
        <v>-0.363162763523053</v>
      </c>
      <c r="V780" t="s">
        <v>986</v>
      </c>
      <c r="W780" t="s">
        <v>996</v>
      </c>
      <c r="X780">
        <v>5409.888</v>
      </c>
      <c r="Y780" s="2">
        <v>44878</v>
      </c>
      <c r="Z780" t="s">
        <v>1005</v>
      </c>
    </row>
    <row r="781" spans="1:26">
      <c r="A781" s="1" t="s">
        <v>805</v>
      </c>
      <c r="B781">
        <f>HYPERLINK("https://www.suredividend.com/sure-analysis-GBDC/","Golub Capital BDC Inc")</f>
        <v>0</v>
      </c>
      <c r="C781" t="s">
        <v>884</v>
      </c>
      <c r="D781">
        <v>14.12</v>
      </c>
      <c r="E781">
        <v>13.16</v>
      </c>
      <c r="F781">
        <v>14.12</v>
      </c>
      <c r="G781">
        <v>0.9320113314447592</v>
      </c>
      <c r="H781">
        <v>0.1003039513677812</v>
      </c>
      <c r="I781">
        <v>0.0141816805235957</v>
      </c>
      <c r="J781">
        <v>0</v>
      </c>
      <c r="K781">
        <v>0.09503190332299205</v>
      </c>
      <c r="L781" t="s">
        <v>631</v>
      </c>
      <c r="M781" t="s">
        <v>573</v>
      </c>
      <c r="N781">
        <v>9.969696969696969</v>
      </c>
      <c r="O781">
        <v>1.32</v>
      </c>
      <c r="P781">
        <v>1.32</v>
      </c>
      <c r="Q781">
        <v>1</v>
      </c>
      <c r="R781">
        <v>2</v>
      </c>
      <c r="S781">
        <v>0</v>
      </c>
      <c r="T781" t="s">
        <v>920</v>
      </c>
      <c r="U781">
        <v>-0.065055379128569</v>
      </c>
      <c r="V781" t="s">
        <v>989</v>
      </c>
      <c r="W781" t="s">
        <v>994</v>
      </c>
      <c r="X781">
        <v>2248.987017</v>
      </c>
      <c r="Y781" s="2">
        <v>44890</v>
      </c>
      <c r="Z781" t="s">
        <v>1011</v>
      </c>
    </row>
    <row r="782" spans="1:26">
      <c r="A782" s="1" t="s">
        <v>806</v>
      </c>
      <c r="B782">
        <f>HYPERLINK("https://www.suredividend.com/sure-analysis-LWSCF/","Sienna Senior Living Inc")</f>
        <v>0</v>
      </c>
      <c r="C782" t="s">
        <v>884</v>
      </c>
      <c r="D782">
        <v>8.539999999999999</v>
      </c>
      <c r="E782">
        <v>7.84</v>
      </c>
      <c r="F782">
        <v>8.800000000000001</v>
      </c>
      <c r="G782">
        <v>0.8909090909090909</v>
      </c>
      <c r="H782">
        <v>0.08928571428571429</v>
      </c>
      <c r="I782">
        <v>0.02337150897694196</v>
      </c>
      <c r="J782">
        <v>0</v>
      </c>
      <c r="K782">
        <v>0.09425316076138524</v>
      </c>
      <c r="L782" t="s">
        <v>631</v>
      </c>
      <c r="M782" t="s">
        <v>573</v>
      </c>
      <c r="N782">
        <v>9.799999999999999</v>
      </c>
      <c r="O782">
        <v>0.8</v>
      </c>
      <c r="P782">
        <v>0.7</v>
      </c>
      <c r="Q782">
        <v>0.8749999999999999</v>
      </c>
      <c r="R782">
        <v>0</v>
      </c>
      <c r="S782">
        <v>0</v>
      </c>
      <c r="T782" t="s">
        <v>905</v>
      </c>
      <c r="U782">
        <v>-0.325475350597952</v>
      </c>
      <c r="V782" t="s">
        <v>986</v>
      </c>
      <c r="W782" t="s">
        <v>998</v>
      </c>
      <c r="X782">
        <v>571.532151</v>
      </c>
      <c r="Y782" s="2">
        <v>44882</v>
      </c>
      <c r="Z782" t="s">
        <v>1011</v>
      </c>
    </row>
    <row r="783" spans="1:26">
      <c r="A783" s="1" t="s">
        <v>807</v>
      </c>
      <c r="B783">
        <f>HYPERLINK("https://www.suredividend.com/sure-analysis-GLAD/","Gladstone Capital Corp.")</f>
        <v>0</v>
      </c>
      <c r="C783" t="s">
        <v>884</v>
      </c>
      <c r="D783">
        <v>10.22</v>
      </c>
      <c r="E783">
        <v>9.619999999999999</v>
      </c>
      <c r="F783">
        <v>10.29</v>
      </c>
      <c r="G783">
        <v>0.93488824101069</v>
      </c>
      <c r="H783">
        <v>0.08731808731808732</v>
      </c>
      <c r="I783">
        <v>0.01355672730792401</v>
      </c>
      <c r="J783">
        <v>0.01</v>
      </c>
      <c r="K783">
        <v>0.0939935236316074</v>
      </c>
      <c r="L783" t="s">
        <v>631</v>
      </c>
      <c r="M783" t="s">
        <v>573</v>
      </c>
      <c r="N783">
        <v>9.816326530612244</v>
      </c>
      <c r="O783">
        <v>0.98</v>
      </c>
      <c r="P783">
        <v>0.84</v>
      </c>
      <c r="Q783">
        <v>0.8571428571428571</v>
      </c>
      <c r="R783">
        <v>1</v>
      </c>
      <c r="S783">
        <v>0.004717190559952789</v>
      </c>
      <c r="T783" t="s">
        <v>936</v>
      </c>
      <c r="U783">
        <v>-0.09963873238118401</v>
      </c>
      <c r="V783" t="s">
        <v>989</v>
      </c>
      <c r="W783" t="s">
        <v>994</v>
      </c>
      <c r="X783">
        <v>341.723997</v>
      </c>
      <c r="Y783" s="2">
        <v>44900</v>
      </c>
      <c r="Z783" t="s">
        <v>1005</v>
      </c>
    </row>
    <row r="784" spans="1:26">
      <c r="A784" s="1" t="s">
        <v>808</v>
      </c>
      <c r="B784">
        <f>HYPERLINK("https://www.suredividend.com/sure-analysis-QSR/","Restaurant Brands International Inc")</f>
        <v>0</v>
      </c>
      <c r="C784" t="s">
        <v>883</v>
      </c>
      <c r="D784">
        <v>60</v>
      </c>
      <c r="E784">
        <v>64.67</v>
      </c>
      <c r="F784">
        <v>58</v>
      </c>
      <c r="G784">
        <v>1.115</v>
      </c>
      <c r="H784">
        <v>0.03340034018865007</v>
      </c>
      <c r="I784">
        <v>-0.02153560582859626</v>
      </c>
      <c r="J784">
        <v>0.09</v>
      </c>
      <c r="K784">
        <v>0.09347269137157577</v>
      </c>
      <c r="L784" t="s">
        <v>631</v>
      </c>
      <c r="M784" t="s">
        <v>572</v>
      </c>
      <c r="N784">
        <v>21.20327868852459</v>
      </c>
      <c r="O784">
        <v>3.05</v>
      </c>
      <c r="P784">
        <v>2.16</v>
      </c>
      <c r="Q784">
        <v>0.7081967213114755</v>
      </c>
      <c r="R784">
        <v>10</v>
      </c>
      <c r="S784">
        <v>0.03131030647754507</v>
      </c>
      <c r="T784" t="s">
        <v>909</v>
      </c>
      <c r="U784">
        <v>0.098538961866242</v>
      </c>
      <c r="V784" t="s">
        <v>986</v>
      </c>
      <c r="W784" t="s">
        <v>992</v>
      </c>
      <c r="X784">
        <v>19835.721893</v>
      </c>
      <c r="Y784" s="2">
        <v>44873</v>
      </c>
      <c r="Z784" t="s">
        <v>1003</v>
      </c>
    </row>
    <row r="785" spans="1:26">
      <c r="A785" s="1" t="s">
        <v>809</v>
      </c>
      <c r="B785">
        <f>HYPERLINK("https://www.suredividend.com/sure-analysis-GAIN/","Gladstone Investment Corporation")</f>
        <v>0</v>
      </c>
      <c r="C785" t="s">
        <v>884</v>
      </c>
      <c r="D785">
        <v>14</v>
      </c>
      <c r="E785">
        <v>12.91</v>
      </c>
      <c r="F785">
        <v>13</v>
      </c>
      <c r="G785">
        <v>0.9930769230769231</v>
      </c>
      <c r="H785">
        <v>0.07436096049573973</v>
      </c>
      <c r="I785">
        <v>0.001390396226391477</v>
      </c>
      <c r="J785">
        <v>0.03</v>
      </c>
      <c r="K785">
        <v>0.09330488457746999</v>
      </c>
      <c r="L785" t="s">
        <v>631</v>
      </c>
      <c r="M785" t="s">
        <v>573</v>
      </c>
      <c r="N785">
        <v>11.73636363636364</v>
      </c>
      <c r="O785">
        <v>1.1</v>
      </c>
      <c r="P785">
        <v>0.96</v>
      </c>
      <c r="Q785">
        <v>0.8727272727272726</v>
      </c>
      <c r="R785">
        <v>2</v>
      </c>
      <c r="S785">
        <v>0.02001586442069092</v>
      </c>
      <c r="T785" t="s">
        <v>936</v>
      </c>
      <c r="U785">
        <v>-0.17097979785007</v>
      </c>
      <c r="V785" t="s">
        <v>989</v>
      </c>
      <c r="W785" t="s">
        <v>994</v>
      </c>
      <c r="X785">
        <v>429.059499</v>
      </c>
      <c r="Y785" s="2">
        <v>44898</v>
      </c>
      <c r="Z785" t="s">
        <v>1007</v>
      </c>
    </row>
    <row r="786" spans="1:26">
      <c r="A786" s="1" t="s">
        <v>810</v>
      </c>
      <c r="B786">
        <f>HYPERLINK("https://www.suredividend.com/sure-analysis-NMFC/","New Mountain Finance Corp")</f>
        <v>0</v>
      </c>
      <c r="C786" t="s">
        <v>884</v>
      </c>
      <c r="D786">
        <v>12.65</v>
      </c>
      <c r="E786">
        <v>12.37</v>
      </c>
      <c r="F786">
        <v>12.9</v>
      </c>
      <c r="G786">
        <v>0.9589147286821704</v>
      </c>
      <c r="H786">
        <v>0.1034761519805982</v>
      </c>
      <c r="I786">
        <v>0.008425924947017327</v>
      </c>
      <c r="J786">
        <v>0</v>
      </c>
      <c r="K786">
        <v>0.0930436910418464</v>
      </c>
      <c r="L786" t="s">
        <v>631</v>
      </c>
      <c r="M786" t="s">
        <v>573</v>
      </c>
      <c r="N786">
        <v>9.589147286821705</v>
      </c>
      <c r="O786">
        <v>1.29</v>
      </c>
      <c r="P786">
        <v>1.28</v>
      </c>
      <c r="Q786">
        <v>0.9922480620155039</v>
      </c>
      <c r="R786">
        <v>1</v>
      </c>
      <c r="S786">
        <v>0</v>
      </c>
      <c r="T786" t="s">
        <v>888</v>
      </c>
      <c r="U786">
        <v>-0.003359733155007</v>
      </c>
      <c r="V786" t="s">
        <v>989</v>
      </c>
      <c r="W786" t="s">
        <v>994</v>
      </c>
      <c r="X786">
        <v>1248.591012</v>
      </c>
      <c r="Y786" s="2">
        <v>44879</v>
      </c>
      <c r="Z786" t="s">
        <v>1011</v>
      </c>
    </row>
    <row r="787" spans="1:26">
      <c r="A787" s="1" t="s">
        <v>811</v>
      </c>
      <c r="B787">
        <f>HYPERLINK("https://www.suredividend.com/sure-analysis-TSLX/","Sixth Street Specialty Lending Inc")</f>
        <v>0</v>
      </c>
      <c r="C787" t="s">
        <v>884</v>
      </c>
      <c r="D787">
        <v>18.37</v>
      </c>
      <c r="E787">
        <v>17.8</v>
      </c>
      <c r="F787">
        <v>18.72</v>
      </c>
      <c r="G787">
        <v>0.9508547008547009</v>
      </c>
      <c r="H787">
        <v>0.101123595505618</v>
      </c>
      <c r="I787">
        <v>0.01012976495148066</v>
      </c>
      <c r="J787">
        <v>0</v>
      </c>
      <c r="K787">
        <v>0.09263383444009388</v>
      </c>
      <c r="L787" t="s">
        <v>631</v>
      </c>
      <c r="M787" t="s">
        <v>573</v>
      </c>
      <c r="N787">
        <v>9.035532994923859</v>
      </c>
      <c r="O787">
        <v>1.97</v>
      </c>
      <c r="P787">
        <v>1.8</v>
      </c>
      <c r="Q787">
        <v>0.9137055837563453</v>
      </c>
      <c r="R787">
        <v>6</v>
      </c>
      <c r="S787">
        <v>0</v>
      </c>
      <c r="T787" t="s">
        <v>901</v>
      </c>
      <c r="U787">
        <v>-0.161184520555691</v>
      </c>
      <c r="V787" t="s">
        <v>989</v>
      </c>
      <c r="W787" t="s">
        <v>994</v>
      </c>
      <c r="X787">
        <v>1441.502758</v>
      </c>
      <c r="Y787" s="2">
        <v>44871</v>
      </c>
      <c r="Z787" t="s">
        <v>1011</v>
      </c>
    </row>
    <row r="788" spans="1:26">
      <c r="A788" s="1" t="s">
        <v>812</v>
      </c>
      <c r="B788">
        <f>HYPERLINK("https://www.suredividend.com/sure-analysis-PFLT/","PennantPark Floating Rate Capital Ltd")</f>
        <v>0</v>
      </c>
      <c r="C788" t="s">
        <v>884</v>
      </c>
      <c r="D788">
        <v>11.3</v>
      </c>
      <c r="E788">
        <v>10.98</v>
      </c>
      <c r="F788">
        <v>11.2</v>
      </c>
      <c r="G788">
        <v>0.9803571428571429</v>
      </c>
      <c r="H788">
        <v>0.1038251366120218</v>
      </c>
      <c r="I788">
        <v>0.003975550060806743</v>
      </c>
      <c r="J788">
        <v>0.002</v>
      </c>
      <c r="K788">
        <v>0.0915230184487783</v>
      </c>
      <c r="L788" t="s">
        <v>631</v>
      </c>
      <c r="M788" t="s">
        <v>573</v>
      </c>
      <c r="N788">
        <v>9.074380165289258</v>
      </c>
      <c r="O788">
        <v>1.21</v>
      </c>
      <c r="P788">
        <v>1.14</v>
      </c>
      <c r="Q788">
        <v>0.9421487603305785</v>
      </c>
      <c r="R788">
        <v>0</v>
      </c>
      <c r="S788">
        <v>0</v>
      </c>
      <c r="T788" t="s">
        <v>904</v>
      </c>
      <c r="U788">
        <v>-0.04432820102182</v>
      </c>
      <c r="V788" t="s">
        <v>989</v>
      </c>
      <c r="W788" t="s">
        <v>994</v>
      </c>
      <c r="X788">
        <v>497.895105</v>
      </c>
      <c r="Y788" s="2">
        <v>44897</v>
      </c>
      <c r="Z788" t="s">
        <v>1009</v>
      </c>
    </row>
    <row r="789" spans="1:26">
      <c r="A789" s="1" t="s">
        <v>813</v>
      </c>
      <c r="B789">
        <f>HYPERLINK("https://www.suredividend.com/sure-analysis-INVH/","Invitation Homes Inc")</f>
        <v>0</v>
      </c>
      <c r="C789" t="s">
        <v>884</v>
      </c>
      <c r="D789">
        <v>31</v>
      </c>
      <c r="E789">
        <v>29.64</v>
      </c>
      <c r="F789">
        <v>28</v>
      </c>
      <c r="G789">
        <v>1.058571428571428</v>
      </c>
      <c r="H789">
        <v>0.02968960863697706</v>
      </c>
      <c r="I789">
        <v>-0.01131950485301259</v>
      </c>
      <c r="J789">
        <v>0.075</v>
      </c>
      <c r="K789">
        <v>0.0911526836466594</v>
      </c>
      <c r="L789" t="s">
        <v>631</v>
      </c>
      <c r="M789" t="s">
        <v>631</v>
      </c>
      <c r="N789">
        <v>21.17142857142857</v>
      </c>
      <c r="O789">
        <v>1.4</v>
      </c>
      <c r="P789">
        <v>0.88</v>
      </c>
      <c r="Q789">
        <v>0.6285714285714287</v>
      </c>
      <c r="R789">
        <v>5</v>
      </c>
      <c r="S789">
        <v>0.08447177119769855</v>
      </c>
      <c r="T789" t="s">
        <v>938</v>
      </c>
      <c r="U789">
        <v>-0.327743290474321</v>
      </c>
      <c r="V789" t="s">
        <v>987</v>
      </c>
      <c r="W789" t="s">
        <v>1000</v>
      </c>
      <c r="X789">
        <v>18122.189703</v>
      </c>
      <c r="Y789" s="2">
        <v>44862</v>
      </c>
      <c r="Z789" t="s">
        <v>1011</v>
      </c>
    </row>
    <row r="790" spans="1:26">
      <c r="A790" s="1" t="s">
        <v>814</v>
      </c>
      <c r="B790">
        <f>HYPERLINK("https://www.suredividend.com/sure-analysis-DANOY/","Danone")</f>
        <v>0</v>
      </c>
      <c r="C790" t="s">
        <v>883</v>
      </c>
      <c r="D790">
        <v>10.02</v>
      </c>
      <c r="E790">
        <v>10.515</v>
      </c>
      <c r="F790">
        <v>12.6</v>
      </c>
      <c r="G790">
        <v>0.8345238095238096</v>
      </c>
      <c r="H790">
        <v>0.04184498335710889</v>
      </c>
      <c r="I790">
        <v>0.0368412181238591</v>
      </c>
      <c r="J790">
        <v>0.02</v>
      </c>
      <c r="K790">
        <v>0.09108436254492425</v>
      </c>
      <c r="L790" t="s">
        <v>631</v>
      </c>
      <c r="M790" t="s">
        <v>572</v>
      </c>
      <c r="N790">
        <v>15.02142857142857</v>
      </c>
      <c r="O790">
        <v>0.7</v>
      </c>
      <c r="P790">
        <v>0.44</v>
      </c>
      <c r="Q790">
        <v>0.6285714285714287</v>
      </c>
      <c r="R790">
        <v>0</v>
      </c>
      <c r="S790">
        <v>0.02175949146424117</v>
      </c>
      <c r="T790" t="s">
        <v>984</v>
      </c>
      <c r="U790">
        <v>-0.120407548685002</v>
      </c>
      <c r="V790" t="s">
        <v>986</v>
      </c>
      <c r="W790" t="s">
        <v>996</v>
      </c>
      <c r="X790">
        <v>35529.53307</v>
      </c>
      <c r="Y790" s="2">
        <v>44864</v>
      </c>
      <c r="Z790" t="s">
        <v>1012</v>
      </c>
    </row>
    <row r="791" spans="1:26">
      <c r="A791" s="1" t="s">
        <v>815</v>
      </c>
      <c r="B791">
        <f>HYPERLINK("https://www.suredividend.com/sure-analysis-BFS/","Saul Centers, Inc.")</f>
        <v>0</v>
      </c>
      <c r="C791" t="s">
        <v>884</v>
      </c>
      <c r="D791">
        <v>43</v>
      </c>
      <c r="E791">
        <v>40.68</v>
      </c>
      <c r="F791">
        <v>43</v>
      </c>
      <c r="G791">
        <v>0.946046511627907</v>
      </c>
      <c r="H791">
        <v>0.05801376597836774</v>
      </c>
      <c r="I791">
        <v>0.01115446111993812</v>
      </c>
      <c r="J791">
        <v>0.03</v>
      </c>
      <c r="K791">
        <v>0.09060840740974352</v>
      </c>
      <c r="L791" t="s">
        <v>631</v>
      </c>
      <c r="M791" t="s">
        <v>573</v>
      </c>
      <c r="N791">
        <v>13.12258064516129</v>
      </c>
      <c r="O791">
        <v>3.1</v>
      </c>
      <c r="P791">
        <v>2.36</v>
      </c>
      <c r="Q791">
        <v>0.7612903225806451</v>
      </c>
      <c r="R791">
        <v>2</v>
      </c>
      <c r="S791">
        <v>0.0303095182681723</v>
      </c>
      <c r="T791" t="s">
        <v>925</v>
      </c>
      <c r="U791">
        <v>-0.186386982191715</v>
      </c>
      <c r="V791" t="s">
        <v>987</v>
      </c>
      <c r="W791" t="s">
        <v>1000</v>
      </c>
      <c r="X791">
        <v>972.0561259999999</v>
      </c>
      <c r="Y791" s="2">
        <v>44879</v>
      </c>
      <c r="Z791" t="s">
        <v>1011</v>
      </c>
    </row>
    <row r="792" spans="1:26">
      <c r="A792" s="1" t="s">
        <v>816</v>
      </c>
      <c r="B792">
        <f>HYPERLINK("https://www.suredividend.com/sure-analysis-ABR/","Arbor Realty Trust Inc.")</f>
        <v>0</v>
      </c>
      <c r="C792" t="s">
        <v>884</v>
      </c>
      <c r="D792">
        <v>14.4</v>
      </c>
      <c r="E792">
        <v>13.19</v>
      </c>
      <c r="F792">
        <v>12.9</v>
      </c>
      <c r="G792">
        <v>1.022480620155039</v>
      </c>
      <c r="H792">
        <v>0.1213040181956027</v>
      </c>
      <c r="I792">
        <v>-0.004436460776603313</v>
      </c>
      <c r="J792">
        <v>-0.008999999999999999</v>
      </c>
      <c r="K792">
        <v>0.09038005465749932</v>
      </c>
      <c r="L792" t="s">
        <v>631</v>
      </c>
      <c r="M792" t="s">
        <v>573</v>
      </c>
      <c r="N792">
        <v>10.72357723577236</v>
      </c>
      <c r="O792">
        <v>1.23</v>
      </c>
      <c r="P792">
        <v>1.6</v>
      </c>
      <c r="Q792">
        <v>1.300813008130081</v>
      </c>
      <c r="R792">
        <v>9</v>
      </c>
      <c r="S792">
        <v>0</v>
      </c>
      <c r="T792" t="s">
        <v>894</v>
      </c>
      <c r="U792">
        <v>-0.212001003668168</v>
      </c>
      <c r="V792" t="s">
        <v>987</v>
      </c>
      <c r="W792" t="s">
        <v>1000</v>
      </c>
      <c r="X792">
        <v>2262.396178</v>
      </c>
      <c r="Y792" s="2">
        <v>44893</v>
      </c>
      <c r="Z792" t="s">
        <v>1009</v>
      </c>
    </row>
    <row r="793" spans="1:26">
      <c r="A793" s="1" t="s">
        <v>817</v>
      </c>
      <c r="B793">
        <f>HYPERLINK("https://www.suredividend.com/sure-analysis-CWCO/","Consolidated Water Co. Ltd.")</f>
        <v>0</v>
      </c>
      <c r="C793" t="s">
        <v>884</v>
      </c>
      <c r="D793">
        <v>14.4</v>
      </c>
      <c r="E793">
        <v>14.8</v>
      </c>
      <c r="F793">
        <v>10.5</v>
      </c>
      <c r="G793">
        <v>1.40952380952381</v>
      </c>
      <c r="H793">
        <v>0.02297297297297297</v>
      </c>
      <c r="I793">
        <v>-0.06634695760713993</v>
      </c>
      <c r="J793">
        <v>0.14</v>
      </c>
      <c r="K793">
        <v>0.08995636489675141</v>
      </c>
      <c r="L793" t="s">
        <v>631</v>
      </c>
      <c r="M793" t="s">
        <v>631</v>
      </c>
      <c r="N793">
        <v>26.90909090909091</v>
      </c>
      <c r="O793">
        <v>0.55</v>
      </c>
      <c r="P793">
        <v>0.34</v>
      </c>
      <c r="Q793">
        <v>0.6181818181818182</v>
      </c>
      <c r="R793">
        <v>0</v>
      </c>
      <c r="S793">
        <v>0.1383790323022041</v>
      </c>
      <c r="T793" t="s">
        <v>898</v>
      </c>
      <c r="U793">
        <v>0.407058107696988</v>
      </c>
      <c r="V793" t="s">
        <v>986</v>
      </c>
      <c r="W793" t="s">
        <v>997</v>
      </c>
      <c r="X793">
        <v>226.22574</v>
      </c>
      <c r="Y793" s="2">
        <v>44898</v>
      </c>
      <c r="Z793" t="s">
        <v>1009</v>
      </c>
    </row>
    <row r="794" spans="1:26">
      <c r="A794" s="1" t="s">
        <v>818</v>
      </c>
      <c r="B794">
        <f>HYPERLINK("https://www.suredividend.com/sure-analysis-SCM/","Stellus Capital Investment Corp")</f>
        <v>0</v>
      </c>
      <c r="C794" t="s">
        <v>884</v>
      </c>
      <c r="D794">
        <v>14</v>
      </c>
      <c r="E794">
        <v>13.26</v>
      </c>
      <c r="F794">
        <v>13</v>
      </c>
      <c r="G794">
        <v>1.02</v>
      </c>
      <c r="H794">
        <v>0.08446455505279035</v>
      </c>
      <c r="I794">
        <v>-0.003952692922012169</v>
      </c>
      <c r="J794">
        <v>0.02</v>
      </c>
      <c r="K794">
        <v>0.08515844679837992</v>
      </c>
      <c r="L794" t="s">
        <v>631</v>
      </c>
      <c r="M794" t="s">
        <v>573</v>
      </c>
      <c r="N794">
        <v>10.2</v>
      </c>
      <c r="O794">
        <v>1.3</v>
      </c>
      <c r="P794">
        <v>1.12</v>
      </c>
      <c r="Q794">
        <v>0.8615384615384616</v>
      </c>
      <c r="R794">
        <v>1</v>
      </c>
      <c r="S794">
        <v>0</v>
      </c>
      <c r="T794" t="s">
        <v>888</v>
      </c>
      <c r="U794">
        <v>0.07129872752979201</v>
      </c>
      <c r="V794" t="s">
        <v>989</v>
      </c>
      <c r="W794" t="s">
        <v>994</v>
      </c>
      <c r="X794">
        <v>259.179098</v>
      </c>
      <c r="Y794" s="2">
        <v>44892</v>
      </c>
      <c r="Z794" t="s">
        <v>1005</v>
      </c>
    </row>
    <row r="795" spans="1:26">
      <c r="A795" s="1" t="s">
        <v>819</v>
      </c>
      <c r="B795">
        <f>HYPERLINK("https://www.suredividend.com/sure-analysis-PXD/","Pioneer Natural Resources Co.")</f>
        <v>0</v>
      </c>
      <c r="C795" t="s">
        <v>884</v>
      </c>
      <c r="D795">
        <v>255</v>
      </c>
      <c r="E795">
        <v>228.39</v>
      </c>
      <c r="F795">
        <v>450</v>
      </c>
      <c r="G795">
        <v>0.5075333333333333</v>
      </c>
      <c r="H795">
        <v>0.09194798371207147</v>
      </c>
      <c r="I795">
        <v>0.1452678934924709</v>
      </c>
      <c r="J795">
        <v>-0.1</v>
      </c>
      <c r="K795">
        <v>0.08480830130851769</v>
      </c>
      <c r="L795" t="s">
        <v>631</v>
      </c>
      <c r="M795" t="s">
        <v>887</v>
      </c>
      <c r="N795">
        <v>7.613</v>
      </c>
      <c r="O795">
        <v>30</v>
      </c>
      <c r="P795">
        <v>21</v>
      </c>
      <c r="Q795">
        <v>0.7</v>
      </c>
      <c r="R795">
        <v>5</v>
      </c>
      <c r="S795">
        <v>-0.1000042096183491</v>
      </c>
      <c r="T795" t="s">
        <v>917</v>
      </c>
      <c r="U795">
        <v>0.363020308340151</v>
      </c>
      <c r="V795" t="s">
        <v>986</v>
      </c>
      <c r="W795" t="s">
        <v>999</v>
      </c>
      <c r="X795">
        <v>55261.012584</v>
      </c>
      <c r="Y795" s="2">
        <v>44878</v>
      </c>
      <c r="Z795" t="s">
        <v>1013</v>
      </c>
    </row>
    <row r="796" spans="1:26">
      <c r="A796" s="1" t="s">
        <v>820</v>
      </c>
      <c r="B796">
        <f>HYPERLINK("https://www.suredividend.com/sure-analysis-NYMT/","New York Mortgage Trust Inc")</f>
        <v>0</v>
      </c>
      <c r="C796" t="s">
        <v>884</v>
      </c>
      <c r="D796">
        <v>2.75</v>
      </c>
      <c r="E796">
        <v>2.56</v>
      </c>
      <c r="F796">
        <v>2.1</v>
      </c>
      <c r="G796">
        <v>1.219047619047619</v>
      </c>
      <c r="H796">
        <v>0.15625</v>
      </c>
      <c r="I796">
        <v>-0.03883960796037011</v>
      </c>
      <c r="J796">
        <v>0</v>
      </c>
      <c r="K796">
        <v>0.08338706323614686</v>
      </c>
      <c r="L796" t="s">
        <v>631</v>
      </c>
      <c r="M796" t="s">
        <v>573</v>
      </c>
      <c r="N796">
        <v>8.533333333333333</v>
      </c>
      <c r="O796">
        <v>0.3</v>
      </c>
      <c r="P796">
        <v>0.4</v>
      </c>
      <c r="Q796">
        <v>1.333333333333333</v>
      </c>
      <c r="R796">
        <v>1</v>
      </c>
      <c r="S796">
        <v>-0.04970085067101349</v>
      </c>
      <c r="T796" t="s">
        <v>913</v>
      </c>
      <c r="U796">
        <v>-0.212234975536203</v>
      </c>
      <c r="V796" t="s">
        <v>987</v>
      </c>
      <c r="W796" t="s">
        <v>1000</v>
      </c>
      <c r="X796">
        <v>949.922053</v>
      </c>
      <c r="Y796" s="2">
        <v>44885</v>
      </c>
      <c r="Z796" t="s">
        <v>1005</v>
      </c>
    </row>
    <row r="797" spans="1:26">
      <c r="A797" s="1" t="s">
        <v>821</v>
      </c>
      <c r="B797">
        <f>HYPERLINK("https://www.suredividend.com/sure-analysis-SLRC/","SLR Investment Corp")</f>
        <v>0</v>
      </c>
      <c r="C797" t="s">
        <v>884</v>
      </c>
      <c r="D797">
        <v>13.85</v>
      </c>
      <c r="E797">
        <v>13.91</v>
      </c>
      <c r="F797">
        <v>14.5</v>
      </c>
      <c r="G797">
        <v>0.9593103448275863</v>
      </c>
      <c r="H797">
        <v>0.1179007907979871</v>
      </c>
      <c r="I797">
        <v>0.008342736976418408</v>
      </c>
      <c r="J797">
        <v>-0.022</v>
      </c>
      <c r="K797">
        <v>0.08229266374153776</v>
      </c>
      <c r="L797" t="s">
        <v>631</v>
      </c>
      <c r="M797" t="s">
        <v>573</v>
      </c>
      <c r="N797">
        <v>9.593103448275862</v>
      </c>
      <c r="O797">
        <v>1.45</v>
      </c>
      <c r="P797">
        <v>1.64</v>
      </c>
      <c r="Q797">
        <v>1.131034482758621</v>
      </c>
      <c r="R797">
        <v>0</v>
      </c>
      <c r="S797">
        <v>-0.02164899078357707</v>
      </c>
      <c r="T797" t="s">
        <v>950</v>
      </c>
      <c r="U797">
        <v>-0.158576051779935</v>
      </c>
      <c r="V797" t="s">
        <v>989</v>
      </c>
      <c r="W797" t="s">
        <v>994</v>
      </c>
      <c r="X797">
        <v>761.887575</v>
      </c>
      <c r="Y797" s="2">
        <v>44873</v>
      </c>
      <c r="Z797" t="s">
        <v>1011</v>
      </c>
    </row>
    <row r="798" spans="1:26">
      <c r="A798" s="1" t="s">
        <v>822</v>
      </c>
      <c r="B798">
        <f>HYPERLINK("https://www.suredividend.com/sure-analysis-VICI/","VICI Properties Inc")</f>
        <v>0</v>
      </c>
      <c r="C798" t="s">
        <v>884</v>
      </c>
      <c r="D798">
        <v>32</v>
      </c>
      <c r="E798">
        <v>32.4</v>
      </c>
      <c r="F798">
        <v>29</v>
      </c>
      <c r="G798">
        <v>1.117241379310345</v>
      </c>
      <c r="H798">
        <v>0.04814814814814816</v>
      </c>
      <c r="I798">
        <v>-0.0219285149911097</v>
      </c>
      <c r="J798">
        <v>0.06</v>
      </c>
      <c r="K798">
        <v>0.08176766564744931</v>
      </c>
      <c r="L798" t="s">
        <v>631</v>
      </c>
      <c r="M798" t="s">
        <v>572</v>
      </c>
      <c r="N798">
        <v>17.05263157894737</v>
      </c>
      <c r="O798">
        <v>1.9</v>
      </c>
      <c r="P798">
        <v>1.56</v>
      </c>
      <c r="Q798">
        <v>0.8210526315789475</v>
      </c>
      <c r="R798">
        <v>4</v>
      </c>
      <c r="S798">
        <v>0.05511819868320456</v>
      </c>
      <c r="T798" t="s">
        <v>950</v>
      </c>
      <c r="U798">
        <v>0.136507134739234</v>
      </c>
      <c r="V798" t="s">
        <v>987</v>
      </c>
      <c r="W798" t="s">
        <v>1000</v>
      </c>
      <c r="X798">
        <v>31204.370275</v>
      </c>
      <c r="Y798" s="2">
        <v>44866</v>
      </c>
      <c r="Z798" t="s">
        <v>1003</v>
      </c>
    </row>
    <row r="799" spans="1:26">
      <c r="A799" s="1" t="s">
        <v>823</v>
      </c>
      <c r="B799">
        <f>HYPERLINK("https://www.suredividend.com/sure-analysis-ADC/","Agree Realty Corp.")</f>
        <v>0</v>
      </c>
      <c r="C799" t="s">
        <v>884</v>
      </c>
      <c r="D799">
        <v>70</v>
      </c>
      <c r="E799">
        <v>70.93000000000001</v>
      </c>
      <c r="F799">
        <v>70</v>
      </c>
      <c r="G799">
        <v>1.013285714285714</v>
      </c>
      <c r="H799">
        <v>0.03961652333286338</v>
      </c>
      <c r="I799">
        <v>-0.002636165829124848</v>
      </c>
      <c r="J799">
        <v>0.045</v>
      </c>
      <c r="K799">
        <v>0.07860144158020188</v>
      </c>
      <c r="L799" t="s">
        <v>631</v>
      </c>
      <c r="M799" t="s">
        <v>572</v>
      </c>
      <c r="N799">
        <v>18.37564766839379</v>
      </c>
      <c r="O799">
        <v>3.86</v>
      </c>
      <c r="P799">
        <v>2.81</v>
      </c>
      <c r="Q799">
        <v>0.727979274611399</v>
      </c>
      <c r="R799">
        <v>11</v>
      </c>
      <c r="S799">
        <v>0.05021357036174612</v>
      </c>
      <c r="T799" t="s">
        <v>905</v>
      </c>
      <c r="U799">
        <v>0.03619600802310501</v>
      </c>
      <c r="V799" t="s">
        <v>987</v>
      </c>
      <c r="W799" t="s">
        <v>1000</v>
      </c>
      <c r="X799">
        <v>6282.500481</v>
      </c>
      <c r="Y799" s="2">
        <v>44890</v>
      </c>
      <c r="Z799" t="s">
        <v>1006</v>
      </c>
    </row>
    <row r="800" spans="1:26">
      <c r="A800" s="1" t="s">
        <v>824</v>
      </c>
      <c r="B800">
        <f>HYPERLINK("https://www.suredividend.com/sure-analysis-LAND/","Gladstone Land Corp")</f>
        <v>0</v>
      </c>
      <c r="C800" t="s">
        <v>884</v>
      </c>
      <c r="D800">
        <v>20</v>
      </c>
      <c r="E800">
        <v>18.35</v>
      </c>
      <c r="F800">
        <v>17</v>
      </c>
      <c r="G800">
        <v>1.079411764705883</v>
      </c>
      <c r="H800">
        <v>0.02997275204359673</v>
      </c>
      <c r="I800">
        <v>-0.01516704998771123</v>
      </c>
      <c r="J800">
        <v>0.07000000000000001</v>
      </c>
      <c r="K800">
        <v>0.07775210090729745</v>
      </c>
      <c r="L800" t="s">
        <v>631</v>
      </c>
      <c r="M800" t="s">
        <v>631</v>
      </c>
      <c r="N800">
        <v>24.7972972972973</v>
      </c>
      <c r="O800">
        <v>0.74</v>
      </c>
      <c r="P800">
        <v>0.55</v>
      </c>
      <c r="Q800">
        <v>0.7432432432432433</v>
      </c>
      <c r="R800">
        <v>9</v>
      </c>
      <c r="S800">
        <v>0.01067857840444453</v>
      </c>
      <c r="T800" t="s">
        <v>936</v>
      </c>
      <c r="U800">
        <v>-0.4370129471681901</v>
      </c>
      <c r="V800" t="s">
        <v>987</v>
      </c>
      <c r="W800" t="s">
        <v>1000</v>
      </c>
      <c r="X800">
        <v>636.818492</v>
      </c>
      <c r="Y800" s="2">
        <v>44895</v>
      </c>
      <c r="Z800" t="s">
        <v>1005</v>
      </c>
    </row>
    <row r="801" spans="1:26">
      <c r="A801" s="1" t="s">
        <v>825</v>
      </c>
      <c r="B801">
        <f>HYPERLINK("https://www.suredividend.com/sure-analysis-CBRL/","Cracker Barrel Old Country Store Inc")</f>
        <v>0</v>
      </c>
      <c r="C801" t="s">
        <v>884</v>
      </c>
      <c r="D801">
        <v>97.40000000000001</v>
      </c>
      <c r="E801">
        <v>94.73999999999999</v>
      </c>
      <c r="F801">
        <v>87.90000000000001</v>
      </c>
      <c r="G801">
        <v>1.077815699658703</v>
      </c>
      <c r="H801">
        <v>0.05488705932024489</v>
      </c>
      <c r="I801">
        <v>-0.01487554797816204</v>
      </c>
      <c r="J801">
        <v>0.045</v>
      </c>
      <c r="K801">
        <v>0.07704977709788996</v>
      </c>
      <c r="L801" t="s">
        <v>631</v>
      </c>
      <c r="M801" t="s">
        <v>572</v>
      </c>
      <c r="N801">
        <v>16.16723549488054</v>
      </c>
      <c r="O801">
        <v>5.86</v>
      </c>
      <c r="P801">
        <v>5.2</v>
      </c>
      <c r="Q801">
        <v>0.8873720136518771</v>
      </c>
      <c r="R801">
        <v>0</v>
      </c>
      <c r="S801">
        <v>0.0220800938152379</v>
      </c>
      <c r="T801" t="s">
        <v>892</v>
      </c>
      <c r="U801">
        <v>-0.230449943912358</v>
      </c>
      <c r="V801" t="s">
        <v>986</v>
      </c>
      <c r="W801" t="s">
        <v>992</v>
      </c>
      <c r="X801">
        <v>2103.336193</v>
      </c>
      <c r="Y801" s="2">
        <v>44906</v>
      </c>
      <c r="Z801" t="s">
        <v>1009</v>
      </c>
    </row>
    <row r="802" spans="1:26">
      <c r="A802" s="1" t="s">
        <v>826</v>
      </c>
      <c r="B802">
        <f>HYPERLINK("https://www.suredividend.com/sure-analysis-BKR/","Baker Hughes Co")</f>
        <v>0</v>
      </c>
      <c r="C802" t="s">
        <v>884</v>
      </c>
      <c r="D802">
        <v>25</v>
      </c>
      <c r="E802">
        <v>29.53</v>
      </c>
      <c r="F802">
        <v>17</v>
      </c>
      <c r="G802">
        <v>1.737058823529412</v>
      </c>
      <c r="H802">
        <v>0.02573653911276668</v>
      </c>
      <c r="I802">
        <v>-0.104558754387291</v>
      </c>
      <c r="J802">
        <v>0.18</v>
      </c>
      <c r="K802">
        <v>0.07650579095014809</v>
      </c>
      <c r="L802" t="s">
        <v>631</v>
      </c>
      <c r="M802" t="s">
        <v>631</v>
      </c>
      <c r="N802">
        <v>29.53</v>
      </c>
      <c r="O802">
        <v>1</v>
      </c>
      <c r="P802">
        <v>0.76</v>
      </c>
      <c r="Q802">
        <v>0.76</v>
      </c>
      <c r="R802">
        <v>1</v>
      </c>
      <c r="S802">
        <v>0</v>
      </c>
      <c r="T802" t="s">
        <v>911</v>
      </c>
      <c r="U802">
        <v>0.265415963181666</v>
      </c>
      <c r="V802" t="s">
        <v>986</v>
      </c>
      <c r="W802" t="s">
        <v>999</v>
      </c>
      <c r="X802">
        <v>29573.336722</v>
      </c>
      <c r="Y802" s="2">
        <v>44853</v>
      </c>
      <c r="Z802" t="s">
        <v>1003</v>
      </c>
    </row>
    <row r="803" spans="1:26">
      <c r="A803" s="1" t="s">
        <v>827</v>
      </c>
      <c r="B803">
        <f>HYPERLINK("https://www.suredividend.com/sure-analysis-FDUS/","Fidus Investment Corp")</f>
        <v>0</v>
      </c>
      <c r="C803" t="s">
        <v>884</v>
      </c>
      <c r="D803">
        <v>20.31</v>
      </c>
      <c r="E803">
        <v>19.03</v>
      </c>
      <c r="F803">
        <v>20.31</v>
      </c>
      <c r="G803">
        <v>0.9369768586903005</v>
      </c>
      <c r="H803">
        <v>0.07566999474513925</v>
      </c>
      <c r="I803">
        <v>0.01310445945247674</v>
      </c>
      <c r="J803">
        <v>0</v>
      </c>
      <c r="K803">
        <v>0.0764908938210298</v>
      </c>
      <c r="L803" t="s">
        <v>631</v>
      </c>
      <c r="M803" t="s">
        <v>573</v>
      </c>
      <c r="N803">
        <v>10.12234042553192</v>
      </c>
      <c r="O803">
        <v>1.88</v>
      </c>
      <c r="P803">
        <v>1.44</v>
      </c>
      <c r="Q803">
        <v>0.7659574468085106</v>
      </c>
      <c r="R803">
        <v>1</v>
      </c>
      <c r="S803">
        <v>0</v>
      </c>
      <c r="T803" t="s">
        <v>889</v>
      </c>
      <c r="U803">
        <v>0.097266348000069</v>
      </c>
      <c r="V803" t="s">
        <v>989</v>
      </c>
      <c r="W803" t="s">
        <v>994</v>
      </c>
      <c r="X803">
        <v>465.043722</v>
      </c>
      <c r="Y803" s="2">
        <v>44875</v>
      </c>
      <c r="Z803" t="s">
        <v>1011</v>
      </c>
    </row>
    <row r="804" spans="1:26">
      <c r="A804" s="1" t="s">
        <v>828</v>
      </c>
      <c r="B804">
        <f>HYPERLINK("https://www.suredividend.com/sure-analysis-AMCR/","Amcor Plc")</f>
        <v>0</v>
      </c>
      <c r="C804" t="s">
        <v>884</v>
      </c>
      <c r="D804">
        <v>12</v>
      </c>
      <c r="E804">
        <v>11.91</v>
      </c>
      <c r="F804">
        <v>12</v>
      </c>
      <c r="G804">
        <v>0.9925</v>
      </c>
      <c r="H804">
        <v>0.04030226700251889</v>
      </c>
      <c r="I804">
        <v>0.001506787349162542</v>
      </c>
      <c r="J804">
        <v>0.04</v>
      </c>
      <c r="K804">
        <v>0.0756218104060018</v>
      </c>
      <c r="L804" t="s">
        <v>631</v>
      </c>
      <c r="M804" t="s">
        <v>572</v>
      </c>
      <c r="N804">
        <v>15.07594936708861</v>
      </c>
      <c r="O804">
        <v>0.79</v>
      </c>
      <c r="P804">
        <v>0.48</v>
      </c>
      <c r="Q804">
        <v>0.6075949367088607</v>
      </c>
      <c r="R804">
        <v>3</v>
      </c>
      <c r="S804">
        <v>0.02001586442069092</v>
      </c>
      <c r="T804" t="s">
        <v>924</v>
      </c>
      <c r="U804">
        <v>0.02582212192727</v>
      </c>
      <c r="V804" t="s">
        <v>986</v>
      </c>
      <c r="W804" t="s">
        <v>990</v>
      </c>
      <c r="X804">
        <v>17734.222912</v>
      </c>
      <c r="Y804" s="2">
        <v>44895</v>
      </c>
      <c r="Z804" t="s">
        <v>1006</v>
      </c>
    </row>
    <row r="805" spans="1:26">
      <c r="A805" s="1" t="s">
        <v>829</v>
      </c>
      <c r="B805">
        <f>HYPERLINK("https://www.suredividend.com/sure-analysis-PRT/","PermRock Royalty Trust")</f>
        <v>0</v>
      </c>
      <c r="C805" t="s">
        <v>884</v>
      </c>
      <c r="D805">
        <v>7.5</v>
      </c>
      <c r="E805">
        <v>7.71</v>
      </c>
      <c r="F805">
        <v>8.67</v>
      </c>
      <c r="G805">
        <v>0.8892733564013841</v>
      </c>
      <c r="H805">
        <v>0.132295719844358</v>
      </c>
      <c r="I805">
        <v>0.02374771136674325</v>
      </c>
      <c r="J805">
        <v>-0.0501</v>
      </c>
      <c r="K805">
        <v>0.0754457395233914</v>
      </c>
      <c r="L805" t="s">
        <v>631</v>
      </c>
      <c r="M805" t="s">
        <v>573</v>
      </c>
      <c r="N805">
        <v>7.558823529411764</v>
      </c>
      <c r="O805">
        <v>1.02</v>
      </c>
      <c r="P805">
        <v>1.02</v>
      </c>
      <c r="Q805">
        <v>1</v>
      </c>
      <c r="R805">
        <v>2</v>
      </c>
      <c r="S805">
        <v>-0.04982109604362661</v>
      </c>
      <c r="T805" t="s">
        <v>905</v>
      </c>
      <c r="U805">
        <v>0.230332237576995</v>
      </c>
      <c r="V805" t="s">
        <v>986</v>
      </c>
      <c r="W805" t="s">
        <v>999</v>
      </c>
      <c r="X805">
        <v>93.797794</v>
      </c>
      <c r="Y805" s="2">
        <v>44901</v>
      </c>
      <c r="Z805" t="s">
        <v>1008</v>
      </c>
    </row>
    <row r="806" spans="1:26">
      <c r="A806" s="1" t="s">
        <v>830</v>
      </c>
      <c r="B806">
        <f>HYPERLINK("https://www.suredividend.com/sure-analysis-APAM/","Artisan Partners Asset Management Inc")</f>
        <v>0</v>
      </c>
      <c r="C806" t="s">
        <v>884</v>
      </c>
      <c r="D806">
        <v>34</v>
      </c>
      <c r="E806">
        <v>29.7</v>
      </c>
      <c r="F806">
        <v>34</v>
      </c>
      <c r="G806">
        <v>0.8735294117647059</v>
      </c>
      <c r="H806">
        <v>0.07542087542087543</v>
      </c>
      <c r="I806">
        <v>0.02741166795059269</v>
      </c>
      <c r="J806">
        <v>-0.02</v>
      </c>
      <c r="K806">
        <v>0.07487958658845595</v>
      </c>
      <c r="L806" t="s">
        <v>631</v>
      </c>
      <c r="M806" t="s">
        <v>573</v>
      </c>
      <c r="N806">
        <v>9.737704918032787</v>
      </c>
      <c r="O806">
        <v>3.05</v>
      </c>
      <c r="P806">
        <v>2.24</v>
      </c>
      <c r="Q806">
        <v>0.7344262295081968</v>
      </c>
      <c r="R806">
        <v>0</v>
      </c>
      <c r="S806">
        <v>0.01974077919609152</v>
      </c>
      <c r="T806" t="s">
        <v>895</v>
      </c>
      <c r="U806">
        <v>-0.323106235855313</v>
      </c>
      <c r="V806" t="s">
        <v>986</v>
      </c>
      <c r="W806" t="s">
        <v>994</v>
      </c>
      <c r="X806">
        <v>2016.958393</v>
      </c>
      <c r="Y806" s="2">
        <v>44898</v>
      </c>
      <c r="Z806" t="s">
        <v>1005</v>
      </c>
    </row>
    <row r="807" spans="1:26">
      <c r="A807" s="1" t="s">
        <v>831</v>
      </c>
      <c r="B807">
        <f>HYPERLINK("https://www.suredividend.com/sure-analysis-FTCO/","Fortitude Gold Corp")</f>
        <v>0</v>
      </c>
      <c r="C807" t="s">
        <v>884</v>
      </c>
      <c r="D807">
        <v>5.55</v>
      </c>
      <c r="E807">
        <v>5.51</v>
      </c>
      <c r="F807">
        <v>5.5</v>
      </c>
      <c r="G807">
        <v>1.001818181818182</v>
      </c>
      <c r="H807">
        <v>0.08711433756805807</v>
      </c>
      <c r="I807">
        <v>-0.0003632401975789401</v>
      </c>
      <c r="J807">
        <v>0</v>
      </c>
      <c r="K807">
        <v>0.07471942472963522</v>
      </c>
      <c r="L807" t="s">
        <v>631</v>
      </c>
      <c r="M807" t="s">
        <v>573</v>
      </c>
      <c r="N807">
        <v>10.01818181818182</v>
      </c>
      <c r="O807">
        <v>0.55</v>
      </c>
      <c r="P807">
        <v>0.48</v>
      </c>
      <c r="Q807">
        <v>0.8727272727272726</v>
      </c>
      <c r="R807">
        <v>1</v>
      </c>
      <c r="S807">
        <v>0</v>
      </c>
      <c r="T807" t="s">
        <v>904</v>
      </c>
      <c r="U807">
        <v>-0.165151515151515</v>
      </c>
      <c r="V807" t="s">
        <v>986</v>
      </c>
      <c r="W807" t="s">
        <v>990</v>
      </c>
      <c r="X807">
        <v>132.375226</v>
      </c>
      <c r="Y807" s="2">
        <v>44871</v>
      </c>
      <c r="Z807" t="s">
        <v>1011</v>
      </c>
    </row>
    <row r="808" spans="1:26">
      <c r="A808" s="1" t="s">
        <v>832</v>
      </c>
      <c r="B808">
        <f>HYPERLINK("https://www.suredividend.com/sure-analysis-WEN/","Wendy`s Co")</f>
        <v>0</v>
      </c>
      <c r="C808" t="s">
        <v>884</v>
      </c>
      <c r="D808">
        <v>21</v>
      </c>
      <c r="E808">
        <v>22.63</v>
      </c>
      <c r="F808">
        <v>22</v>
      </c>
      <c r="G808">
        <v>1.028636363636364</v>
      </c>
      <c r="H808">
        <v>0.02209456473707468</v>
      </c>
      <c r="I808">
        <v>-0.005630888042216342</v>
      </c>
      <c r="J808">
        <v>0.06</v>
      </c>
      <c r="K808">
        <v>0.074621190199055</v>
      </c>
      <c r="L808" t="s">
        <v>631</v>
      </c>
      <c r="M808" t="s">
        <v>631</v>
      </c>
      <c r="N808">
        <v>26.31395348837209</v>
      </c>
      <c r="O808">
        <v>0.86</v>
      </c>
      <c r="P808">
        <v>0.5</v>
      </c>
      <c r="Q808">
        <v>0.5813953488372093</v>
      </c>
      <c r="R808">
        <v>2</v>
      </c>
      <c r="S808">
        <v>0.0602809527753625</v>
      </c>
      <c r="T808" t="s">
        <v>891</v>
      </c>
      <c r="U808">
        <v>-0.03493920927277101</v>
      </c>
      <c r="V808" t="s">
        <v>986</v>
      </c>
      <c r="W808" t="s">
        <v>992</v>
      </c>
      <c r="X808">
        <v>4820.800603</v>
      </c>
      <c r="Y808" s="2">
        <v>44877</v>
      </c>
      <c r="Z808" t="s">
        <v>1008</v>
      </c>
    </row>
    <row r="809" spans="1:26">
      <c r="A809" s="1" t="s">
        <v>833</v>
      </c>
      <c r="B809">
        <f>HYPERLINK("https://www.suredividend.com/sure-analysis-USAC/","USA Compression Partners LP")</f>
        <v>0</v>
      </c>
      <c r="C809" t="s">
        <v>884</v>
      </c>
      <c r="D809">
        <v>18.2</v>
      </c>
      <c r="E809">
        <v>19.53</v>
      </c>
      <c r="F809">
        <v>15.8</v>
      </c>
      <c r="G809">
        <v>1.236075949367089</v>
      </c>
      <c r="H809">
        <v>0.1075268817204301</v>
      </c>
      <c r="I809">
        <v>-0.04150253472564402</v>
      </c>
      <c r="J809">
        <v>0.02</v>
      </c>
      <c r="K809">
        <v>0.07428310951528694</v>
      </c>
      <c r="L809" t="s">
        <v>631</v>
      </c>
      <c r="M809" t="s">
        <v>573</v>
      </c>
      <c r="N809">
        <v>8.68</v>
      </c>
      <c r="O809">
        <v>2.25</v>
      </c>
      <c r="P809">
        <v>2.1</v>
      </c>
      <c r="Q809">
        <v>0.9333333333333333</v>
      </c>
      <c r="R809">
        <v>0</v>
      </c>
      <c r="S809">
        <v>0</v>
      </c>
      <c r="T809" t="s">
        <v>934</v>
      </c>
      <c r="U809">
        <v>0.294732236379788</v>
      </c>
      <c r="V809" t="s">
        <v>988</v>
      </c>
      <c r="W809" t="s">
        <v>999</v>
      </c>
      <c r="X809">
        <v>1913.84483</v>
      </c>
      <c r="Y809" s="2">
        <v>44877</v>
      </c>
      <c r="Z809" t="s">
        <v>1008</v>
      </c>
    </row>
    <row r="810" spans="1:26">
      <c r="A810" s="1" t="s">
        <v>834</v>
      </c>
      <c r="B810">
        <f>HYPERLINK("https://www.suredividend.com/sure-analysis-GOOD/","Gladstone Commercial Corp")</f>
        <v>0</v>
      </c>
      <c r="C810" t="s">
        <v>884</v>
      </c>
      <c r="D810">
        <v>19</v>
      </c>
      <c r="E810">
        <v>18.5</v>
      </c>
      <c r="F810">
        <v>18</v>
      </c>
      <c r="G810">
        <v>1.027777777777778</v>
      </c>
      <c r="H810">
        <v>0.08108108108108109</v>
      </c>
      <c r="I810">
        <v>-0.005464808149047262</v>
      </c>
      <c r="J810">
        <v>0.01</v>
      </c>
      <c r="K810">
        <v>0.07385646543946933</v>
      </c>
      <c r="L810" t="s">
        <v>631</v>
      </c>
      <c r="M810" t="s">
        <v>573</v>
      </c>
      <c r="N810">
        <v>11.5625</v>
      </c>
      <c r="O810">
        <v>1.6</v>
      </c>
      <c r="P810">
        <v>1.5</v>
      </c>
      <c r="Q810">
        <v>0.9375</v>
      </c>
      <c r="R810">
        <v>3</v>
      </c>
      <c r="S810">
        <v>0</v>
      </c>
      <c r="T810" t="s">
        <v>936</v>
      </c>
      <c r="U810">
        <v>-0.222907836869452</v>
      </c>
      <c r="V810" t="s">
        <v>987</v>
      </c>
      <c r="W810" t="s">
        <v>1000</v>
      </c>
      <c r="X810">
        <v>732.7296669999999</v>
      </c>
      <c r="Y810" s="2">
        <v>44885</v>
      </c>
      <c r="Z810" t="s">
        <v>1005</v>
      </c>
    </row>
    <row r="811" spans="1:26">
      <c r="A811" s="1" t="s">
        <v>835</v>
      </c>
      <c r="B811">
        <f>HYPERLINK("https://www.suredividend.com/sure-analysis-LXP/","LXP Industrial Trust")</f>
        <v>0</v>
      </c>
      <c r="C811" t="s">
        <v>884</v>
      </c>
      <c r="D811">
        <v>10</v>
      </c>
      <c r="E811">
        <v>10.02</v>
      </c>
      <c r="F811">
        <v>9</v>
      </c>
      <c r="G811">
        <v>1.113333333333333</v>
      </c>
      <c r="H811">
        <v>0.04790419161676647</v>
      </c>
      <c r="I811">
        <v>-0.02124282768097308</v>
      </c>
      <c r="J811">
        <v>0.055</v>
      </c>
      <c r="K811">
        <v>0.0725573050242394</v>
      </c>
      <c r="L811" t="s">
        <v>631</v>
      </c>
      <c r="M811" t="s">
        <v>572</v>
      </c>
      <c r="N811">
        <v>15.18181818181818</v>
      </c>
      <c r="O811">
        <v>0.66</v>
      </c>
      <c r="P811">
        <v>0.48</v>
      </c>
      <c r="Q811">
        <v>0.7272727272727272</v>
      </c>
      <c r="R811">
        <v>3</v>
      </c>
      <c r="S811">
        <v>0.008197818497166498</v>
      </c>
      <c r="T811" t="s">
        <v>905</v>
      </c>
      <c r="U811">
        <v>-0.330482426834157</v>
      </c>
      <c r="V811" t="s">
        <v>987</v>
      </c>
      <c r="W811" t="s">
        <v>1000</v>
      </c>
      <c r="X811">
        <v>2762.747015</v>
      </c>
      <c r="Y811" s="2">
        <v>44874</v>
      </c>
      <c r="Z811" t="s">
        <v>1008</v>
      </c>
    </row>
    <row r="812" spans="1:26">
      <c r="A812" s="1" t="s">
        <v>836</v>
      </c>
      <c r="B812">
        <f>HYPERLINK("https://www.suredividend.com/sure-analysis-FE/","Firstenergy Corp.")</f>
        <v>0</v>
      </c>
      <c r="C812" t="s">
        <v>884</v>
      </c>
      <c r="D812">
        <v>37</v>
      </c>
      <c r="E812">
        <v>41.94</v>
      </c>
      <c r="F812">
        <v>37</v>
      </c>
      <c r="G812">
        <v>1.133513513513513</v>
      </c>
      <c r="H812">
        <v>0.03719599427753934</v>
      </c>
      <c r="I812">
        <v>-0.02475291791490275</v>
      </c>
      <c r="J812">
        <v>0.065</v>
      </c>
      <c r="K812">
        <v>0.07240262017399579</v>
      </c>
      <c r="L812" t="s">
        <v>631</v>
      </c>
      <c r="M812" t="s">
        <v>572</v>
      </c>
      <c r="N812">
        <v>17.475</v>
      </c>
      <c r="O812">
        <v>2.4</v>
      </c>
      <c r="P812">
        <v>1.56</v>
      </c>
      <c r="Q812">
        <v>0.65</v>
      </c>
      <c r="R812">
        <v>0</v>
      </c>
      <c r="S812">
        <v>0.04022143939343281</v>
      </c>
      <c r="T812" t="s">
        <v>911</v>
      </c>
      <c r="U812">
        <v>0.05369736223924401</v>
      </c>
      <c r="V812" t="s">
        <v>986</v>
      </c>
      <c r="W812" t="s">
        <v>997</v>
      </c>
      <c r="X812">
        <v>23979.328998</v>
      </c>
      <c r="Y812" s="2">
        <v>44862</v>
      </c>
      <c r="Z812" t="s">
        <v>1011</v>
      </c>
    </row>
    <row r="813" spans="1:26">
      <c r="A813" s="1" t="s">
        <v>837</v>
      </c>
      <c r="B813">
        <f>HYPERLINK("https://www.suredividend.com/sure-analysis-VGR/","Vector Group Ltd")</f>
        <v>0</v>
      </c>
      <c r="C813" t="s">
        <v>884</v>
      </c>
      <c r="D813">
        <v>11</v>
      </c>
      <c r="E813">
        <v>11.86</v>
      </c>
      <c r="F813">
        <v>11</v>
      </c>
      <c r="G813">
        <v>1.078181818181818</v>
      </c>
      <c r="H813">
        <v>0.06745362563237775</v>
      </c>
      <c r="I813">
        <v>-0.01494246086851159</v>
      </c>
      <c r="J813">
        <v>0.03</v>
      </c>
      <c r="K813">
        <v>0.07151060048980939</v>
      </c>
      <c r="L813" t="s">
        <v>631</v>
      </c>
      <c r="M813" t="s">
        <v>573</v>
      </c>
      <c r="N813">
        <v>12.89130434782609</v>
      </c>
      <c r="O813">
        <v>0.92</v>
      </c>
      <c r="P813">
        <v>0.8</v>
      </c>
      <c r="Q813">
        <v>0.8695652173913043</v>
      </c>
      <c r="R813">
        <v>0</v>
      </c>
      <c r="S813">
        <v>0</v>
      </c>
      <c r="T813" t="s">
        <v>920</v>
      </c>
      <c r="U813">
        <v>0.132846826882665</v>
      </c>
      <c r="V813" t="s">
        <v>986</v>
      </c>
      <c r="W813" t="s">
        <v>996</v>
      </c>
      <c r="X813">
        <v>1835.879398</v>
      </c>
      <c r="Y813" s="2">
        <v>44890</v>
      </c>
      <c r="Z813" t="s">
        <v>1015</v>
      </c>
    </row>
    <row r="814" spans="1:26">
      <c r="A814" s="1" t="s">
        <v>838</v>
      </c>
      <c r="B814">
        <f>HYPERLINK("https://www.suredividend.com/sure-analysis-PINE/","Alpine Income Property Trust Inc")</f>
        <v>0</v>
      </c>
      <c r="C814" t="s">
        <v>883</v>
      </c>
      <c r="D814">
        <v>17.05</v>
      </c>
      <c r="E814">
        <v>19.08</v>
      </c>
      <c r="F814">
        <v>17.5</v>
      </c>
      <c r="G814">
        <v>1.090285714285714</v>
      </c>
      <c r="H814">
        <v>0.05765199161425578</v>
      </c>
      <c r="I814">
        <v>-0.01713937773206198</v>
      </c>
      <c r="J814">
        <v>0.035</v>
      </c>
      <c r="K814">
        <v>0.07111048691665633</v>
      </c>
      <c r="L814" t="s">
        <v>631</v>
      </c>
      <c r="M814" t="s">
        <v>573</v>
      </c>
      <c r="N814">
        <v>10.90285714285714</v>
      </c>
      <c r="O814">
        <v>1.75</v>
      </c>
      <c r="P814">
        <v>1.1</v>
      </c>
      <c r="Q814">
        <v>0.6285714285714287</v>
      </c>
      <c r="R814">
        <v>4</v>
      </c>
      <c r="S814">
        <v>0.03556108556173765</v>
      </c>
      <c r="T814" t="s">
        <v>948</v>
      </c>
      <c r="U814">
        <v>-0.011731800170927</v>
      </c>
      <c r="V814" t="s">
        <v>987</v>
      </c>
      <c r="W814" t="s">
        <v>1000</v>
      </c>
      <c r="X814">
        <v>227.346519</v>
      </c>
      <c r="Y814" s="2">
        <v>44855</v>
      </c>
      <c r="Z814" t="s">
        <v>1011</v>
      </c>
    </row>
    <row r="815" spans="1:26">
      <c r="A815" s="1" t="s">
        <v>839</v>
      </c>
      <c r="B815">
        <f>HYPERLINK("https://www.suredividend.com/sure-analysis-PVL/","Permianville Royalty Trust")</f>
        <v>0</v>
      </c>
      <c r="C815" t="s">
        <v>884</v>
      </c>
      <c r="D815">
        <v>3.43</v>
      </c>
      <c r="E815">
        <v>3.35</v>
      </c>
      <c r="F815">
        <v>4.2</v>
      </c>
      <c r="G815">
        <v>0.7976190476190476</v>
      </c>
      <c r="H815">
        <v>0.1313432835820895</v>
      </c>
      <c r="I815">
        <v>0.04626307095500715</v>
      </c>
      <c r="J815">
        <v>-0.07000000000000001</v>
      </c>
      <c r="K815">
        <v>0.07069008402697885</v>
      </c>
      <c r="L815" t="s">
        <v>631</v>
      </c>
      <c r="M815" t="s">
        <v>573</v>
      </c>
      <c r="N815">
        <v>7.613636363636364</v>
      </c>
      <c r="O815">
        <v>0.44</v>
      </c>
      <c r="P815">
        <v>0.44</v>
      </c>
      <c r="Q815">
        <v>1</v>
      </c>
      <c r="R815">
        <v>1</v>
      </c>
      <c r="S815">
        <v>-0.0676439281203961</v>
      </c>
      <c r="T815" t="s">
        <v>905</v>
      </c>
      <c r="U815">
        <v>0.8050541516245481</v>
      </c>
      <c r="V815" t="s">
        <v>986</v>
      </c>
      <c r="W815" t="s">
        <v>999</v>
      </c>
      <c r="X815">
        <v>110.55</v>
      </c>
      <c r="Y815" s="2">
        <v>44922</v>
      </c>
      <c r="Z815" t="s">
        <v>1003</v>
      </c>
    </row>
    <row r="816" spans="1:26">
      <c r="A816" s="1" t="s">
        <v>840</v>
      </c>
      <c r="B816">
        <f>HYPERLINK("https://www.suredividend.com/sure-analysis-GLPI/","Gaming and Leisure Properties Inc")</f>
        <v>0</v>
      </c>
      <c r="C816" t="s">
        <v>884</v>
      </c>
      <c r="D816">
        <v>50.4</v>
      </c>
      <c r="E816">
        <v>52.09</v>
      </c>
      <c r="F816">
        <v>49.6</v>
      </c>
      <c r="G816">
        <v>1.050201612903226</v>
      </c>
      <c r="H816">
        <v>0.05413707045498176</v>
      </c>
      <c r="I816">
        <v>-0.009748602880176982</v>
      </c>
      <c r="J816">
        <v>0.031</v>
      </c>
      <c r="K816">
        <v>0.0697435827291879</v>
      </c>
      <c r="L816" t="s">
        <v>631</v>
      </c>
      <c r="M816" t="s">
        <v>572</v>
      </c>
      <c r="N816">
        <v>14.71468926553672</v>
      </c>
      <c r="O816">
        <v>3.54</v>
      </c>
      <c r="P816">
        <v>2.82</v>
      </c>
      <c r="Q816">
        <v>0.7966101694915254</v>
      </c>
      <c r="R816">
        <v>2</v>
      </c>
      <c r="S816">
        <v>0.02496329928051</v>
      </c>
      <c r="T816" t="s">
        <v>920</v>
      </c>
      <c r="U816">
        <v>0.138407540720634</v>
      </c>
      <c r="V816" t="s">
        <v>987</v>
      </c>
      <c r="W816" t="s">
        <v>1000</v>
      </c>
      <c r="X816">
        <v>13307.918977</v>
      </c>
      <c r="Y816" s="2">
        <v>44875</v>
      </c>
      <c r="Z816" t="s">
        <v>1009</v>
      </c>
    </row>
    <row r="817" spans="1:26">
      <c r="A817" s="1" t="s">
        <v>841</v>
      </c>
      <c r="B817">
        <f>HYPERLINK("https://www.suredividend.com/sure-analysis-OXSQ/","Oxford Square Capital Corp")</f>
        <v>0</v>
      </c>
      <c r="C817" t="s">
        <v>885</v>
      </c>
      <c r="D817">
        <v>3.18</v>
      </c>
      <c r="E817">
        <v>3.12</v>
      </c>
      <c r="F817">
        <v>3.2</v>
      </c>
      <c r="G817">
        <v>0.975</v>
      </c>
      <c r="H817">
        <v>0.1346153846153846</v>
      </c>
      <c r="I817">
        <v>0.005076403090295889</v>
      </c>
      <c r="J817">
        <v>-0.04</v>
      </c>
      <c r="K817">
        <v>0.06950515310803618</v>
      </c>
      <c r="L817" t="s">
        <v>631</v>
      </c>
      <c r="M817" t="s">
        <v>573</v>
      </c>
      <c r="N817">
        <v>7.8</v>
      </c>
      <c r="O817">
        <v>0.4</v>
      </c>
      <c r="P817">
        <v>0.42</v>
      </c>
      <c r="Q817">
        <v>1.05</v>
      </c>
      <c r="R817">
        <v>0</v>
      </c>
      <c r="S817">
        <v>-0.05892880441130122</v>
      </c>
      <c r="T817" t="s">
        <v>888</v>
      </c>
      <c r="U817">
        <v>-0.152035657987715</v>
      </c>
      <c r="V817" t="s">
        <v>989</v>
      </c>
      <c r="W817" t="s">
        <v>994</v>
      </c>
      <c r="X817">
        <v>155.42553</v>
      </c>
      <c r="Y817" s="2">
        <v>44877</v>
      </c>
      <c r="Z817" t="s">
        <v>1011</v>
      </c>
    </row>
    <row r="818" spans="1:26">
      <c r="A818" s="1" t="s">
        <v>842</v>
      </c>
      <c r="B818">
        <f>HYPERLINK("https://www.suredividend.com/sure-analysis-EIFZF/","Exchange Income Corp")</f>
        <v>0</v>
      </c>
      <c r="C818" t="s">
        <v>884</v>
      </c>
      <c r="D818">
        <v>35</v>
      </c>
      <c r="E818">
        <v>36.4786</v>
      </c>
      <c r="F818">
        <v>35</v>
      </c>
      <c r="G818">
        <v>1.042245714285714</v>
      </c>
      <c r="H818">
        <v>0.05208533222217958</v>
      </c>
      <c r="I818">
        <v>-0.008241397096501513</v>
      </c>
      <c r="J818">
        <v>0.03</v>
      </c>
      <c r="K818">
        <v>0.06791502818080808</v>
      </c>
      <c r="L818" t="s">
        <v>631</v>
      </c>
      <c r="M818" t="s">
        <v>572</v>
      </c>
      <c r="N818">
        <v>16.58118181818182</v>
      </c>
      <c r="O818">
        <v>2.2</v>
      </c>
      <c r="P818">
        <v>1.9</v>
      </c>
      <c r="Q818">
        <v>0.8636363636363635</v>
      </c>
      <c r="R818">
        <v>1</v>
      </c>
      <c r="S818">
        <v>0.02021836907521157</v>
      </c>
      <c r="T818" t="s">
        <v>905</v>
      </c>
      <c r="U818">
        <v>0.08975921610802401</v>
      </c>
      <c r="V818" t="s">
        <v>986</v>
      </c>
      <c r="W818" t="s">
        <v>991</v>
      </c>
      <c r="X818">
        <v>1546.837715</v>
      </c>
      <c r="Y818" s="2">
        <v>44880</v>
      </c>
      <c r="Z818" t="s">
        <v>1011</v>
      </c>
    </row>
    <row r="819" spans="1:26">
      <c r="A819" s="1" t="s">
        <v>843</v>
      </c>
      <c r="B819">
        <f>HYPERLINK("https://www.suredividend.com/sure-analysis-WELL/","Welltower Inc.")</f>
        <v>0</v>
      </c>
      <c r="C819" t="s">
        <v>884</v>
      </c>
      <c r="D819">
        <v>70</v>
      </c>
      <c r="E819">
        <v>65.55</v>
      </c>
      <c r="F819">
        <v>54</v>
      </c>
      <c r="G819">
        <v>1.213888888888889</v>
      </c>
      <c r="H819">
        <v>0.0372234935163997</v>
      </c>
      <c r="I819">
        <v>-0.03802405394424679</v>
      </c>
      <c r="J819">
        <v>0.07000000000000001</v>
      </c>
      <c r="K819">
        <v>0.06721192723061442</v>
      </c>
      <c r="L819" t="s">
        <v>631</v>
      </c>
      <c r="M819" t="s">
        <v>572</v>
      </c>
      <c r="N819">
        <v>19.56716417910448</v>
      </c>
      <c r="O819">
        <v>3.35</v>
      </c>
      <c r="P819">
        <v>2.44</v>
      </c>
      <c r="Q819">
        <v>0.7283582089552239</v>
      </c>
      <c r="R819">
        <v>0</v>
      </c>
      <c r="S819">
        <v>0.06986075271311409</v>
      </c>
      <c r="T819" t="s">
        <v>894</v>
      </c>
      <c r="U819">
        <v>-0.312816728064124</v>
      </c>
      <c r="V819" t="s">
        <v>987</v>
      </c>
      <c r="W819" t="s">
        <v>1000</v>
      </c>
      <c r="X819">
        <v>30973.780785</v>
      </c>
      <c r="Y819" s="2">
        <v>44877</v>
      </c>
      <c r="Z819" t="s">
        <v>1014</v>
      </c>
    </row>
    <row r="820" spans="1:26">
      <c r="A820" s="1" t="s">
        <v>844</v>
      </c>
      <c r="B820">
        <f>HYPERLINK("https://www.suredividend.com/sure-analysis-EVA/","Enviva Inc")</f>
        <v>0</v>
      </c>
      <c r="C820" t="s">
        <v>884</v>
      </c>
      <c r="D820">
        <v>60</v>
      </c>
      <c r="E820">
        <v>52.97</v>
      </c>
      <c r="F820">
        <v>40</v>
      </c>
      <c r="G820">
        <v>1.32425</v>
      </c>
      <c r="H820">
        <v>0.06834057013403814</v>
      </c>
      <c r="I820">
        <v>-0.05462088522986686</v>
      </c>
      <c r="J820">
        <v>0.055</v>
      </c>
      <c r="K820">
        <v>0.06706826196958438</v>
      </c>
      <c r="L820" t="s">
        <v>631</v>
      </c>
      <c r="M820" t="s">
        <v>572</v>
      </c>
      <c r="N820">
        <v>19.69144981412639</v>
      </c>
      <c r="O820">
        <v>2.69</v>
      </c>
      <c r="P820">
        <v>3.62</v>
      </c>
      <c r="Q820">
        <v>1.345724907063197</v>
      </c>
      <c r="R820">
        <v>6</v>
      </c>
      <c r="S820">
        <v>0.0499936702849284</v>
      </c>
      <c r="T820" t="s">
        <v>914</v>
      </c>
      <c r="U820">
        <v>-0.229653889615234</v>
      </c>
      <c r="V820" t="s">
        <v>986</v>
      </c>
      <c r="W820" t="s">
        <v>990</v>
      </c>
      <c r="X820">
        <v>3538.630551</v>
      </c>
      <c r="Y820" s="2">
        <v>44874</v>
      </c>
      <c r="Z820" t="s">
        <v>1008</v>
      </c>
    </row>
    <row r="821" spans="1:26">
      <c r="A821" s="1" t="s">
        <v>845</v>
      </c>
      <c r="B821">
        <f>HYPERLINK("https://www.suredividend.com/sure-analysis-DRI/","Darden Restaurants, Inc.")</f>
        <v>0</v>
      </c>
      <c r="C821" t="s">
        <v>884</v>
      </c>
      <c r="D821">
        <v>122</v>
      </c>
      <c r="E821">
        <v>138.33</v>
      </c>
      <c r="F821">
        <v>131</v>
      </c>
      <c r="G821">
        <v>1.055954198473283</v>
      </c>
      <c r="H821">
        <v>0.03498879491072074</v>
      </c>
      <c r="I821">
        <v>-0.01082989218535613</v>
      </c>
      <c r="J821">
        <v>0.04</v>
      </c>
      <c r="K821">
        <v>0.06558279380635579</v>
      </c>
      <c r="L821" t="s">
        <v>631</v>
      </c>
      <c r="M821" t="s">
        <v>572</v>
      </c>
      <c r="N821">
        <v>17.96493506493507</v>
      </c>
      <c r="O821">
        <v>7.7</v>
      </c>
      <c r="P821">
        <v>4.84</v>
      </c>
      <c r="Q821">
        <v>0.6285714285714286</v>
      </c>
      <c r="R821">
        <v>2</v>
      </c>
      <c r="S821">
        <v>0.07995298158320563</v>
      </c>
      <c r="T821" t="s">
        <v>903</v>
      </c>
      <c r="U821">
        <v>-0.04005096411277</v>
      </c>
      <c r="V821" t="s">
        <v>986</v>
      </c>
      <c r="W821" t="s">
        <v>992</v>
      </c>
      <c r="X821">
        <v>16929.801871</v>
      </c>
      <c r="Y821" s="2">
        <v>44828</v>
      </c>
      <c r="Z821" t="s">
        <v>1006</v>
      </c>
    </row>
    <row r="822" spans="1:26">
      <c r="A822" s="1" t="s">
        <v>846</v>
      </c>
      <c r="B822">
        <f>HYPERLINK("https://www.suredividend.com/sure-analysis-NHC/","National Healthcare Corp.")</f>
        <v>0</v>
      </c>
      <c r="C822" t="s">
        <v>884</v>
      </c>
      <c r="D822">
        <v>59</v>
      </c>
      <c r="E822">
        <v>59.5</v>
      </c>
      <c r="F822">
        <v>47</v>
      </c>
      <c r="G822">
        <v>1.265957446808511</v>
      </c>
      <c r="H822">
        <v>0.03831932773109244</v>
      </c>
      <c r="I822">
        <v>-0.04607072181976912</v>
      </c>
      <c r="J822">
        <v>0.08</v>
      </c>
      <c r="K822">
        <v>0.06499257965312566</v>
      </c>
      <c r="L822" t="s">
        <v>631</v>
      </c>
      <c r="M822" t="s">
        <v>572</v>
      </c>
      <c r="N822">
        <v>23.99193548387097</v>
      </c>
      <c r="O822">
        <v>2.48</v>
      </c>
      <c r="P822">
        <v>2.28</v>
      </c>
      <c r="Q822">
        <v>0.9193548387096774</v>
      </c>
      <c r="R822">
        <v>1</v>
      </c>
      <c r="S822">
        <v>0.02975477857041309</v>
      </c>
      <c r="T822" t="s">
        <v>905</v>
      </c>
      <c r="U822">
        <v>-0.093257339662752</v>
      </c>
      <c r="V822" t="s">
        <v>987</v>
      </c>
      <c r="W822" t="s">
        <v>1000</v>
      </c>
      <c r="X822">
        <v>912.9741289999999</v>
      </c>
      <c r="Y822" s="2">
        <v>44912</v>
      </c>
      <c r="Z822" t="s">
        <v>1017</v>
      </c>
    </row>
    <row r="823" spans="1:26">
      <c r="A823" s="1" t="s">
        <v>847</v>
      </c>
      <c r="B823">
        <f>HYPERLINK("https://www.suredividend.com/sure-analysis-HGTXU/","Hugoton Royalty Trust")</f>
        <v>0</v>
      </c>
      <c r="C823" t="s">
        <v>885</v>
      </c>
      <c r="D823">
        <v>2.1</v>
      </c>
      <c r="E823">
        <v>1.92</v>
      </c>
      <c r="F823">
        <v>2.63</v>
      </c>
      <c r="G823">
        <v>0.7300380228136882</v>
      </c>
      <c r="H823">
        <v>0.1822916666666667</v>
      </c>
      <c r="I823">
        <v>0.06495413449272269</v>
      </c>
      <c r="J823">
        <v>-0.12</v>
      </c>
      <c r="K823">
        <v>0.06112522102052376</v>
      </c>
      <c r="L823" t="s">
        <v>631</v>
      </c>
      <c r="M823" t="s">
        <v>573</v>
      </c>
      <c r="N823">
        <v>5.485714285714286</v>
      </c>
      <c r="O823">
        <v>0.35</v>
      </c>
      <c r="P823">
        <v>0.35</v>
      </c>
      <c r="Q823">
        <v>1</v>
      </c>
      <c r="R823">
        <v>1</v>
      </c>
      <c r="S823">
        <v>-0.1245307588060133</v>
      </c>
      <c r="T823" t="s">
        <v>905</v>
      </c>
      <c r="U823">
        <v>9.339256865912764</v>
      </c>
      <c r="V823" t="s">
        <v>986</v>
      </c>
      <c r="W823" t="s">
        <v>999</v>
      </c>
      <c r="X823">
        <v>76.8</v>
      </c>
      <c r="Y823" s="2">
        <v>44923</v>
      </c>
      <c r="Z823" t="s">
        <v>1003</v>
      </c>
    </row>
    <row r="824" spans="1:26">
      <c r="A824" s="1" t="s">
        <v>848</v>
      </c>
      <c r="B824">
        <f>HYPERLINK("https://www.suredividend.com/sure-analysis-ORC/","Orchid Island Capital Inc")</f>
        <v>0</v>
      </c>
      <c r="C824" t="s">
        <v>884</v>
      </c>
      <c r="D824">
        <v>10.3</v>
      </c>
      <c r="E824">
        <v>10.5</v>
      </c>
      <c r="F824">
        <v>10.6</v>
      </c>
      <c r="G824">
        <v>0.9905660377358491</v>
      </c>
      <c r="H824">
        <v>0.1828571428571429</v>
      </c>
      <c r="I824">
        <v>0.001897546858696586</v>
      </c>
      <c r="J824">
        <v>-0.08599999999999999</v>
      </c>
      <c r="K824">
        <v>0.06022906971012687</v>
      </c>
      <c r="L824" t="s">
        <v>631</v>
      </c>
      <c r="M824" t="s">
        <v>887</v>
      </c>
      <c r="N824">
        <v>4.772727272727272</v>
      </c>
      <c r="O824">
        <v>2.2</v>
      </c>
      <c r="P824">
        <v>1.92</v>
      </c>
      <c r="Q824">
        <v>0.8727272727272726</v>
      </c>
      <c r="R824">
        <v>0</v>
      </c>
      <c r="S824">
        <v>-0.08971789848695988</v>
      </c>
      <c r="T824" t="s">
        <v>905</v>
      </c>
      <c r="U824">
        <v>-0.428984734858578</v>
      </c>
      <c r="V824" t="s">
        <v>987</v>
      </c>
      <c r="W824" t="s">
        <v>1000</v>
      </c>
      <c r="X824">
        <v>391.726178</v>
      </c>
      <c r="Y824" s="2">
        <v>44881</v>
      </c>
      <c r="Z824" t="s">
        <v>1009</v>
      </c>
    </row>
    <row r="825" spans="1:26">
      <c r="A825" s="1" t="s">
        <v>849</v>
      </c>
      <c r="B825">
        <f>HYPERLINK("https://www.suredividend.com/sure-analysis-TEF/","Telefonica S.A")</f>
        <v>0</v>
      </c>
      <c r="C825" t="s">
        <v>884</v>
      </c>
      <c r="D825">
        <v>3.6</v>
      </c>
      <c r="E825">
        <v>3.57</v>
      </c>
      <c r="F825">
        <v>2.9</v>
      </c>
      <c r="G825">
        <v>1.231034482758621</v>
      </c>
      <c r="H825">
        <v>0.08683473389355742</v>
      </c>
      <c r="I825">
        <v>-0.04071874895308303</v>
      </c>
      <c r="J825">
        <v>0.02</v>
      </c>
      <c r="K825">
        <v>0.0588601765835699</v>
      </c>
      <c r="L825" t="s">
        <v>631</v>
      </c>
      <c r="M825" t="s">
        <v>573</v>
      </c>
      <c r="N825">
        <v>11.15625</v>
      </c>
      <c r="O825">
        <v>0.32</v>
      </c>
      <c r="P825">
        <v>0.31</v>
      </c>
      <c r="Q825">
        <v>0.96875</v>
      </c>
      <c r="R825">
        <v>0</v>
      </c>
      <c r="S825">
        <v>0</v>
      </c>
      <c r="T825" t="s">
        <v>955</v>
      </c>
      <c r="U825">
        <v>-0.09993949173053601</v>
      </c>
      <c r="V825" t="s">
        <v>986</v>
      </c>
      <c r="W825" t="s">
        <v>995</v>
      </c>
      <c r="X825">
        <v>20617.598068</v>
      </c>
      <c r="Y825" s="2">
        <v>44908</v>
      </c>
      <c r="Z825" t="s">
        <v>1007</v>
      </c>
    </row>
    <row r="826" spans="1:26">
      <c r="A826" s="1" t="s">
        <v>850</v>
      </c>
      <c r="B826">
        <f>HYPERLINK("https://www.suredividend.com/sure-analysis-IDEXY/","Industria De Diseno Textil SA")</f>
        <v>0</v>
      </c>
      <c r="C826" t="s">
        <v>884</v>
      </c>
      <c r="D826">
        <v>13</v>
      </c>
      <c r="E826">
        <v>13.335</v>
      </c>
      <c r="F826">
        <v>12.6</v>
      </c>
      <c r="G826">
        <v>1.058333333333333</v>
      </c>
      <c r="H826">
        <v>0.0412448443944507</v>
      </c>
      <c r="I826">
        <v>-0.0112750237939786</v>
      </c>
      <c r="J826">
        <v>0.03</v>
      </c>
      <c r="K826">
        <v>0.05732737484064909</v>
      </c>
      <c r="L826" t="s">
        <v>631</v>
      </c>
      <c r="M826" t="s">
        <v>572</v>
      </c>
      <c r="N826">
        <v>19.05</v>
      </c>
      <c r="O826">
        <v>0.7</v>
      </c>
      <c r="P826">
        <v>0.55</v>
      </c>
      <c r="Q826">
        <v>0.7857142857142858</v>
      </c>
      <c r="R826">
        <v>1</v>
      </c>
      <c r="S826">
        <v>0.03077400337593272</v>
      </c>
      <c r="T826" t="s">
        <v>932</v>
      </c>
      <c r="U826">
        <v>-0.169417626907505</v>
      </c>
      <c r="V826" t="s">
        <v>986</v>
      </c>
      <c r="W826" t="s">
        <v>992</v>
      </c>
      <c r="X826">
        <v>83121.10884</v>
      </c>
      <c r="Y826" s="2">
        <v>44916</v>
      </c>
      <c r="Z826" t="s">
        <v>1011</v>
      </c>
    </row>
    <row r="827" spans="1:26">
      <c r="A827" s="1" t="s">
        <v>851</v>
      </c>
      <c r="B827">
        <f>HYPERLINK("https://www.suredividend.com/sure-analysis-RIO/","Rio Tinto plc")</f>
        <v>0</v>
      </c>
      <c r="C827" t="s">
        <v>884</v>
      </c>
      <c r="D827">
        <v>64</v>
      </c>
      <c r="E827">
        <v>71.2</v>
      </c>
      <c r="F827">
        <v>68</v>
      </c>
      <c r="G827">
        <v>1.047058823529412</v>
      </c>
      <c r="H827">
        <v>0.09606741573033707</v>
      </c>
      <c r="I827">
        <v>-0.00915485939337668</v>
      </c>
      <c r="J827">
        <v>0</v>
      </c>
      <c r="K827">
        <v>0.05567177294933345</v>
      </c>
      <c r="L827" t="s">
        <v>631</v>
      </c>
      <c r="M827" t="s">
        <v>573</v>
      </c>
      <c r="N827">
        <v>9.493333333333334</v>
      </c>
      <c r="O827">
        <v>7.5</v>
      </c>
      <c r="P827">
        <v>6.84</v>
      </c>
      <c r="Q827">
        <v>0.912</v>
      </c>
      <c r="R827">
        <v>0</v>
      </c>
      <c r="S827">
        <v>-0.09817802796017316</v>
      </c>
      <c r="T827" t="s">
        <v>981</v>
      </c>
      <c r="U827">
        <v>0.123533449579069</v>
      </c>
      <c r="V827" t="s">
        <v>986</v>
      </c>
      <c r="W827" t="s">
        <v>990</v>
      </c>
      <c r="X827">
        <v>88966.271207</v>
      </c>
      <c r="Y827" s="2">
        <v>44888</v>
      </c>
      <c r="Z827" t="s">
        <v>1003</v>
      </c>
    </row>
    <row r="828" spans="1:26">
      <c r="A828" s="1" t="s">
        <v>852</v>
      </c>
      <c r="B828">
        <f>HYPERLINK("https://www.suredividend.com/sure-analysis-LAMR/","Lamar Advertising Co")</f>
        <v>0</v>
      </c>
      <c r="C828" t="s">
        <v>884</v>
      </c>
      <c r="D828">
        <v>96.40000000000001</v>
      </c>
      <c r="E828">
        <v>94.40000000000001</v>
      </c>
      <c r="F828">
        <v>88.2</v>
      </c>
      <c r="G828">
        <v>1.070294784580499</v>
      </c>
      <c r="H828">
        <v>0.05084745762711864</v>
      </c>
      <c r="I828">
        <v>-0.01349493777042476</v>
      </c>
      <c r="J828">
        <v>0.018</v>
      </c>
      <c r="K828">
        <v>0.05197120759896134</v>
      </c>
      <c r="L828" t="s">
        <v>631</v>
      </c>
      <c r="M828" t="s">
        <v>572</v>
      </c>
      <c r="N828">
        <v>12.84353741496599</v>
      </c>
      <c r="O828">
        <v>7.35</v>
      </c>
      <c r="P828">
        <v>4.8</v>
      </c>
      <c r="Q828">
        <v>0.653061224489796</v>
      </c>
      <c r="R828">
        <v>2</v>
      </c>
      <c r="S828">
        <v>0.01613736474159566</v>
      </c>
      <c r="T828" t="s">
        <v>904</v>
      </c>
      <c r="U828">
        <v>-0.189924862098437</v>
      </c>
      <c r="V828" t="s">
        <v>987</v>
      </c>
      <c r="W828" t="s">
        <v>1000</v>
      </c>
      <c r="X828">
        <v>8237.663543999999</v>
      </c>
      <c r="Y828" s="2">
        <v>44893</v>
      </c>
      <c r="Z828" t="s">
        <v>1009</v>
      </c>
    </row>
    <row r="829" spans="1:26">
      <c r="A829" s="1" t="s">
        <v>853</v>
      </c>
      <c r="B829">
        <f>HYPERLINK("https://www.suredividend.com/sure-analysis-CQP/","Cheniere Energy Partners LP")</f>
        <v>0</v>
      </c>
      <c r="C829" t="s">
        <v>884</v>
      </c>
      <c r="D829">
        <v>55</v>
      </c>
      <c r="E829">
        <v>56.87</v>
      </c>
      <c r="F829">
        <v>64</v>
      </c>
      <c r="G829">
        <v>0.88859375</v>
      </c>
      <c r="H829">
        <v>0.07385264638649552</v>
      </c>
      <c r="I829">
        <v>0.02390425821396169</v>
      </c>
      <c r="J829">
        <v>-0.03</v>
      </c>
      <c r="K829">
        <v>0.0512397672701741</v>
      </c>
      <c r="L829" t="s">
        <v>631</v>
      </c>
      <c r="M829" t="s">
        <v>573</v>
      </c>
      <c r="N829">
        <v>13.54047619047619</v>
      </c>
      <c r="O829">
        <v>4.2</v>
      </c>
      <c r="P829">
        <v>4.2</v>
      </c>
      <c r="Q829">
        <v>1</v>
      </c>
      <c r="R829">
        <v>6</v>
      </c>
      <c r="S829">
        <v>-0.0499929808059546</v>
      </c>
      <c r="T829" t="s">
        <v>893</v>
      </c>
      <c r="U829">
        <v>0.415215243612618</v>
      </c>
      <c r="V829" t="s">
        <v>988</v>
      </c>
      <c r="W829" t="s">
        <v>999</v>
      </c>
      <c r="X829">
        <v>27526.8784</v>
      </c>
      <c r="Y829" s="2">
        <v>44885</v>
      </c>
      <c r="Z829" t="s">
        <v>1003</v>
      </c>
    </row>
    <row r="830" spans="1:26">
      <c r="A830" s="1" t="s">
        <v>854</v>
      </c>
      <c r="B830">
        <f>HYPERLINK("https://www.suredividend.com/sure-analysis-ING/","ING Groep N.V.")</f>
        <v>0</v>
      </c>
      <c r="C830" t="s">
        <v>884</v>
      </c>
      <c r="D830">
        <v>11.05</v>
      </c>
      <c r="E830">
        <v>12.17</v>
      </c>
      <c r="F830">
        <v>11</v>
      </c>
      <c r="G830">
        <v>1.106363636363636</v>
      </c>
      <c r="H830">
        <v>0.05423171733771569</v>
      </c>
      <c r="I830">
        <v>-0.02001275904918121</v>
      </c>
      <c r="J830">
        <v>0.01</v>
      </c>
      <c r="K830">
        <v>0.04201381298280404</v>
      </c>
      <c r="L830" t="s">
        <v>631</v>
      </c>
      <c r="M830" t="s">
        <v>573</v>
      </c>
      <c r="N830">
        <v>12.17</v>
      </c>
      <c r="O830">
        <v>1</v>
      </c>
      <c r="P830">
        <v>0.66</v>
      </c>
      <c r="Q830">
        <v>0.66</v>
      </c>
      <c r="R830">
        <v>0</v>
      </c>
      <c r="S830">
        <v>0.008929989071996269</v>
      </c>
      <c r="T830" t="s">
        <v>973</v>
      </c>
      <c r="U830">
        <v>-0.04158135139392</v>
      </c>
      <c r="V830" t="s">
        <v>986</v>
      </c>
      <c r="W830" t="s">
        <v>994</v>
      </c>
      <c r="X830">
        <v>45351.949363</v>
      </c>
      <c r="Y830" s="2">
        <v>44873</v>
      </c>
      <c r="Z830" t="s">
        <v>1011</v>
      </c>
    </row>
    <row r="831" spans="1:26">
      <c r="A831" s="1" t="s">
        <v>855</v>
      </c>
      <c r="B831">
        <f>HYPERLINK("https://www.suredividend.com/sure-analysis-GIPR/","Generation Income Properties Inc")</f>
        <v>0</v>
      </c>
      <c r="C831" t="s">
        <v>885</v>
      </c>
      <c r="D831">
        <v>5.07</v>
      </c>
      <c r="E831">
        <v>4.84</v>
      </c>
      <c r="F831">
        <v>4.2</v>
      </c>
      <c r="G831">
        <v>1.152380952380952</v>
      </c>
      <c r="H831">
        <v>0.09710743801652892</v>
      </c>
      <c r="I831">
        <v>-0.02796750021497429</v>
      </c>
      <c r="J831">
        <v>0</v>
      </c>
      <c r="K831">
        <v>0.04183796714484767</v>
      </c>
      <c r="L831" t="s">
        <v>631</v>
      </c>
      <c r="M831" t="s">
        <v>573</v>
      </c>
      <c r="N831">
        <v>16.13333333333333</v>
      </c>
      <c r="O831">
        <v>0.3</v>
      </c>
      <c r="P831">
        <v>0.47</v>
      </c>
      <c r="Q831">
        <v>1.566666666666667</v>
      </c>
      <c r="R831">
        <v>1</v>
      </c>
      <c r="S831">
        <v>-0.09840387872029777</v>
      </c>
      <c r="T831" t="s">
        <v>901</v>
      </c>
      <c r="U831">
        <v>-0.119038951583545</v>
      </c>
      <c r="V831" t="s">
        <v>987</v>
      </c>
      <c r="W831" t="s">
        <v>1000</v>
      </c>
      <c r="X831">
        <v>12.083012</v>
      </c>
      <c r="Y831" s="2">
        <v>44884</v>
      </c>
      <c r="Z831" t="s">
        <v>1011</v>
      </c>
    </row>
    <row r="832" spans="1:26">
      <c r="A832" s="1" t="s">
        <v>856</v>
      </c>
      <c r="B832">
        <f>HYPERLINK("https://www.suredividend.com/sure-analysis-PETS/","Petmed Express, Inc.")</f>
        <v>0</v>
      </c>
      <c r="C832" t="s">
        <v>885</v>
      </c>
      <c r="D832">
        <v>20</v>
      </c>
      <c r="E832">
        <v>17.7</v>
      </c>
      <c r="F832">
        <v>12</v>
      </c>
      <c r="G832">
        <v>1.475</v>
      </c>
      <c r="H832">
        <v>0.06779661016949153</v>
      </c>
      <c r="I832">
        <v>-0.07478727779588845</v>
      </c>
      <c r="J832">
        <v>0.05</v>
      </c>
      <c r="K832">
        <v>0.04131075487935187</v>
      </c>
      <c r="L832" t="s">
        <v>631</v>
      </c>
      <c r="M832" t="s">
        <v>572</v>
      </c>
      <c r="N832">
        <v>22.98701298701299</v>
      </c>
      <c r="O832">
        <v>0.77</v>
      </c>
      <c r="P832">
        <v>1.2</v>
      </c>
      <c r="Q832">
        <v>1.558441558441558</v>
      </c>
      <c r="R832">
        <v>13</v>
      </c>
      <c r="S832">
        <v>0.01924487649145656</v>
      </c>
      <c r="T832" t="s">
        <v>894</v>
      </c>
      <c r="U832">
        <v>-0.279133983334555</v>
      </c>
      <c r="V832" t="s">
        <v>986</v>
      </c>
      <c r="W832" t="s">
        <v>998</v>
      </c>
      <c r="X832">
        <v>373.039483</v>
      </c>
      <c r="Y832" s="2">
        <v>44888</v>
      </c>
      <c r="Z832" t="s">
        <v>1006</v>
      </c>
    </row>
    <row r="833" spans="1:26">
      <c r="A833" s="1" t="s">
        <v>857</v>
      </c>
      <c r="B833">
        <f>HYPERLINK("https://www.suredividend.com/sure-analysis-BHP/","BHP Group Limited")</f>
        <v>0</v>
      </c>
      <c r="C833" t="s">
        <v>884</v>
      </c>
      <c r="D833">
        <v>57</v>
      </c>
      <c r="E833">
        <v>62.05</v>
      </c>
      <c r="F833">
        <v>71</v>
      </c>
      <c r="G833">
        <v>0.8739436619718309</v>
      </c>
      <c r="H833">
        <v>0.06446414182111201</v>
      </c>
      <c r="I833">
        <v>0.02731425063807902</v>
      </c>
      <c r="J833">
        <v>-0.04</v>
      </c>
      <c r="K833">
        <v>0.03979825285265282</v>
      </c>
      <c r="L833" t="s">
        <v>631</v>
      </c>
      <c r="M833" t="s">
        <v>573</v>
      </c>
      <c r="N833">
        <v>12.16666666666667</v>
      </c>
      <c r="O833">
        <v>5.1</v>
      </c>
      <c r="P833">
        <v>4</v>
      </c>
      <c r="Q833">
        <v>0.7843137254901962</v>
      </c>
      <c r="R833">
        <v>1</v>
      </c>
      <c r="S833">
        <v>-0.043647500209963</v>
      </c>
      <c r="T833" t="s">
        <v>985</v>
      </c>
      <c r="U833">
        <v>0.150008988789033</v>
      </c>
      <c r="V833" t="s">
        <v>986</v>
      </c>
      <c r="W833" t="s">
        <v>990</v>
      </c>
      <c r="X833">
        <v>157167.08275</v>
      </c>
      <c r="Y833" s="2">
        <v>44888</v>
      </c>
      <c r="Z833" t="s">
        <v>1003</v>
      </c>
    </row>
    <row r="834" spans="1:26">
      <c r="A834" s="1" t="s">
        <v>858</v>
      </c>
      <c r="B834">
        <f>HYPERLINK("https://www.suredividend.com/sure-analysis-SCCO/","Southern Copper Corporation")</f>
        <v>0</v>
      </c>
      <c r="C834" t="s">
        <v>884</v>
      </c>
      <c r="D834">
        <v>60</v>
      </c>
      <c r="E834">
        <v>60.39</v>
      </c>
      <c r="F834">
        <v>55</v>
      </c>
      <c r="G834">
        <v>1.098</v>
      </c>
      <c r="H834">
        <v>0.03311806590495115</v>
      </c>
      <c r="I834">
        <v>-0.01852434418792737</v>
      </c>
      <c r="J834">
        <v>0.025</v>
      </c>
      <c r="K834">
        <v>0.0382257400743049</v>
      </c>
      <c r="L834" t="s">
        <v>631</v>
      </c>
      <c r="M834" t="s">
        <v>572</v>
      </c>
      <c r="N834">
        <v>19.93069306930693</v>
      </c>
      <c r="O834">
        <v>3.03</v>
      </c>
      <c r="P834">
        <v>2</v>
      </c>
      <c r="Q834">
        <v>0.6600660066006601</v>
      </c>
      <c r="R834">
        <v>0</v>
      </c>
      <c r="S834">
        <v>0.02016978262061087</v>
      </c>
      <c r="T834" t="s">
        <v>930</v>
      </c>
      <c r="U834">
        <v>0.05066834615859701</v>
      </c>
      <c r="V834" t="s">
        <v>986</v>
      </c>
      <c r="W834" t="s">
        <v>990</v>
      </c>
      <c r="X834">
        <v>46687.416543</v>
      </c>
      <c r="Y834" s="2">
        <v>44889</v>
      </c>
      <c r="Z834" t="s">
        <v>1008</v>
      </c>
    </row>
    <row r="835" spans="1:26">
      <c r="A835" s="1" t="s">
        <v>859</v>
      </c>
      <c r="B835">
        <f>HYPERLINK("https://www.suredividend.com/sure-analysis-PBA/","Pembina Pipeline Corporation")</f>
        <v>0</v>
      </c>
      <c r="C835" t="s">
        <v>885</v>
      </c>
      <c r="D835">
        <v>35</v>
      </c>
      <c r="E835">
        <v>33.95</v>
      </c>
      <c r="F835">
        <v>31</v>
      </c>
      <c r="G835">
        <v>1.095161290322581</v>
      </c>
      <c r="H835">
        <v>0.05773195876288659</v>
      </c>
      <c r="I835">
        <v>-0.01801606467786465</v>
      </c>
      <c r="J835">
        <v>0</v>
      </c>
      <c r="K835">
        <v>0.0380505028324758</v>
      </c>
      <c r="L835" t="s">
        <v>631</v>
      </c>
      <c r="M835" t="s">
        <v>573</v>
      </c>
      <c r="N835">
        <v>13.05769230769231</v>
      </c>
      <c r="O835">
        <v>2.6</v>
      </c>
      <c r="P835">
        <v>1.96</v>
      </c>
      <c r="Q835">
        <v>0.7538461538461538</v>
      </c>
      <c r="R835">
        <v>5</v>
      </c>
      <c r="S835">
        <v>0.004048715456574481</v>
      </c>
      <c r="T835" t="s">
        <v>901</v>
      </c>
      <c r="U835">
        <v>0.193485222930384</v>
      </c>
      <c r="V835" t="s">
        <v>986</v>
      </c>
      <c r="W835" t="s">
        <v>999</v>
      </c>
      <c r="X835">
        <v>18725.600822</v>
      </c>
      <c r="Y835" s="2">
        <v>44882</v>
      </c>
      <c r="Z835" t="s">
        <v>1003</v>
      </c>
    </row>
    <row r="836" spans="1:26">
      <c r="A836" s="1" t="s">
        <v>860</v>
      </c>
      <c r="B836">
        <f>HYPERLINK("https://www.suredividend.com/sure-analysis-IRM/","Iron Mountain Inc.")</f>
        <v>0</v>
      </c>
      <c r="C836" t="s">
        <v>885</v>
      </c>
      <c r="D836">
        <v>53</v>
      </c>
      <c r="E836">
        <v>49.85</v>
      </c>
      <c r="F836">
        <v>41</v>
      </c>
      <c r="G836">
        <v>1.215853658536585</v>
      </c>
      <c r="H836">
        <v>0.04954864593781344</v>
      </c>
      <c r="I836">
        <v>-0.03833515783701169</v>
      </c>
      <c r="J836">
        <v>0.03</v>
      </c>
      <c r="K836">
        <v>0.03734607883265428</v>
      </c>
      <c r="L836" t="s">
        <v>631</v>
      </c>
      <c r="M836" t="s">
        <v>572</v>
      </c>
      <c r="N836">
        <v>13.25797872340426</v>
      </c>
      <c r="O836">
        <v>3.76</v>
      </c>
      <c r="P836">
        <v>2.47</v>
      </c>
      <c r="Q836">
        <v>0.6569148936170214</v>
      </c>
      <c r="R836">
        <v>0</v>
      </c>
      <c r="S836">
        <v>0</v>
      </c>
      <c r="T836" t="s">
        <v>901</v>
      </c>
      <c r="U836">
        <v>-0.004807269997684</v>
      </c>
      <c r="V836" t="s">
        <v>987</v>
      </c>
      <c r="W836" t="s">
        <v>1000</v>
      </c>
      <c r="X836">
        <v>14492.094744</v>
      </c>
      <c r="Y836" s="2">
        <v>44889</v>
      </c>
      <c r="Z836" t="s">
        <v>1007</v>
      </c>
    </row>
    <row r="837" spans="1:26">
      <c r="A837" s="1" t="s">
        <v>861</v>
      </c>
      <c r="B837">
        <f>HYPERLINK("https://www.suredividend.com/sure-analysis-XRX/","Xerox Holdings Corp")</f>
        <v>0</v>
      </c>
      <c r="C837" t="s">
        <v>885</v>
      </c>
      <c r="D837">
        <v>15</v>
      </c>
      <c r="E837">
        <v>14.6</v>
      </c>
      <c r="F837">
        <v>6.5</v>
      </c>
      <c r="G837">
        <v>2.246153846153846</v>
      </c>
      <c r="H837">
        <v>0.0684931506849315</v>
      </c>
      <c r="I837">
        <v>-0.1494260060169069</v>
      </c>
      <c r="J837">
        <v>0.14</v>
      </c>
      <c r="K837">
        <v>0.03708039191797141</v>
      </c>
      <c r="L837" t="s">
        <v>631</v>
      </c>
      <c r="M837" t="s">
        <v>572</v>
      </c>
      <c r="N837">
        <v>22.46153846153846</v>
      </c>
      <c r="O837">
        <v>0.65</v>
      </c>
      <c r="P837">
        <v>1</v>
      </c>
      <c r="Q837">
        <v>1.538461538461538</v>
      </c>
      <c r="R837">
        <v>0</v>
      </c>
      <c r="S837">
        <v>0</v>
      </c>
      <c r="T837" t="s">
        <v>905</v>
      </c>
      <c r="U837">
        <v>-0.318638957984291</v>
      </c>
      <c r="V837" t="s">
        <v>986</v>
      </c>
      <c r="W837" t="s">
        <v>993</v>
      </c>
      <c r="X837">
        <v>2271.7985</v>
      </c>
      <c r="Y837" s="2">
        <v>44866</v>
      </c>
      <c r="Z837" t="s">
        <v>1005</v>
      </c>
    </row>
    <row r="838" spans="1:26">
      <c r="A838" s="1" t="s">
        <v>862</v>
      </c>
      <c r="B838">
        <f>HYPERLINK("https://www.suredividend.com/sure-analysis-AB/","AllianceBernstein Holding Lp")</f>
        <v>0</v>
      </c>
      <c r="C838" t="s">
        <v>885</v>
      </c>
      <c r="D838">
        <v>36.7</v>
      </c>
      <c r="E838">
        <v>34.37</v>
      </c>
      <c r="F838">
        <v>28.1</v>
      </c>
      <c r="G838">
        <v>1.223131672597865</v>
      </c>
      <c r="H838">
        <v>0.07448356124527204</v>
      </c>
      <c r="I838">
        <v>-0.03948233252622679</v>
      </c>
      <c r="J838">
        <v>-0.003</v>
      </c>
      <c r="K838">
        <v>0.03643424777047755</v>
      </c>
      <c r="L838" t="s">
        <v>631</v>
      </c>
      <c r="M838" t="s">
        <v>573</v>
      </c>
      <c r="N838">
        <v>12.23131672597865</v>
      </c>
      <c r="O838">
        <v>2.81</v>
      </c>
      <c r="P838">
        <v>2.56</v>
      </c>
      <c r="Q838">
        <v>0.9110320284697508</v>
      </c>
      <c r="R838">
        <v>0</v>
      </c>
      <c r="S838">
        <v>0.01589298343272039</v>
      </c>
      <c r="T838" t="s">
        <v>911</v>
      </c>
      <c r="U838">
        <v>-0.237259549235262</v>
      </c>
      <c r="V838" t="s">
        <v>988</v>
      </c>
      <c r="W838" t="s">
        <v>994</v>
      </c>
      <c r="X838">
        <v>3450.783882</v>
      </c>
      <c r="Y838" s="2">
        <v>44875</v>
      </c>
      <c r="Z838" t="s">
        <v>1009</v>
      </c>
    </row>
    <row r="839" spans="1:26">
      <c r="A839" s="1" t="s">
        <v>863</v>
      </c>
      <c r="B839">
        <f>HYPERLINK("https://www.suredividend.com/sure-analysis-UBA/","Urstadt Biddle Properties, Inc.")</f>
        <v>0</v>
      </c>
      <c r="C839" t="s">
        <v>884</v>
      </c>
      <c r="D839">
        <v>18.5</v>
      </c>
      <c r="E839">
        <v>18.95</v>
      </c>
      <c r="F839">
        <v>15.5</v>
      </c>
      <c r="G839">
        <v>1.22258064516129</v>
      </c>
      <c r="H839">
        <v>0.05277044854881267</v>
      </c>
      <c r="I839">
        <v>-0.03939576544419254</v>
      </c>
      <c r="J839">
        <v>0.019</v>
      </c>
      <c r="K839">
        <v>0.03467319749163877</v>
      </c>
      <c r="L839" t="s">
        <v>631</v>
      </c>
      <c r="M839" t="s">
        <v>573</v>
      </c>
      <c r="N839">
        <v>12.2258064516129</v>
      </c>
      <c r="O839">
        <v>1.55</v>
      </c>
      <c r="P839">
        <v>1</v>
      </c>
      <c r="Q839">
        <v>0.6451612903225806</v>
      </c>
      <c r="R839">
        <v>2</v>
      </c>
      <c r="S839">
        <v>0.02834672210021361</v>
      </c>
      <c r="T839" t="s">
        <v>946</v>
      </c>
      <c r="U839">
        <v>-0.057401512136888</v>
      </c>
      <c r="V839" t="s">
        <v>987</v>
      </c>
      <c r="W839" t="s">
        <v>1000</v>
      </c>
      <c r="X839">
        <v>752.616365</v>
      </c>
      <c r="Y839" s="2">
        <v>44920</v>
      </c>
      <c r="Z839" t="s">
        <v>1009</v>
      </c>
    </row>
    <row r="840" spans="1:26">
      <c r="A840" s="1" t="s">
        <v>864</v>
      </c>
      <c r="B840">
        <f>HYPERLINK("https://www.suredividend.com/sure-analysis-NEM/","Newmont Corp")</f>
        <v>0</v>
      </c>
      <c r="C840" t="s">
        <v>884</v>
      </c>
      <c r="D840">
        <v>44</v>
      </c>
      <c r="E840">
        <v>47.2</v>
      </c>
      <c r="F840">
        <v>36</v>
      </c>
      <c r="G840">
        <v>1.311111111111111</v>
      </c>
      <c r="H840">
        <v>0.04661016949152542</v>
      </c>
      <c r="I840">
        <v>-0.0527336709209334</v>
      </c>
      <c r="J840">
        <v>0.04</v>
      </c>
      <c r="K840">
        <v>0.03030765500457711</v>
      </c>
      <c r="L840" t="s">
        <v>631</v>
      </c>
      <c r="M840" t="s">
        <v>572</v>
      </c>
      <c r="N840">
        <v>23.6</v>
      </c>
      <c r="O840">
        <v>2</v>
      </c>
      <c r="P840">
        <v>2.2</v>
      </c>
      <c r="Q840">
        <v>1.1</v>
      </c>
      <c r="R840">
        <v>6</v>
      </c>
      <c r="S840">
        <v>0</v>
      </c>
      <c r="T840" t="s">
        <v>929</v>
      </c>
      <c r="U840">
        <v>-0.202154183703999</v>
      </c>
      <c r="V840" t="s">
        <v>986</v>
      </c>
      <c r="W840" t="s">
        <v>990</v>
      </c>
      <c r="X840">
        <v>37464.468103</v>
      </c>
      <c r="Y840" s="2">
        <v>44888</v>
      </c>
      <c r="Z840" t="s">
        <v>1007</v>
      </c>
    </row>
    <row r="841" spans="1:26">
      <c r="A841" s="1" t="s">
        <v>865</v>
      </c>
      <c r="B841">
        <f>HYPERLINK("https://www.suredividend.com/sure-analysis-KIM/","Kimco Realty Corp.")</f>
        <v>0</v>
      </c>
      <c r="C841" t="s">
        <v>885</v>
      </c>
      <c r="D841">
        <v>21.4</v>
      </c>
      <c r="E841">
        <v>21.18</v>
      </c>
      <c r="F841">
        <v>15.4</v>
      </c>
      <c r="G841">
        <v>1.375324675324675</v>
      </c>
      <c r="H841">
        <v>0.04343720491029273</v>
      </c>
      <c r="I841">
        <v>-0.06174917920327427</v>
      </c>
      <c r="J841">
        <v>0.048</v>
      </c>
      <c r="K841">
        <v>0.0301116504380774</v>
      </c>
      <c r="L841" t="s">
        <v>631</v>
      </c>
      <c r="M841" t="s">
        <v>572</v>
      </c>
      <c r="N841">
        <v>13.75324675324675</v>
      </c>
      <c r="O841">
        <v>1.54</v>
      </c>
      <c r="P841">
        <v>0.92</v>
      </c>
      <c r="Q841">
        <v>0.5974025974025974</v>
      </c>
      <c r="R841">
        <v>2</v>
      </c>
      <c r="S841">
        <v>0.03449342353118712</v>
      </c>
      <c r="T841" t="s">
        <v>920</v>
      </c>
      <c r="U841">
        <v>-0.10324533734149</v>
      </c>
      <c r="V841" t="s">
        <v>987</v>
      </c>
      <c r="W841" t="s">
        <v>1000</v>
      </c>
      <c r="X841">
        <v>13099.000358</v>
      </c>
      <c r="Y841" s="2">
        <v>44875</v>
      </c>
      <c r="Z841" t="s">
        <v>1009</v>
      </c>
    </row>
    <row r="842" spans="1:26">
      <c r="A842" s="1" t="s">
        <v>866</v>
      </c>
      <c r="B842">
        <f>HYPERLINK("https://www.suredividend.com/sure-analysis-SSREY/","Swiss Re Ltd")</f>
        <v>0</v>
      </c>
      <c r="C842" t="s">
        <v>884</v>
      </c>
      <c r="D842">
        <v>18.98</v>
      </c>
      <c r="E842">
        <v>23.5</v>
      </c>
      <c r="F842">
        <v>12</v>
      </c>
      <c r="G842">
        <v>1.958333333333333</v>
      </c>
      <c r="H842">
        <v>0.06553191489361702</v>
      </c>
      <c r="I842">
        <v>-0.1257760970516075</v>
      </c>
      <c r="J842">
        <v>0.1</v>
      </c>
      <c r="K842">
        <v>0.02835524553582069</v>
      </c>
      <c r="L842" t="s">
        <v>631</v>
      </c>
      <c r="M842" t="s">
        <v>572</v>
      </c>
      <c r="N842">
        <v>23.5</v>
      </c>
      <c r="O842">
        <v>1</v>
      </c>
      <c r="P842">
        <v>1.54</v>
      </c>
      <c r="Q842">
        <v>1.54</v>
      </c>
      <c r="R842">
        <v>0</v>
      </c>
      <c r="S842">
        <v>0</v>
      </c>
      <c r="T842" t="s">
        <v>980</v>
      </c>
      <c r="U842">
        <v>-0.047811993517017</v>
      </c>
      <c r="V842" t="s">
        <v>986</v>
      </c>
      <c r="W842" t="s">
        <v>994</v>
      </c>
      <c r="X842">
        <v>29844.746764</v>
      </c>
      <c r="Y842" s="2">
        <v>44864</v>
      </c>
      <c r="Z842" t="s">
        <v>1011</v>
      </c>
    </row>
    <row r="843" spans="1:26">
      <c r="A843" s="1" t="s">
        <v>867</v>
      </c>
      <c r="B843">
        <f>HYPERLINK("https://www.suredividend.com/sure-analysis-KHC/","Kraft Heinz Co")</f>
        <v>0</v>
      </c>
      <c r="C843" t="s">
        <v>884</v>
      </c>
      <c r="D843">
        <v>38</v>
      </c>
      <c r="E843">
        <v>40.71</v>
      </c>
      <c r="F843">
        <v>35</v>
      </c>
      <c r="G843">
        <v>1.163142857142857</v>
      </c>
      <c r="H843">
        <v>0.03930238270695161</v>
      </c>
      <c r="I843">
        <v>-0.02977292816476795</v>
      </c>
      <c r="J843">
        <v>0.02</v>
      </c>
      <c r="K843">
        <v>0.02758263030971841</v>
      </c>
      <c r="L843" t="s">
        <v>631</v>
      </c>
      <c r="M843" t="s">
        <v>572</v>
      </c>
      <c r="N843">
        <v>15.07777777777778</v>
      </c>
      <c r="O843">
        <v>2.7</v>
      </c>
      <c r="P843">
        <v>1.6</v>
      </c>
      <c r="Q843">
        <v>0.5925925925925926</v>
      </c>
      <c r="R843">
        <v>0</v>
      </c>
      <c r="S843">
        <v>0</v>
      </c>
      <c r="T843" t="s">
        <v>899</v>
      </c>
      <c r="U843">
        <v>0.189710798868445</v>
      </c>
      <c r="V843" t="s">
        <v>986</v>
      </c>
      <c r="W843" t="s">
        <v>996</v>
      </c>
      <c r="X843">
        <v>49866.906976</v>
      </c>
      <c r="Y843" s="2">
        <v>44885</v>
      </c>
      <c r="Z843" t="s">
        <v>1007</v>
      </c>
    </row>
    <row r="844" spans="1:26">
      <c r="A844" s="1" t="s">
        <v>868</v>
      </c>
      <c r="B844">
        <f>HYPERLINK("https://www.suredividend.com/sure-analysis-GWRS/","Global Water Resources Inc")</f>
        <v>0</v>
      </c>
      <c r="C844" t="s">
        <v>885</v>
      </c>
      <c r="D844">
        <v>12.78</v>
      </c>
      <c r="E844">
        <v>13.28</v>
      </c>
      <c r="F844">
        <v>9.6</v>
      </c>
      <c r="G844">
        <v>1.383333333333333</v>
      </c>
      <c r="H844">
        <v>0.02259036144578313</v>
      </c>
      <c r="I844">
        <v>-0.06283808400366231</v>
      </c>
      <c r="J844">
        <v>0.06</v>
      </c>
      <c r="K844">
        <v>0.01683079081796435</v>
      </c>
      <c r="L844" t="s">
        <v>631</v>
      </c>
      <c r="M844" t="s">
        <v>631</v>
      </c>
      <c r="N844">
        <v>33.2</v>
      </c>
      <c r="O844">
        <v>0.4</v>
      </c>
      <c r="P844">
        <v>0.3</v>
      </c>
      <c r="Q844">
        <v>0.7499999999999999</v>
      </c>
      <c r="R844">
        <v>7</v>
      </c>
      <c r="S844">
        <v>0.01924487649145656</v>
      </c>
      <c r="T844" t="s">
        <v>901</v>
      </c>
      <c r="U844">
        <v>-0.200712617666177</v>
      </c>
      <c r="V844" t="s">
        <v>986</v>
      </c>
      <c r="W844" t="s">
        <v>997</v>
      </c>
      <c r="X844">
        <v>316.944278</v>
      </c>
      <c r="Y844" s="2">
        <v>44880</v>
      </c>
      <c r="Z844" t="s">
        <v>1011</v>
      </c>
    </row>
    <row r="845" spans="1:26">
      <c r="A845" s="1" t="s">
        <v>869</v>
      </c>
      <c r="B845">
        <f>HYPERLINK("https://www.suredividend.com/sure-analysis-SJR/","Shaw Communications Inc.")</f>
        <v>0</v>
      </c>
      <c r="C845" t="s">
        <v>885</v>
      </c>
      <c r="D845">
        <v>27</v>
      </c>
      <c r="E845">
        <v>28.78</v>
      </c>
      <c r="F845">
        <v>20</v>
      </c>
      <c r="G845">
        <v>1.439</v>
      </c>
      <c r="H845">
        <v>0.03196664350243224</v>
      </c>
      <c r="I845">
        <v>-0.07020364095521614</v>
      </c>
      <c r="J845">
        <v>0.055</v>
      </c>
      <c r="K845">
        <v>0.0146259503810231</v>
      </c>
      <c r="L845" t="s">
        <v>631</v>
      </c>
      <c r="M845" t="s">
        <v>631</v>
      </c>
      <c r="N845">
        <v>25.24561403508772</v>
      </c>
      <c r="O845">
        <v>1.14</v>
      </c>
      <c r="P845">
        <v>0.92</v>
      </c>
      <c r="Q845">
        <v>0.8070175438596492</v>
      </c>
      <c r="R845">
        <v>0</v>
      </c>
      <c r="S845">
        <v>0.01477433184568522</v>
      </c>
      <c r="T845" t="s">
        <v>901</v>
      </c>
      <c r="U845">
        <v>-0.011560415707877</v>
      </c>
      <c r="V845" t="s">
        <v>986</v>
      </c>
      <c r="W845" t="s">
        <v>995</v>
      </c>
      <c r="X845">
        <v>13736.131437</v>
      </c>
      <c r="Y845" s="2">
        <v>44899</v>
      </c>
      <c r="Z845" t="s">
        <v>1008</v>
      </c>
    </row>
    <row r="846" spans="1:26">
      <c r="A846" s="1" t="s">
        <v>870</v>
      </c>
      <c r="B846">
        <f>HYPERLINK("https://www.suredividend.com/sure-analysis-DVN/","Devon Energy Corp.")</f>
        <v>0</v>
      </c>
      <c r="C846" t="s">
        <v>885</v>
      </c>
      <c r="D846">
        <v>71</v>
      </c>
      <c r="E846">
        <v>61.51</v>
      </c>
      <c r="F846">
        <v>77</v>
      </c>
      <c r="G846">
        <v>0.7988311688311688</v>
      </c>
      <c r="H846">
        <v>0.08779060315395872</v>
      </c>
      <c r="I846">
        <v>0.04594536475073085</v>
      </c>
      <c r="J846">
        <v>-0.1</v>
      </c>
      <c r="K846">
        <v>0.01226146862053623</v>
      </c>
      <c r="L846" t="s">
        <v>631</v>
      </c>
      <c r="M846" t="s">
        <v>573</v>
      </c>
      <c r="N846">
        <v>11.94368932038835</v>
      </c>
      <c r="O846">
        <v>5.15</v>
      </c>
      <c r="P846">
        <v>5.4</v>
      </c>
      <c r="Q846">
        <v>1.048543689320388</v>
      </c>
      <c r="R846">
        <v>5</v>
      </c>
      <c r="S846">
        <v>-0.09992357928285112</v>
      </c>
      <c r="T846" t="s">
        <v>948</v>
      </c>
      <c r="U846">
        <v>0.4914335316738681</v>
      </c>
      <c r="V846" t="s">
        <v>986</v>
      </c>
      <c r="W846" t="s">
        <v>999</v>
      </c>
      <c r="X846">
        <v>40209.087</v>
      </c>
      <c r="Y846" s="2">
        <v>44879</v>
      </c>
      <c r="Z846" t="s">
        <v>1013</v>
      </c>
    </row>
    <row r="847" spans="1:26">
      <c r="A847" s="1" t="s">
        <v>871</v>
      </c>
      <c r="B847">
        <f>HYPERLINK("https://www.suredividend.com/sure-analysis-CAKE/","Cheesecake Factory Inc.")</f>
        <v>0</v>
      </c>
      <c r="C847" t="s">
        <v>885</v>
      </c>
      <c r="D847">
        <v>33</v>
      </c>
      <c r="E847">
        <v>31.71</v>
      </c>
      <c r="F847">
        <v>20</v>
      </c>
      <c r="G847">
        <v>1.5855</v>
      </c>
      <c r="H847">
        <v>0.03405865657521287</v>
      </c>
      <c r="I847">
        <v>-0.08805898086411257</v>
      </c>
      <c r="J847">
        <v>0.06</v>
      </c>
      <c r="K847">
        <v>0.009414108461938353</v>
      </c>
      <c r="L847" t="s">
        <v>631</v>
      </c>
      <c r="M847" t="s">
        <v>572</v>
      </c>
      <c r="N847">
        <v>20.32692307692308</v>
      </c>
      <c r="O847">
        <v>1.56</v>
      </c>
      <c r="P847">
        <v>1.08</v>
      </c>
      <c r="Q847">
        <v>0.6923076923076923</v>
      </c>
      <c r="R847">
        <v>1</v>
      </c>
      <c r="S847">
        <v>0.06069091570555463</v>
      </c>
      <c r="T847" t="s">
        <v>907</v>
      </c>
      <c r="U847">
        <v>-0.182734065118388</v>
      </c>
      <c r="V847" t="s">
        <v>986</v>
      </c>
      <c r="W847" t="s">
        <v>992</v>
      </c>
      <c r="X847">
        <v>1630.532513</v>
      </c>
      <c r="Y847" s="2">
        <v>44871</v>
      </c>
      <c r="Z847" t="s">
        <v>1001</v>
      </c>
    </row>
    <row r="848" spans="1:26">
      <c r="A848" s="1" t="s">
        <v>872</v>
      </c>
      <c r="B848">
        <f>HYPERLINK("https://www.suredividend.com/sure-analysis-SJT/","San Juan Basin Royalty Trust")</f>
        <v>0</v>
      </c>
      <c r="C848" t="s">
        <v>885</v>
      </c>
      <c r="D848">
        <v>11</v>
      </c>
      <c r="E848">
        <v>11.42</v>
      </c>
      <c r="F848">
        <v>13.7</v>
      </c>
      <c r="G848">
        <v>0.8335766423357664</v>
      </c>
      <c r="H848">
        <v>0.1497373029772329</v>
      </c>
      <c r="I848">
        <v>0.03707673718249072</v>
      </c>
      <c r="J848">
        <v>-0.15</v>
      </c>
      <c r="K848">
        <v>0.0009451051616540251</v>
      </c>
      <c r="L848" t="s">
        <v>631</v>
      </c>
      <c r="M848" t="s">
        <v>573</v>
      </c>
      <c r="N848">
        <v>6.678362573099415</v>
      </c>
      <c r="O848">
        <v>1.71</v>
      </c>
      <c r="P848">
        <v>1.71</v>
      </c>
      <c r="Q848">
        <v>1</v>
      </c>
      <c r="R848">
        <v>2</v>
      </c>
      <c r="S848">
        <v>-0.1497169995828062</v>
      </c>
      <c r="T848" t="s">
        <v>905</v>
      </c>
      <c r="U848">
        <v>1.235708692247455</v>
      </c>
      <c r="V848" t="s">
        <v>986</v>
      </c>
      <c r="W848" t="s">
        <v>999</v>
      </c>
      <c r="X848">
        <v>532.27245</v>
      </c>
      <c r="Y848" s="2">
        <v>44888</v>
      </c>
      <c r="Z848" t="s">
        <v>1003</v>
      </c>
    </row>
    <row r="849" spans="1:26">
      <c r="A849" s="1" t="s">
        <v>873</v>
      </c>
      <c r="B849">
        <f>HYPERLINK("https://www.suredividend.com/sure-analysis-PPRQF/","Choice Properties Real Estate Investment Trust")</f>
        <v>0</v>
      </c>
      <c r="C849" t="s">
        <v>885</v>
      </c>
      <c r="D849">
        <v>10.7</v>
      </c>
      <c r="E849">
        <v>10.755</v>
      </c>
      <c r="F849">
        <v>6.3</v>
      </c>
      <c r="G849">
        <v>1.707142857142857</v>
      </c>
      <c r="H849">
        <v>0.05206880520688052</v>
      </c>
      <c r="I849">
        <v>-0.1014421824554975</v>
      </c>
      <c r="J849">
        <v>0.027</v>
      </c>
      <c r="K849">
        <v>-0.01390801118627016</v>
      </c>
      <c r="L849" t="s">
        <v>631</v>
      </c>
      <c r="M849" t="s">
        <v>572</v>
      </c>
      <c r="N849">
        <v>17.07142857142857</v>
      </c>
      <c r="O849">
        <v>0.63</v>
      </c>
      <c r="P849">
        <v>0.5600000000000001</v>
      </c>
      <c r="Q849">
        <v>0.888888888888889</v>
      </c>
      <c r="R849">
        <v>2</v>
      </c>
      <c r="S849">
        <v>0.003546188320131538</v>
      </c>
      <c r="T849" t="s">
        <v>905</v>
      </c>
      <c r="U849">
        <v>-0.096218487394957</v>
      </c>
      <c r="V849" t="s">
        <v>987</v>
      </c>
      <c r="W849" t="s">
        <v>1000</v>
      </c>
      <c r="X849">
        <v>3525.042119</v>
      </c>
      <c r="Y849" s="2">
        <v>44902</v>
      </c>
      <c r="Z849" t="s">
        <v>1009</v>
      </c>
    </row>
    <row r="850" spans="1:26">
      <c r="A850" s="1" t="s">
        <v>874</v>
      </c>
      <c r="B850">
        <f>HYPERLINK("https://www.suredividend.com/sure-analysis-DX/","Dynex Capital, Inc.")</f>
        <v>0</v>
      </c>
      <c r="C850" t="s">
        <v>885</v>
      </c>
      <c r="D850">
        <v>11.9</v>
      </c>
      <c r="E850">
        <v>12.72</v>
      </c>
      <c r="F850">
        <v>10</v>
      </c>
      <c r="G850">
        <v>1.272</v>
      </c>
      <c r="H850">
        <v>0.1226415094339623</v>
      </c>
      <c r="I850">
        <v>-0.04697876468925022</v>
      </c>
      <c r="J850">
        <v>-0.112</v>
      </c>
      <c r="K850">
        <v>-0.02518092663455473</v>
      </c>
      <c r="L850" t="s">
        <v>631</v>
      </c>
      <c r="M850" t="s">
        <v>573</v>
      </c>
      <c r="N850">
        <v>10.176</v>
      </c>
      <c r="O850">
        <v>1.25</v>
      </c>
      <c r="P850">
        <v>1.56</v>
      </c>
      <c r="Q850">
        <v>1.248</v>
      </c>
      <c r="R850">
        <v>0</v>
      </c>
      <c r="S850">
        <v>-0.1041741667038044</v>
      </c>
      <c r="T850" t="s">
        <v>941</v>
      </c>
      <c r="U850">
        <v>-0.162899054312846</v>
      </c>
      <c r="V850" t="s">
        <v>987</v>
      </c>
      <c r="W850" t="s">
        <v>1000</v>
      </c>
      <c r="X850">
        <v>589.573654</v>
      </c>
      <c r="Y850" s="2">
        <v>44875</v>
      </c>
      <c r="Z850" t="s">
        <v>1009</v>
      </c>
    </row>
    <row r="851" spans="1:26">
      <c r="A851" s="1" t="s">
        <v>875</v>
      </c>
      <c r="B851">
        <f>HYPERLINK("https://www.suredividend.com/sure-analysis-STX/","Seagate Technology Holdings Plc")</f>
        <v>0</v>
      </c>
      <c r="C851" t="s">
        <v>885</v>
      </c>
      <c r="D851">
        <v>51</v>
      </c>
      <c r="E851">
        <v>52.61</v>
      </c>
      <c r="F851">
        <v>22</v>
      </c>
      <c r="G851">
        <v>2.391363636363636</v>
      </c>
      <c r="H851">
        <v>0.0532218209465881</v>
      </c>
      <c r="I851">
        <v>-0.1600162667214602</v>
      </c>
      <c r="J851">
        <v>0.07000000000000001</v>
      </c>
      <c r="K851">
        <v>-0.0267167807401002</v>
      </c>
      <c r="L851" t="s">
        <v>631</v>
      </c>
      <c r="M851" t="s">
        <v>572</v>
      </c>
      <c r="N851">
        <v>23.91363636363636</v>
      </c>
      <c r="O851">
        <v>2.2</v>
      </c>
      <c r="P851">
        <v>2.8</v>
      </c>
      <c r="Q851">
        <v>1.272727272727272</v>
      </c>
      <c r="R851">
        <v>3</v>
      </c>
      <c r="S851">
        <v>0.02513307572787737</v>
      </c>
      <c r="T851" t="s">
        <v>909</v>
      </c>
      <c r="U851">
        <v>-0.517566503104502</v>
      </c>
      <c r="V851" t="s">
        <v>986</v>
      </c>
      <c r="W851" t="s">
        <v>993</v>
      </c>
      <c r="X851">
        <v>10982.8636</v>
      </c>
      <c r="Y851" s="2">
        <v>44864</v>
      </c>
      <c r="Z851" t="s">
        <v>1007</v>
      </c>
    </row>
    <row r="852" spans="1:26">
      <c r="A852" s="1" t="s">
        <v>876</v>
      </c>
      <c r="B852">
        <f>HYPERLINK("https://www.suredividend.com/sure-analysis-EXC/","Exelon Corp.")</f>
        <v>0</v>
      </c>
      <c r="C852" t="s">
        <v>885</v>
      </c>
      <c r="D852">
        <v>38</v>
      </c>
      <c r="E852">
        <v>43.23</v>
      </c>
      <c r="F852">
        <v>27</v>
      </c>
      <c r="G852">
        <v>1.601111111111111</v>
      </c>
      <c r="H852">
        <v>0.03122831367106177</v>
      </c>
      <c r="I852">
        <v>-0.08984427390506411</v>
      </c>
      <c r="J852">
        <v>0.02</v>
      </c>
      <c r="K852">
        <v>-0.03077683896598649</v>
      </c>
      <c r="L852" t="s">
        <v>631</v>
      </c>
      <c r="M852" t="s">
        <v>631</v>
      </c>
      <c r="N852">
        <v>19.21333333333333</v>
      </c>
      <c r="O852">
        <v>2.25</v>
      </c>
      <c r="P852">
        <v>1.35</v>
      </c>
      <c r="Q852">
        <v>0.6000000000000001</v>
      </c>
      <c r="R852">
        <v>0</v>
      </c>
      <c r="S852">
        <v>0.01993031414988899</v>
      </c>
      <c r="T852" t="s">
        <v>907</v>
      </c>
      <c r="U852">
        <v>0.091079797987446</v>
      </c>
      <c r="V852" t="s">
        <v>986</v>
      </c>
      <c r="W852" t="s">
        <v>997</v>
      </c>
      <c r="X852">
        <v>42959.467957</v>
      </c>
      <c r="Y852" s="2">
        <v>44873</v>
      </c>
      <c r="Z852" t="s">
        <v>1001</v>
      </c>
    </row>
    <row r="853" spans="1:26">
      <c r="A853" s="1" t="s">
        <v>877</v>
      </c>
      <c r="B853">
        <f>HYPERLINK("https://www.suredividend.com/sure-analysis-PMT/","Pennymac Mortgage Investment Trust")</f>
        <v>0</v>
      </c>
      <c r="C853" t="s">
        <v>885</v>
      </c>
      <c r="D853">
        <v>15</v>
      </c>
      <c r="E853">
        <v>12.39</v>
      </c>
      <c r="F853">
        <v>2</v>
      </c>
      <c r="G853">
        <v>6.195</v>
      </c>
      <c r="H853">
        <v>0.129136400322841</v>
      </c>
      <c r="I853">
        <v>-0.3056287388021119</v>
      </c>
      <c r="J853">
        <v>0.2</v>
      </c>
      <c r="K853">
        <v>-0.04835030603766777</v>
      </c>
      <c r="L853" t="s">
        <v>631</v>
      </c>
      <c r="M853" t="s">
        <v>573</v>
      </c>
      <c r="N853">
        <v>61.95</v>
      </c>
      <c r="O853">
        <v>0.2</v>
      </c>
      <c r="P853">
        <v>1.6</v>
      </c>
      <c r="Q853">
        <v>8</v>
      </c>
      <c r="R853">
        <v>0</v>
      </c>
      <c r="S853">
        <v>-0.1727165402518233</v>
      </c>
      <c r="T853" t="s">
        <v>905</v>
      </c>
      <c r="U853">
        <v>-0.189141432320468</v>
      </c>
      <c r="V853" t="s">
        <v>987</v>
      </c>
      <c r="W853" t="s">
        <v>994</v>
      </c>
      <c r="X853">
        <v>1101.823756</v>
      </c>
      <c r="Y853" s="2">
        <v>44882</v>
      </c>
      <c r="Z853" t="s">
        <v>1008</v>
      </c>
    </row>
    <row r="854" spans="1:26">
      <c r="A854" s="1" t="s">
        <v>878</v>
      </c>
      <c r="B854">
        <f>HYPERLINK("https://www.suredividend.com/sure-analysis-SBR/","Sabine Royalty Trust")</f>
        <v>0</v>
      </c>
      <c r="C854" t="s">
        <v>885</v>
      </c>
      <c r="D854">
        <v>78</v>
      </c>
      <c r="E854">
        <v>85.45</v>
      </c>
      <c r="F854">
        <v>83</v>
      </c>
      <c r="G854">
        <v>1.029518072289157</v>
      </c>
      <c r="H854">
        <v>0.09678174370977179</v>
      </c>
      <c r="I854">
        <v>-0.005801267635445084</v>
      </c>
      <c r="J854">
        <v>-0.15</v>
      </c>
      <c r="K854">
        <v>-0.05943892009884799</v>
      </c>
      <c r="L854" t="s">
        <v>631</v>
      </c>
      <c r="M854" t="s">
        <v>573</v>
      </c>
      <c r="N854">
        <v>10.33252720677146</v>
      </c>
      <c r="O854">
        <v>8.27</v>
      </c>
      <c r="P854">
        <v>8.27</v>
      </c>
      <c r="Q854">
        <v>1</v>
      </c>
      <c r="R854">
        <v>2</v>
      </c>
      <c r="S854">
        <v>-0.1499741935199002</v>
      </c>
      <c r="T854" t="s">
        <v>901</v>
      </c>
      <c r="U854">
        <v>1.328648784170094</v>
      </c>
      <c r="V854" t="s">
        <v>986</v>
      </c>
      <c r="W854" t="s">
        <v>999</v>
      </c>
      <c r="X854">
        <v>1245.80503</v>
      </c>
      <c r="Y854" s="2">
        <v>44888</v>
      </c>
      <c r="Z854" t="s">
        <v>1003</v>
      </c>
    </row>
    <row r="855" spans="1:26">
      <c r="A855" s="1" t="s">
        <v>879</v>
      </c>
      <c r="B855">
        <f>HYPERLINK("https://www.suredividend.com/sure-analysis-GPS/","Gap, Inc.")</f>
        <v>0</v>
      </c>
      <c r="C855" t="s">
        <v>885</v>
      </c>
      <c r="D855">
        <v>15</v>
      </c>
      <c r="E855">
        <v>11.28</v>
      </c>
      <c r="F855">
        <v>4</v>
      </c>
      <c r="G855">
        <v>2.82</v>
      </c>
      <c r="H855">
        <v>0.05319148936170213</v>
      </c>
      <c r="I855">
        <v>-0.1872627252830809</v>
      </c>
      <c r="J855">
        <v>0.05</v>
      </c>
      <c r="K855">
        <v>-0.05990005829401968</v>
      </c>
      <c r="L855" t="s">
        <v>631</v>
      </c>
      <c r="M855" t="s">
        <v>572</v>
      </c>
      <c r="N855">
        <v>28.2</v>
      </c>
      <c r="O855">
        <v>0.4</v>
      </c>
      <c r="P855">
        <v>0.6</v>
      </c>
      <c r="Q855">
        <v>1.5</v>
      </c>
      <c r="R855">
        <v>1</v>
      </c>
      <c r="S855">
        <v>0.01924487649145656</v>
      </c>
      <c r="T855" t="s">
        <v>940</v>
      </c>
      <c r="U855">
        <v>-0.347562033663022</v>
      </c>
      <c r="V855" t="s">
        <v>986</v>
      </c>
      <c r="W855" t="s">
        <v>992</v>
      </c>
      <c r="X855">
        <v>4102.501043</v>
      </c>
      <c r="Y855" s="2">
        <v>44902</v>
      </c>
      <c r="Z855" t="s">
        <v>1006</v>
      </c>
    </row>
    <row r="856" spans="1:26">
      <c r="A856" s="1" t="s">
        <v>880</v>
      </c>
      <c r="B856">
        <f>HYPERLINK("https://www.suredividend.com/sure-analysis-ALL/","Allstate Corp (The)")</f>
        <v>0</v>
      </c>
      <c r="C856" t="s">
        <v>885</v>
      </c>
      <c r="D856">
        <v>131</v>
      </c>
      <c r="E856">
        <v>135.6</v>
      </c>
      <c r="F856">
        <v>58</v>
      </c>
      <c r="G856">
        <v>2.337931034482759</v>
      </c>
      <c r="H856">
        <v>0.02507374631268437</v>
      </c>
      <c r="I856">
        <v>-0.1562113859073053</v>
      </c>
      <c r="J856">
        <v>0.06</v>
      </c>
      <c r="K856">
        <v>-0.06413943782141918</v>
      </c>
      <c r="L856" t="s">
        <v>631</v>
      </c>
      <c r="M856" t="s">
        <v>631</v>
      </c>
      <c r="N856">
        <v>69.53846153846153</v>
      </c>
      <c r="O856">
        <v>1.95</v>
      </c>
      <c r="P856">
        <v>3.4</v>
      </c>
      <c r="Q856">
        <v>1.743589743589744</v>
      </c>
      <c r="R856">
        <v>10</v>
      </c>
      <c r="S856">
        <v>0.0500311005456211</v>
      </c>
      <c r="T856" t="s">
        <v>917</v>
      </c>
      <c r="U856">
        <v>0.183444346696828</v>
      </c>
      <c r="V856" t="s">
        <v>986</v>
      </c>
      <c r="W856" t="s">
        <v>994</v>
      </c>
      <c r="X856">
        <v>35962.418234</v>
      </c>
      <c r="Y856" s="2">
        <v>44888</v>
      </c>
      <c r="Z856" t="s">
        <v>1008</v>
      </c>
    </row>
    <row r="857" spans="1:26">
      <c r="A857" s="1" t="s">
        <v>881</v>
      </c>
      <c r="B857">
        <f>HYPERLINK("https://www.suredividend.com/sure-analysis-CRT/","Cross Timbers Royalty Trust")</f>
        <v>0</v>
      </c>
      <c r="C857" t="s">
        <v>885</v>
      </c>
      <c r="D857">
        <v>21</v>
      </c>
      <c r="E857">
        <v>25.44</v>
      </c>
      <c r="F857">
        <v>18</v>
      </c>
      <c r="G857">
        <v>1.413333333333333</v>
      </c>
      <c r="H857">
        <v>0.07743710691823899</v>
      </c>
      <c r="I857">
        <v>-0.06685081815024418</v>
      </c>
      <c r="J857">
        <v>-0.1</v>
      </c>
      <c r="K857">
        <v>-0.06811863480261771</v>
      </c>
      <c r="L857" t="s">
        <v>631</v>
      </c>
      <c r="M857" t="s">
        <v>573</v>
      </c>
      <c r="N857">
        <v>12.91370558375635</v>
      </c>
      <c r="O857">
        <v>1.97</v>
      </c>
      <c r="P857">
        <v>1.97</v>
      </c>
      <c r="Q857">
        <v>1</v>
      </c>
      <c r="R857">
        <v>2</v>
      </c>
      <c r="S857">
        <v>-0.1005058304814341</v>
      </c>
      <c r="T857" t="s">
        <v>905</v>
      </c>
      <c r="U857">
        <v>1.427179834562506</v>
      </c>
      <c r="V857" t="s">
        <v>986</v>
      </c>
      <c r="W857" t="s">
        <v>999</v>
      </c>
      <c r="X857">
        <v>152.64</v>
      </c>
      <c r="Y857" s="2">
        <v>44888</v>
      </c>
      <c r="Z857" t="s">
        <v>1003</v>
      </c>
    </row>
    <row r="858" spans="1:26">
      <c r="A858" s="1" t="s">
        <v>882</v>
      </c>
      <c r="B858">
        <f>HYPERLINK("https://www.suredividend.com/sure-analysis-PBT/","Permian Basin Royalty Trust")</f>
        <v>0</v>
      </c>
      <c r="C858" t="s">
        <v>885</v>
      </c>
      <c r="D858">
        <v>20</v>
      </c>
      <c r="E858">
        <v>25.2</v>
      </c>
      <c r="F858">
        <v>16</v>
      </c>
      <c r="G858">
        <v>1.575</v>
      </c>
      <c r="H858">
        <v>0.04801587301587302</v>
      </c>
      <c r="I858">
        <v>-0.0868462890526146</v>
      </c>
      <c r="J858">
        <v>-0.15</v>
      </c>
      <c r="K858">
        <v>-0.1539269458414282</v>
      </c>
      <c r="L858" t="s">
        <v>631</v>
      </c>
      <c r="M858" t="s">
        <v>572</v>
      </c>
      <c r="N858">
        <v>20.82644628099174</v>
      </c>
      <c r="O858">
        <v>1.21</v>
      </c>
      <c r="P858">
        <v>1.21</v>
      </c>
      <c r="Q858">
        <v>1</v>
      </c>
      <c r="R858">
        <v>1</v>
      </c>
      <c r="S858">
        <v>-0.1490154449973095</v>
      </c>
      <c r="T858" t="s">
        <v>905</v>
      </c>
      <c r="U858">
        <v>1.771941789222426</v>
      </c>
      <c r="V858" t="s">
        <v>986</v>
      </c>
      <c r="W858" t="s">
        <v>999</v>
      </c>
      <c r="X858">
        <v>1174.541659</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990</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995</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992</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996</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994</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998</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991</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993</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997</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552</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782</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848</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841</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837</v>
      </c>
      <c r="B239" t="s">
        <v>10253</v>
      </c>
    </row>
    <row r="240" spans="1:2">
      <c r="A240" s="1" t="s">
        <v>1284</v>
      </c>
      <c r="B240" t="s">
        <v>10284</v>
      </c>
    </row>
    <row r="241" spans="1:2">
      <c r="A241" s="1" t="s">
        <v>1285</v>
      </c>
      <c r="B241" t="s">
        <v>10255</v>
      </c>
    </row>
    <row r="242" spans="1:2">
      <c r="A242" s="1" t="s">
        <v>1286</v>
      </c>
      <c r="B242" t="s">
        <v>10244</v>
      </c>
    </row>
    <row r="243" spans="1:2">
      <c r="A243" s="1" t="s">
        <v>755</v>
      </c>
      <c r="B243" t="s">
        <v>10250</v>
      </c>
    </row>
    <row r="244" spans="1:2">
      <c r="A244" s="1" t="s">
        <v>781</v>
      </c>
      <c r="B244" t="s">
        <v>10244</v>
      </c>
    </row>
    <row r="245" spans="1:2">
      <c r="A245" s="1" t="s">
        <v>1287</v>
      </c>
      <c r="B245" t="s">
        <v>10285</v>
      </c>
    </row>
    <row r="246" spans="1:2">
      <c r="A246" s="1" t="s">
        <v>833</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722</v>
      </c>
      <c r="B251" t="s">
        <v>10287</v>
      </c>
    </row>
    <row r="252" spans="1:2">
      <c r="A252" s="1" t="s">
        <v>1292</v>
      </c>
      <c r="B252" t="s">
        <v>10244</v>
      </c>
    </row>
    <row r="253" spans="1:2">
      <c r="A253" s="1" t="s">
        <v>1293</v>
      </c>
      <c r="B253" t="s">
        <v>10288</v>
      </c>
    </row>
    <row r="254" spans="1:2">
      <c r="A254" s="1" t="s">
        <v>1294</v>
      </c>
      <c r="B254" t="s">
        <v>10244</v>
      </c>
    </row>
    <row r="255" spans="1:2">
      <c r="A255" s="1" t="s">
        <v>820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731</v>
      </c>
      <c r="B272" t="s">
        <v>10253</v>
      </c>
    </row>
    <row r="273" spans="1:2">
      <c r="A273" s="1" t="s">
        <v>576</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711</v>
      </c>
      <c r="B278" t="s">
        <v>10287</v>
      </c>
    </row>
    <row r="279" spans="1:2">
      <c r="A279" s="1" t="s">
        <v>839</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719</v>
      </c>
      <c r="B293" t="s">
        <v>10254</v>
      </c>
    </row>
    <row r="294" spans="1:2">
      <c r="A294" s="1" t="s">
        <v>544</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568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766</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624</v>
      </c>
      <c r="B329" t="s">
        <v>10251</v>
      </c>
    </row>
    <row r="330" spans="1:2">
      <c r="A330" s="1" t="s">
        <v>558</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789</v>
      </c>
      <c r="B341" t="s">
        <v>10308</v>
      </c>
    </row>
    <row r="342" spans="1:2">
      <c r="A342" s="1" t="s">
        <v>737</v>
      </c>
      <c r="B342" t="s">
        <v>10309</v>
      </c>
    </row>
    <row r="343" spans="1:2">
      <c r="A343" s="1" t="s">
        <v>764</v>
      </c>
      <c r="B343" t="s">
        <v>10275</v>
      </c>
    </row>
    <row r="344" spans="1:2">
      <c r="A344" s="1" t="s">
        <v>721</v>
      </c>
      <c r="B344" t="s">
        <v>10242</v>
      </c>
    </row>
    <row r="345" spans="1:2">
      <c r="A345" s="1" t="s">
        <v>1369</v>
      </c>
      <c r="B345" t="s">
        <v>10310</v>
      </c>
    </row>
    <row r="346" spans="1:2">
      <c r="A346" s="1" t="s">
        <v>433</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264</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874</v>
      </c>
      <c r="B357" t="s">
        <v>10272</v>
      </c>
    </row>
    <row r="358" spans="1:2">
      <c r="A358" s="1" t="s">
        <v>1378</v>
      </c>
      <c r="B358" t="s">
        <v>10235</v>
      </c>
    </row>
    <row r="359" spans="1:2">
      <c r="A359" s="1" t="s">
        <v>1379</v>
      </c>
      <c r="B359" t="s">
        <v>10314</v>
      </c>
    </row>
    <row r="360" spans="1:2">
      <c r="A360" s="1" t="s">
        <v>787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753</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827</v>
      </c>
      <c r="B382" t="s">
        <v>10250</v>
      </c>
    </row>
    <row r="383" spans="1:2">
      <c r="A383" s="1" t="s">
        <v>1400</v>
      </c>
      <c r="B383" t="s">
        <v>10250</v>
      </c>
    </row>
    <row r="384" spans="1:2">
      <c r="A384" s="1" t="s">
        <v>1401</v>
      </c>
      <c r="B384" t="s">
        <v>10234</v>
      </c>
    </row>
    <row r="385" spans="1:2">
      <c r="A385" s="1" t="s">
        <v>758</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881</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723</v>
      </c>
      <c r="B412" t="s">
        <v>10249</v>
      </c>
    </row>
    <row r="413" spans="1:2">
      <c r="A413" s="1" t="s">
        <v>1427</v>
      </c>
      <c r="B413" t="s">
        <v>10234</v>
      </c>
    </row>
    <row r="414" spans="1:2">
      <c r="A414" s="1" t="s">
        <v>786</v>
      </c>
      <c r="B414" t="s">
        <v>10287</v>
      </c>
    </row>
    <row r="415" spans="1:2">
      <c r="A415" s="1" t="s">
        <v>1428</v>
      </c>
      <c r="B415" t="s">
        <v>10279</v>
      </c>
    </row>
    <row r="416" spans="1:2">
      <c r="A416" s="1" t="s">
        <v>810</v>
      </c>
      <c r="B416" t="s">
        <v>10254</v>
      </c>
    </row>
    <row r="417" spans="1:2">
      <c r="A417" s="1" t="s">
        <v>1429</v>
      </c>
      <c r="B417" t="s">
        <v>10297</v>
      </c>
    </row>
    <row r="418" spans="1:2">
      <c r="A418" s="1" t="s">
        <v>1430</v>
      </c>
      <c r="B418" t="s">
        <v>10250</v>
      </c>
    </row>
    <row r="419" spans="1:2">
      <c r="A419" s="1" t="s">
        <v>746</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761</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715</v>
      </c>
      <c r="B437" t="s">
        <v>10260</v>
      </c>
    </row>
    <row r="438" spans="1:2">
      <c r="A438" s="1" t="s">
        <v>1447</v>
      </c>
      <c r="B438" t="s">
        <v>10250</v>
      </c>
    </row>
    <row r="439" spans="1:2">
      <c r="A439" s="1" t="s">
        <v>521</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654</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818</v>
      </c>
      <c r="B456" t="s">
        <v>10284</v>
      </c>
    </row>
    <row r="457" spans="1:2">
      <c r="A457" s="1" t="s">
        <v>1463</v>
      </c>
      <c r="B457" t="s">
        <v>10260</v>
      </c>
    </row>
    <row r="458" spans="1:2">
      <c r="A458" s="1" t="s">
        <v>1464</v>
      </c>
      <c r="B458" t="s">
        <v>10240</v>
      </c>
    </row>
    <row r="459" spans="1:2">
      <c r="A459" s="1" t="s">
        <v>1465</v>
      </c>
      <c r="B459" t="s">
        <v>10287</v>
      </c>
    </row>
    <row r="460" spans="1:2">
      <c r="A460" s="1" t="s">
        <v>641</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739</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502</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812</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772</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612</v>
      </c>
      <c r="B561" t="s">
        <v>10287</v>
      </c>
    </row>
    <row r="562" spans="1:2">
      <c r="A562" s="1" t="s">
        <v>801</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750</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862</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736</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877</v>
      </c>
      <c r="B612" t="s">
        <v>10313</v>
      </c>
    </row>
    <row r="613" spans="1:2">
      <c r="A613" s="1" t="s">
        <v>1608</v>
      </c>
      <c r="B613" t="s">
        <v>10241</v>
      </c>
    </row>
    <row r="614" spans="1:2">
      <c r="A614" s="1" t="s">
        <v>830</v>
      </c>
      <c r="B614" t="s">
        <v>10234</v>
      </c>
    </row>
    <row r="615" spans="1:2">
      <c r="A615" s="1" t="s">
        <v>1609</v>
      </c>
      <c r="B615" t="s">
        <v>10266</v>
      </c>
    </row>
    <row r="616" spans="1:2">
      <c r="A616" s="1" t="s">
        <v>1610</v>
      </c>
      <c r="B616" t="s">
        <v>10272</v>
      </c>
    </row>
    <row r="617" spans="1:2">
      <c r="A617" s="1" t="s">
        <v>816</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740</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584</v>
      </c>
      <c r="B647" t="s">
        <v>10260</v>
      </c>
    </row>
    <row r="648" spans="1:2">
      <c r="A648" s="1" t="s">
        <v>1638</v>
      </c>
      <c r="B648" t="s">
        <v>10232</v>
      </c>
    </row>
    <row r="649" spans="1:2">
      <c r="A649" s="1" t="s">
        <v>807</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562</v>
      </c>
      <c r="B681" t="s">
        <v>10242</v>
      </c>
    </row>
    <row r="682" spans="1:2">
      <c r="A682" s="1" t="s">
        <v>1670</v>
      </c>
      <c r="B682" t="s">
        <v>10297</v>
      </c>
    </row>
    <row r="683" spans="1:2">
      <c r="A683" s="1" t="s">
        <v>1671</v>
      </c>
      <c r="B683" t="s">
        <v>10344</v>
      </c>
    </row>
    <row r="684" spans="1:2">
      <c r="A684" s="1" t="s">
        <v>1672</v>
      </c>
      <c r="B684" t="s">
        <v>10287</v>
      </c>
    </row>
    <row r="685" spans="1:2">
      <c r="A685" s="1" t="s">
        <v>471</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860</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829</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821</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799</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767</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455</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373</v>
      </c>
      <c r="B851" t="s">
        <v>10275</v>
      </c>
    </row>
    <row r="852" spans="1:2">
      <c r="A852" s="1" t="s">
        <v>1832</v>
      </c>
      <c r="B852" t="s">
        <v>10254</v>
      </c>
    </row>
    <row r="853" spans="1:2">
      <c r="A853" s="1" t="s">
        <v>1833</v>
      </c>
      <c r="B853" t="s">
        <v>10254</v>
      </c>
    </row>
    <row r="854" spans="1:2">
      <c r="A854" s="1" t="s">
        <v>805</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844</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811</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738</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797</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542</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763</v>
      </c>
      <c r="B961" t="s">
        <v>10260</v>
      </c>
    </row>
    <row r="962" spans="1:2">
      <c r="A962" s="1" t="s">
        <v>1935</v>
      </c>
      <c r="B962" t="s">
        <v>10232</v>
      </c>
    </row>
    <row r="963" spans="1:2">
      <c r="A963" s="1" t="s">
        <v>1936</v>
      </c>
      <c r="B963" t="s">
        <v>10244</v>
      </c>
    </row>
    <row r="964" spans="1:2">
      <c r="A964" s="1" t="s">
        <v>775</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616</v>
      </c>
      <c r="B1004" t="s">
        <v>10254</v>
      </c>
    </row>
    <row r="1005" spans="1:2">
      <c r="A1005" s="1" t="s">
        <v>1976</v>
      </c>
      <c r="B1005" t="s">
        <v>10273</v>
      </c>
    </row>
    <row r="1006" spans="1:2">
      <c r="A1006" s="1" t="s">
        <v>675</v>
      </c>
      <c r="B1006" t="s">
        <v>10297</v>
      </c>
    </row>
    <row r="1007" spans="1:2">
      <c r="A1007" s="1" t="s">
        <v>1977</v>
      </c>
      <c r="B1007" t="s">
        <v>10366</v>
      </c>
    </row>
    <row r="1008" spans="1:2">
      <c r="A1008" s="1" t="s">
        <v>1978</v>
      </c>
      <c r="B1008" t="s">
        <v>10244</v>
      </c>
    </row>
    <row r="1009" spans="1:2">
      <c r="A1009" s="1" t="s">
        <v>1979</v>
      </c>
      <c r="B1009" t="s">
        <v>10255</v>
      </c>
    </row>
    <row r="1010" spans="1:2">
      <c r="A1010" s="1" t="s">
        <v>834</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840</v>
      </c>
      <c r="B1034" t="s">
        <v>10254</v>
      </c>
    </row>
    <row r="1035" spans="1:2">
      <c r="A1035" s="1" t="s">
        <v>2003</v>
      </c>
      <c r="B1035" t="s">
        <v>10353</v>
      </c>
    </row>
    <row r="1036" spans="1:2">
      <c r="A1036" s="1" t="s">
        <v>2004</v>
      </c>
      <c r="B1036" t="s">
        <v>10312</v>
      </c>
    </row>
    <row r="1037" spans="1:2">
      <c r="A1037" s="1" t="s">
        <v>771</v>
      </c>
      <c r="B1037" t="s">
        <v>10287</v>
      </c>
    </row>
    <row r="1038" spans="1:2">
      <c r="A1038" s="1" t="s">
        <v>2005</v>
      </c>
      <c r="B1038" t="s">
        <v>10287</v>
      </c>
    </row>
    <row r="1039" spans="1:2">
      <c r="A1039" s="1" t="s">
        <v>2006</v>
      </c>
      <c r="B1039" t="s">
        <v>10287</v>
      </c>
    </row>
    <row r="1040" spans="1:2">
      <c r="A1040" s="1" t="s">
        <v>651</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260</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770</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655</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776</v>
      </c>
      <c r="B1079" t="s">
        <v>10374</v>
      </c>
    </row>
    <row r="1080" spans="1:2">
      <c r="A1080" s="1" t="s">
        <v>403</v>
      </c>
      <c r="B1080" t="s">
        <v>10242</v>
      </c>
    </row>
    <row r="1081" spans="1:2">
      <c r="A1081" s="1" t="s">
        <v>2042</v>
      </c>
      <c r="B1081" t="s">
        <v>10353</v>
      </c>
    </row>
    <row r="1082" spans="1:2">
      <c r="A1082" s="1" t="s">
        <v>2043</v>
      </c>
      <c r="B1082" t="s">
        <v>10276</v>
      </c>
    </row>
    <row r="1083" spans="1:2">
      <c r="A1083" s="1" t="s">
        <v>744</v>
      </c>
      <c r="B1083" t="s">
        <v>10287</v>
      </c>
    </row>
    <row r="1084" spans="1:2">
      <c r="A1084" s="1" t="s">
        <v>2044</v>
      </c>
      <c r="B1084" t="s">
        <v>10297</v>
      </c>
    </row>
    <row r="1085" spans="1:2">
      <c r="A1085" s="1" t="s">
        <v>2045</v>
      </c>
      <c r="B1085" t="s">
        <v>10232</v>
      </c>
    </row>
    <row r="1086" spans="1:2">
      <c r="A1086" s="1" t="s">
        <v>462</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661</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606</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240</v>
      </c>
      <c r="B1150" t="s">
        <v>10251</v>
      </c>
    </row>
    <row r="1151" spans="1:2">
      <c r="A1151" s="1" t="s">
        <v>2107</v>
      </c>
      <c r="B1151" t="s">
        <v>10240</v>
      </c>
    </row>
    <row r="1152" spans="1:2">
      <c r="A1152" s="1" t="s">
        <v>2108</v>
      </c>
      <c r="B1152" t="s">
        <v>10249</v>
      </c>
    </row>
    <row r="1153" spans="1:2">
      <c r="A1153" s="1" t="s">
        <v>631</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607</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849</v>
      </c>
      <c r="B1224" t="s">
        <v>10384</v>
      </c>
    </row>
    <row r="1225" spans="1:2">
      <c r="A1225" s="1" t="s">
        <v>2177</v>
      </c>
      <c r="B1225" t="s">
        <v>10252</v>
      </c>
    </row>
    <row r="1226" spans="1:2">
      <c r="A1226" s="1" t="s">
        <v>2178</v>
      </c>
      <c r="B1226" t="s">
        <v>10244</v>
      </c>
    </row>
    <row r="1227" spans="1:2">
      <c r="A1227" s="1" t="s">
        <v>443</v>
      </c>
      <c r="B1227" t="s">
        <v>10269</v>
      </c>
    </row>
    <row r="1228" spans="1:2">
      <c r="A1228" s="1" t="s">
        <v>2179</v>
      </c>
      <c r="B1228" t="s">
        <v>10379</v>
      </c>
    </row>
    <row r="1229" spans="1:2">
      <c r="A1229" s="1" t="s">
        <v>2180</v>
      </c>
      <c r="B1229" t="s">
        <v>10287</v>
      </c>
    </row>
    <row r="1230" spans="1:2">
      <c r="A1230" s="1" t="s">
        <v>2181</v>
      </c>
      <c r="B1230" t="s">
        <v>10234</v>
      </c>
    </row>
    <row r="1231" spans="1:2">
      <c r="A1231" s="1" t="s">
        <v>743</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610</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853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869</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248</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795</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598</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228</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857</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784</v>
      </c>
      <c r="B1408" t="s">
        <v>10336</v>
      </c>
    </row>
    <row r="1409" spans="1:2">
      <c r="A1409" s="1" t="s">
        <v>2349</v>
      </c>
      <c r="B1409" t="s">
        <v>10273</v>
      </c>
    </row>
    <row r="1410" spans="1:2">
      <c r="A1410" s="1" t="s">
        <v>2350</v>
      </c>
      <c r="B1410" t="s">
        <v>10249</v>
      </c>
    </row>
    <row r="1411" spans="1:2">
      <c r="A1411" s="1" t="s">
        <v>380</v>
      </c>
      <c r="B1411" t="s">
        <v>10249</v>
      </c>
    </row>
    <row r="1412" spans="1:2">
      <c r="A1412" s="1" t="s">
        <v>2351</v>
      </c>
      <c r="B1412" t="s">
        <v>10244</v>
      </c>
    </row>
    <row r="1413" spans="1:2">
      <c r="A1413" s="1" t="s">
        <v>778</v>
      </c>
      <c r="B1413" t="s">
        <v>10284</v>
      </c>
    </row>
    <row r="1414" spans="1:2">
      <c r="A1414" s="1" t="s">
        <v>2352</v>
      </c>
      <c r="B1414" t="s">
        <v>10291</v>
      </c>
    </row>
    <row r="1415" spans="1:2">
      <c r="A1415" s="1" t="s">
        <v>2353</v>
      </c>
      <c r="B1415" t="s">
        <v>10251</v>
      </c>
    </row>
    <row r="1416" spans="1:2">
      <c r="A1416" s="1" t="s">
        <v>2354</v>
      </c>
      <c r="B1416" t="s">
        <v>10272</v>
      </c>
    </row>
    <row r="1417" spans="1:2">
      <c r="A1417" s="1" t="s">
        <v>583</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614</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809</v>
      </c>
      <c r="B1499" t="s">
        <v>10244</v>
      </c>
    </row>
    <row r="1500" spans="1:2">
      <c r="A1500" s="1" t="s">
        <v>2435</v>
      </c>
      <c r="B1500" t="s">
        <v>10232</v>
      </c>
    </row>
    <row r="1501" spans="1:2">
      <c r="A1501" s="1" t="s">
        <v>334</v>
      </c>
      <c r="B1501" t="s">
        <v>10244</v>
      </c>
    </row>
    <row r="1502" spans="1:2">
      <c r="A1502" s="1" t="s">
        <v>879</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500</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669</v>
      </c>
      <c r="B1518" t="s">
        <v>10288</v>
      </c>
    </row>
    <row r="1519" spans="1:2">
      <c r="A1519" s="1" t="s">
        <v>2450</v>
      </c>
      <c r="B1519" t="s">
        <v>10244</v>
      </c>
    </row>
    <row r="1520" spans="1:2">
      <c r="A1520" s="1" t="s">
        <v>2451</v>
      </c>
      <c r="B1520" t="s">
        <v>10315</v>
      </c>
    </row>
    <row r="1521" spans="1:2">
      <c r="A1521" s="1" t="s">
        <v>2452</v>
      </c>
      <c r="B1521" t="s">
        <v>10276</v>
      </c>
    </row>
    <row r="1522" spans="1:2">
      <c r="A1522" s="1" t="s">
        <v>865</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327</v>
      </c>
      <c r="B1530" t="s">
        <v>10268</v>
      </c>
    </row>
    <row r="1531" spans="1:2">
      <c r="A1531" s="1" t="s">
        <v>418</v>
      </c>
      <c r="B1531" t="s">
        <v>10414</v>
      </c>
    </row>
    <row r="1532" spans="1:2">
      <c r="A1532" s="1" t="s">
        <v>2460</v>
      </c>
      <c r="B1532" t="s">
        <v>10367</v>
      </c>
    </row>
    <row r="1533" spans="1:2">
      <c r="A1533" s="1" t="s">
        <v>2461</v>
      </c>
      <c r="B1533" t="s">
        <v>10232</v>
      </c>
    </row>
    <row r="1534" spans="1:2">
      <c r="A1534" s="1" t="s">
        <v>410</v>
      </c>
      <c r="B1534" t="s">
        <v>10292</v>
      </c>
    </row>
    <row r="1535" spans="1:2">
      <c r="A1535" s="1" t="s">
        <v>2462</v>
      </c>
      <c r="B1535" t="s">
        <v>10232</v>
      </c>
    </row>
    <row r="1536" spans="1:2">
      <c r="A1536" s="1" t="s">
        <v>2463</v>
      </c>
      <c r="B1536" t="s">
        <v>10234</v>
      </c>
    </row>
    <row r="1537" spans="1:2">
      <c r="A1537" s="1" t="s">
        <v>712</v>
      </c>
      <c r="B1537" t="s">
        <v>10287</v>
      </c>
    </row>
    <row r="1538" spans="1:2">
      <c r="A1538" s="1" t="s">
        <v>2464</v>
      </c>
      <c r="B1538" t="s">
        <v>10252</v>
      </c>
    </row>
    <row r="1539" spans="1:2">
      <c r="A1539" s="1" t="s">
        <v>2465</v>
      </c>
      <c r="B1539" t="s">
        <v>10414</v>
      </c>
    </row>
    <row r="1540" spans="1:2">
      <c r="A1540" s="1" t="s">
        <v>487</v>
      </c>
      <c r="B1540" t="s">
        <v>10287</v>
      </c>
    </row>
    <row r="1541" spans="1:2">
      <c r="A1541" s="1" t="s">
        <v>2466</v>
      </c>
      <c r="B1541" t="s">
        <v>10329</v>
      </c>
    </row>
    <row r="1542" spans="1:2">
      <c r="A1542" s="1" t="s">
        <v>2467</v>
      </c>
      <c r="B1542" t="s">
        <v>10249</v>
      </c>
    </row>
    <row r="1543" spans="1:2">
      <c r="A1543" s="1" t="s">
        <v>214</v>
      </c>
      <c r="B1543" t="s">
        <v>10268</v>
      </c>
    </row>
    <row r="1544" spans="1:2">
      <c r="A1544" s="1" t="s">
        <v>769</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611</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650</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595</v>
      </c>
      <c r="B1594" t="s">
        <v>10253</v>
      </c>
    </row>
    <row r="1595" spans="1:2">
      <c r="A1595" s="1" t="s">
        <v>2515</v>
      </c>
      <c r="B1595" t="s">
        <v>10233</v>
      </c>
    </row>
    <row r="1596" spans="1:2">
      <c r="A1596" s="1" t="s">
        <v>2516</v>
      </c>
      <c r="B1596" t="s">
        <v>10276</v>
      </c>
    </row>
    <row r="1597" spans="1:2">
      <c r="A1597" s="1" t="s">
        <v>2517</v>
      </c>
      <c r="B1597" t="s">
        <v>10384</v>
      </c>
    </row>
    <row r="1598" spans="1:2">
      <c r="A1598" s="1" t="s">
        <v>164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734</v>
      </c>
      <c r="B1604" t="s">
        <v>10397</v>
      </c>
    </row>
    <row r="1605" spans="1:2">
      <c r="A1605" s="1" t="s">
        <v>406</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718</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210</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800</v>
      </c>
      <c r="B1644" t="s">
        <v>10287</v>
      </c>
    </row>
    <row r="1645" spans="1:2">
      <c r="A1645" s="1" t="s">
        <v>2559</v>
      </c>
      <c r="B1645" t="s">
        <v>10256</v>
      </c>
    </row>
    <row r="1646" spans="1:2">
      <c r="A1646" s="1" t="s">
        <v>774</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788</v>
      </c>
      <c r="B1651" t="s">
        <v>10284</v>
      </c>
    </row>
    <row r="1652" spans="1:2">
      <c r="A1652" s="1" t="s">
        <v>2564</v>
      </c>
      <c r="B1652" t="s">
        <v>10425</v>
      </c>
    </row>
    <row r="1653" spans="1:2">
      <c r="A1653" s="1" t="s">
        <v>643</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851</v>
      </c>
      <c r="B1662" t="s">
        <v>10409</v>
      </c>
    </row>
    <row r="1663" spans="1:2">
      <c r="A1663" s="1" t="s">
        <v>2573</v>
      </c>
      <c r="B1663" t="s">
        <v>10251</v>
      </c>
    </row>
    <row r="1664" spans="1:2">
      <c r="A1664" s="1" t="s">
        <v>2574</v>
      </c>
      <c r="B1664" t="s">
        <v>10234</v>
      </c>
    </row>
    <row r="1665" spans="1:2">
      <c r="A1665" s="1" t="s">
        <v>2575</v>
      </c>
      <c r="B1665" t="s">
        <v>10253</v>
      </c>
    </row>
    <row r="1666" spans="1:2">
      <c r="A1666" s="1" t="s">
        <v>639</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569</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582</v>
      </c>
      <c r="B1697" t="s">
        <v>10270</v>
      </c>
    </row>
    <row r="1698" spans="1:2">
      <c r="A1698" s="1" t="s">
        <v>2605</v>
      </c>
      <c r="B1698" t="s">
        <v>10371</v>
      </c>
    </row>
    <row r="1699" spans="1:2">
      <c r="A1699" s="1" t="s">
        <v>2606</v>
      </c>
      <c r="B1699" t="s">
        <v>10288</v>
      </c>
    </row>
    <row r="1700" spans="1:2">
      <c r="A1700" s="1" t="s">
        <v>698</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867</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189</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636</v>
      </c>
      <c r="B1748" t="s">
        <v>10421</v>
      </c>
    </row>
    <row r="1749" spans="1:2">
      <c r="A1749" s="1" t="s">
        <v>2651</v>
      </c>
      <c r="B1749" t="s">
        <v>10392</v>
      </c>
    </row>
    <row r="1750" spans="1:2">
      <c r="A1750" s="1" t="s">
        <v>2652</v>
      </c>
      <c r="B1750" t="s">
        <v>10329</v>
      </c>
    </row>
    <row r="1751" spans="1:2">
      <c r="A1751" s="1" t="s">
        <v>475</v>
      </c>
      <c r="B1751" t="s">
        <v>10242</v>
      </c>
    </row>
    <row r="1752" spans="1:2">
      <c r="A1752" s="1" t="s">
        <v>668</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859</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237</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688</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200</v>
      </c>
      <c r="B1819" t="s">
        <v>10323</v>
      </c>
    </row>
    <row r="1820" spans="1:2">
      <c r="A1820" s="1" t="s">
        <v>2716</v>
      </c>
      <c r="B1820" t="s">
        <v>10302</v>
      </c>
    </row>
    <row r="1821" spans="1:2">
      <c r="A1821" s="1" t="s">
        <v>2717</v>
      </c>
      <c r="B1821" t="s">
        <v>10287</v>
      </c>
    </row>
    <row r="1822" spans="1:2">
      <c r="A1822" s="1" t="s">
        <v>396</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626</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548</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822</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593</v>
      </c>
      <c r="B1887" t="s">
        <v>10244</v>
      </c>
    </row>
    <row r="1888" spans="1:2">
      <c r="A1888" s="1" t="s">
        <v>2778</v>
      </c>
      <c r="B1888" t="s">
        <v>10250</v>
      </c>
    </row>
    <row r="1889" spans="1:2">
      <c r="A1889" s="1" t="s">
        <v>2779</v>
      </c>
      <c r="B1889" t="s">
        <v>10436</v>
      </c>
    </row>
    <row r="1890" spans="1:2">
      <c r="A1890" s="1" t="s">
        <v>2780</v>
      </c>
      <c r="B1890" t="s">
        <v>10374</v>
      </c>
    </row>
    <row r="1891" spans="1:2">
      <c r="A1891" s="1" t="s">
        <v>796</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856</v>
      </c>
      <c r="B1905" t="s">
        <v>10239</v>
      </c>
    </row>
    <row r="1906" spans="1:2">
      <c r="A1906" s="1" t="s">
        <v>2794</v>
      </c>
      <c r="B1906" t="s">
        <v>10376</v>
      </c>
    </row>
    <row r="1907" spans="1:2">
      <c r="A1907" s="1" t="s">
        <v>2795</v>
      </c>
      <c r="B1907" t="s">
        <v>10244</v>
      </c>
    </row>
    <row r="1908" spans="1:2">
      <c r="A1908" s="1" t="s">
        <v>492</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863</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790</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619</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727</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572</v>
      </c>
      <c r="B2016" t="s">
        <v>10250</v>
      </c>
    </row>
    <row r="2017" spans="1:2">
      <c r="A2017" s="1" t="s">
        <v>2897</v>
      </c>
      <c r="B2017" t="s">
        <v>10244</v>
      </c>
    </row>
    <row r="2018" spans="1:2">
      <c r="A2018" s="1" t="s">
        <v>2898</v>
      </c>
      <c r="B2018" t="s">
        <v>10315</v>
      </c>
    </row>
    <row r="2019" spans="1:2">
      <c r="A2019" s="1" t="s">
        <v>565</v>
      </c>
      <c r="B2019" t="s">
        <v>10254</v>
      </c>
    </row>
    <row r="2020" spans="1:2">
      <c r="A2020" s="1" t="s">
        <v>2899</v>
      </c>
      <c r="B2020" t="s">
        <v>10346</v>
      </c>
    </row>
    <row r="2021" spans="1:2">
      <c r="A2021" s="1" t="s">
        <v>449</v>
      </c>
      <c r="B2021" t="s">
        <v>10250</v>
      </c>
    </row>
    <row r="2022" spans="1:2">
      <c r="A2022" s="1" t="s">
        <v>843</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785</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725</v>
      </c>
      <c r="B2043" t="s">
        <v>10293</v>
      </c>
    </row>
    <row r="2044" spans="1:2">
      <c r="A2044" s="1" t="s">
        <v>2919</v>
      </c>
      <c r="B2044" t="s">
        <v>10250</v>
      </c>
    </row>
    <row r="2045" spans="1:2">
      <c r="A2045" s="1" t="s">
        <v>2920</v>
      </c>
      <c r="B2045" t="s">
        <v>10271</v>
      </c>
    </row>
    <row r="2046" spans="1:2">
      <c r="A2046" s="1" t="s">
        <v>2921</v>
      </c>
      <c r="B2046" t="s">
        <v>10376</v>
      </c>
    </row>
    <row r="2047" spans="1:2">
      <c r="A2047" s="1" t="s">
        <v>597</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756</v>
      </c>
      <c r="B2064" t="s">
        <v>10244</v>
      </c>
    </row>
    <row r="2065" spans="1:2">
      <c r="A2065" s="1" t="s">
        <v>2938</v>
      </c>
      <c r="B2065" t="s">
        <v>10293</v>
      </c>
    </row>
    <row r="2066" spans="1:2">
      <c r="A2066" s="1" t="s">
        <v>2939</v>
      </c>
      <c r="B2066" t="s">
        <v>10281</v>
      </c>
    </row>
    <row r="2067" spans="1:2">
      <c r="A2067" s="1" t="s">
        <v>2940</v>
      </c>
      <c r="B2067" t="s">
        <v>10370</v>
      </c>
    </row>
    <row r="2068" spans="1:2">
      <c r="A2068" s="1" t="s">
        <v>230</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601</v>
      </c>
      <c r="B2073" t="s">
        <v>10249</v>
      </c>
    </row>
    <row r="2074" spans="1:2">
      <c r="A2074" s="1" t="s">
        <v>2945</v>
      </c>
      <c r="B2074" t="s">
        <v>10240</v>
      </c>
    </row>
    <row r="2075" spans="1:2">
      <c r="A2075" s="1" t="s">
        <v>630</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467</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627</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644</v>
      </c>
      <c r="B2118" t="s">
        <v>10296</v>
      </c>
    </row>
    <row r="2119" spans="1:2">
      <c r="A2119" s="1" t="s">
        <v>2984</v>
      </c>
      <c r="B2119" t="s">
        <v>10413</v>
      </c>
    </row>
    <row r="2120" spans="1:2">
      <c r="A2120" s="1" t="s">
        <v>742</v>
      </c>
      <c r="B2120" t="s">
        <v>10260</v>
      </c>
    </row>
    <row r="2121" spans="1:2">
      <c r="A2121" s="1" t="s">
        <v>777</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690</v>
      </c>
      <c r="B2154" t="s">
        <v>10262</v>
      </c>
    </row>
    <row r="2155" spans="1:2">
      <c r="A2155" s="1" t="s">
        <v>3017</v>
      </c>
      <c r="B2155" t="s">
        <v>10279</v>
      </c>
    </row>
    <row r="2156" spans="1:2">
      <c r="A2156" s="1" t="s">
        <v>780</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665</v>
      </c>
      <c r="B2161" t="s">
        <v>10234</v>
      </c>
    </row>
    <row r="2162" spans="1:2">
      <c r="A2162" s="1" t="s">
        <v>3022</v>
      </c>
      <c r="B2162" t="s">
        <v>10250</v>
      </c>
    </row>
    <row r="2163" spans="1:2">
      <c r="A2163" s="1" t="s">
        <v>828</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404</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258</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687</v>
      </c>
      <c r="B2206" t="s">
        <v>10262</v>
      </c>
    </row>
    <row r="2207" spans="1:2">
      <c r="A2207" s="1" t="s">
        <v>3063</v>
      </c>
      <c r="B2207" t="s">
        <v>10273</v>
      </c>
    </row>
    <row r="2208" spans="1:2">
      <c r="A2208" s="1" t="s">
        <v>3064</v>
      </c>
      <c r="B2208" t="s">
        <v>10268</v>
      </c>
    </row>
    <row r="2209" spans="1:2">
      <c r="A2209" s="1" t="s">
        <v>3065</v>
      </c>
      <c r="B2209" t="s">
        <v>10234</v>
      </c>
    </row>
    <row r="2210" spans="1:2">
      <c r="A2210" s="1" t="s">
        <v>384</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824</v>
      </c>
      <c r="B2230" t="s">
        <v>10244</v>
      </c>
    </row>
    <row r="2231" spans="1:2">
      <c r="A2231" s="1" t="s">
        <v>263</v>
      </c>
      <c r="B2231" t="s">
        <v>10249</v>
      </c>
    </row>
    <row r="2232" spans="1:2">
      <c r="A2232" s="1" t="s">
        <v>3085</v>
      </c>
      <c r="B2232" t="s">
        <v>10232</v>
      </c>
    </row>
    <row r="2233" spans="1:2">
      <c r="A2233" s="1" t="s">
        <v>3086</v>
      </c>
      <c r="B2233" t="s">
        <v>10239</v>
      </c>
    </row>
    <row r="2234" spans="1:2">
      <c r="A2234" s="1" t="s">
        <v>3087</v>
      </c>
      <c r="B2234" t="s">
        <v>10250</v>
      </c>
    </row>
    <row r="2235" spans="1:2">
      <c r="A2235" s="1" t="s">
        <v>510</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815</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133</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684</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754</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634</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732</v>
      </c>
      <c r="B2312" t="s">
        <v>10287</v>
      </c>
    </row>
    <row r="2313" spans="1:2">
      <c r="A2313" s="1" t="s">
        <v>3158</v>
      </c>
      <c r="B2313" t="s">
        <v>10287</v>
      </c>
    </row>
    <row r="2314" spans="1:2">
      <c r="A2314" s="1" t="s">
        <v>207</v>
      </c>
      <c r="B2314" t="s">
        <v>10457</v>
      </c>
    </row>
    <row r="2315" spans="1:2">
      <c r="A2315" s="1" t="s">
        <v>3159</v>
      </c>
      <c r="B2315" t="s">
        <v>10244</v>
      </c>
    </row>
    <row r="2316" spans="1:2">
      <c r="A2316" s="1" t="s">
        <v>3160</v>
      </c>
      <c r="B2316" t="s">
        <v>10234</v>
      </c>
    </row>
    <row r="2317" spans="1:2">
      <c r="A2317" s="1" t="s">
        <v>726</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371</v>
      </c>
      <c r="B2325" t="s">
        <v>10300</v>
      </c>
    </row>
    <row r="2326" spans="1:2">
      <c r="A2326" s="1" t="s">
        <v>3168</v>
      </c>
      <c r="B2326" t="s">
        <v>10273</v>
      </c>
    </row>
    <row r="2327" spans="1:2">
      <c r="A2327" s="1" t="s">
        <v>3169</v>
      </c>
      <c r="B2327" t="s">
        <v>10255</v>
      </c>
    </row>
    <row r="2328" spans="1:2">
      <c r="A2328" s="1" t="s">
        <v>560</v>
      </c>
      <c r="B2328" t="s">
        <v>10300</v>
      </c>
    </row>
    <row r="2329" spans="1:2">
      <c r="A2329" s="1" t="s">
        <v>3170</v>
      </c>
      <c r="B2329" t="s">
        <v>10277</v>
      </c>
    </row>
    <row r="2330" spans="1:2">
      <c r="A2330" s="1" t="s">
        <v>3171</v>
      </c>
      <c r="B2330" t="s">
        <v>10250</v>
      </c>
    </row>
    <row r="2331" spans="1:2">
      <c r="A2331" s="1" t="s">
        <v>3172</v>
      </c>
      <c r="B2331" t="s">
        <v>10332</v>
      </c>
    </row>
    <row r="2332" spans="1:2">
      <c r="A2332" s="1" t="s">
        <v>677</v>
      </c>
      <c r="B2332" t="s">
        <v>10332</v>
      </c>
    </row>
    <row r="2333" spans="1:2">
      <c r="A2333" s="1" t="s">
        <v>220</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673</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203</v>
      </c>
      <c r="B2345" t="s">
        <v>10244</v>
      </c>
    </row>
    <row r="2346" spans="1:2">
      <c r="A2346" s="1" t="s">
        <v>3183</v>
      </c>
      <c r="B2346" t="s">
        <v>10329</v>
      </c>
    </row>
    <row r="2347" spans="1:2">
      <c r="A2347" s="1" t="s">
        <v>495</v>
      </c>
      <c r="B2347" t="s">
        <v>10239</v>
      </c>
    </row>
    <row r="2348" spans="1:2">
      <c r="A2348" s="1" t="s">
        <v>3184</v>
      </c>
      <c r="B2348" t="s">
        <v>10266</v>
      </c>
    </row>
    <row r="2349" spans="1:2">
      <c r="A2349" s="1" t="s">
        <v>192</v>
      </c>
      <c r="B2349" t="s">
        <v>10332</v>
      </c>
    </row>
    <row r="2350" spans="1:2">
      <c r="A2350" s="1" t="s">
        <v>3185</v>
      </c>
      <c r="B2350" t="s">
        <v>10253</v>
      </c>
    </row>
    <row r="2351" spans="1:2">
      <c r="A2351" s="1" t="s">
        <v>3186</v>
      </c>
      <c r="B2351" t="s">
        <v>10425</v>
      </c>
    </row>
    <row r="2352" spans="1:2">
      <c r="A2352" s="1" t="s">
        <v>714</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202</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422</v>
      </c>
      <c r="B2371" t="s">
        <v>10461</v>
      </c>
    </row>
    <row r="2372" spans="1:2">
      <c r="A2372" s="1" t="s">
        <v>3204</v>
      </c>
      <c r="B2372" t="s">
        <v>10250</v>
      </c>
    </row>
    <row r="2373" spans="1:2">
      <c r="A2373" s="1" t="s">
        <v>540</v>
      </c>
      <c r="B2373" t="s">
        <v>10287</v>
      </c>
    </row>
    <row r="2374" spans="1:2">
      <c r="A2374" s="1" t="s">
        <v>3205</v>
      </c>
      <c r="B2374" t="s">
        <v>10254</v>
      </c>
    </row>
    <row r="2375" spans="1:2">
      <c r="A2375" s="1" t="s">
        <v>3206</v>
      </c>
      <c r="B2375" t="s">
        <v>10244</v>
      </c>
    </row>
    <row r="2376" spans="1:2">
      <c r="A2376" s="1" t="s">
        <v>3207</v>
      </c>
      <c r="B2376" t="s">
        <v>10262</v>
      </c>
    </row>
    <row r="2377" spans="1:2">
      <c r="A2377" s="1" t="s">
        <v>640</v>
      </c>
      <c r="B2377" t="s">
        <v>10244</v>
      </c>
    </row>
    <row r="2378" spans="1:2">
      <c r="A2378" s="1" t="s">
        <v>3208</v>
      </c>
      <c r="B2378" t="s">
        <v>10254</v>
      </c>
    </row>
    <row r="2379" spans="1:2">
      <c r="A2379" s="1" t="s">
        <v>3209</v>
      </c>
      <c r="B2379" t="s">
        <v>10297</v>
      </c>
    </row>
    <row r="2380" spans="1:2">
      <c r="A2380" s="1" t="s">
        <v>3210</v>
      </c>
      <c r="B2380" t="s">
        <v>10244</v>
      </c>
    </row>
    <row r="2381" spans="1:2">
      <c r="A2381" s="1" t="s">
        <v>401</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835</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381</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628</v>
      </c>
      <c r="B2409" t="s">
        <v>10272</v>
      </c>
    </row>
    <row r="2410" spans="1:2">
      <c r="A2410" s="1" t="s">
        <v>551</v>
      </c>
      <c r="B2410" t="s">
        <v>10290</v>
      </c>
    </row>
    <row r="2411" spans="1:2">
      <c r="A2411" s="1" t="s">
        <v>3236</v>
      </c>
      <c r="B2411" t="s">
        <v>10232</v>
      </c>
    </row>
    <row r="2412" spans="1:2">
      <c r="A2412" s="1" t="s">
        <v>3237</v>
      </c>
      <c r="B2412" t="s">
        <v>10234</v>
      </c>
    </row>
    <row r="2413" spans="1:2">
      <c r="A2413" s="1" t="s">
        <v>212</v>
      </c>
      <c r="B2413" t="s">
        <v>10260</v>
      </c>
    </row>
    <row r="2414" spans="1:2">
      <c r="A2414" s="1" t="s">
        <v>533</v>
      </c>
      <c r="B2414" t="s">
        <v>10333</v>
      </c>
    </row>
    <row r="2415" spans="1:2">
      <c r="A2415" s="1" t="s">
        <v>3238</v>
      </c>
      <c r="B2415" t="s">
        <v>10244</v>
      </c>
    </row>
    <row r="2416" spans="1:2">
      <c r="A2416" s="1" t="s">
        <v>3239</v>
      </c>
      <c r="B2416" t="s">
        <v>10244</v>
      </c>
    </row>
    <row r="2417" spans="1:2">
      <c r="A2417" s="1" t="s">
        <v>463</v>
      </c>
      <c r="B2417" t="s">
        <v>10397</v>
      </c>
    </row>
    <row r="2418" spans="1:2">
      <c r="A2418" s="1" t="s">
        <v>759</v>
      </c>
      <c r="B2418" t="s">
        <v>10338</v>
      </c>
    </row>
    <row r="2419" spans="1:2">
      <c r="A2419" s="1" t="s">
        <v>3240</v>
      </c>
      <c r="B2419" t="s">
        <v>10250</v>
      </c>
    </row>
    <row r="2420" spans="1:2">
      <c r="A2420" s="1" t="s">
        <v>3241</v>
      </c>
      <c r="B2420" t="s">
        <v>10234</v>
      </c>
    </row>
    <row r="2421" spans="1:2">
      <c r="A2421" s="1" t="s">
        <v>393</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454</v>
      </c>
      <c r="B2428" t="s">
        <v>10253</v>
      </c>
    </row>
    <row r="2429" spans="1:2">
      <c r="A2429" s="1" t="s">
        <v>3248</v>
      </c>
      <c r="B2429" t="s">
        <v>10463</v>
      </c>
    </row>
    <row r="2430" spans="1:2">
      <c r="A2430" s="1" t="s">
        <v>3249</v>
      </c>
      <c r="B2430" t="s">
        <v>10286</v>
      </c>
    </row>
    <row r="2431" spans="1:2">
      <c r="A2431" s="1" t="s">
        <v>3250</v>
      </c>
      <c r="B2431" t="s">
        <v>10244</v>
      </c>
    </row>
    <row r="2432" spans="1:2">
      <c r="A2432" s="1" t="s">
        <v>497</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280</v>
      </c>
      <c r="B2437" t="s">
        <v>10376</v>
      </c>
    </row>
    <row r="2438" spans="1:2">
      <c r="A2438" s="1" t="s">
        <v>3255</v>
      </c>
      <c r="B2438" t="s">
        <v>10393</v>
      </c>
    </row>
    <row r="2439" spans="1:2">
      <c r="A2439" s="1" t="s">
        <v>620</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745</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337</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605</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858</v>
      </c>
      <c r="B2482" t="s">
        <v>10294</v>
      </c>
    </row>
    <row r="2483" spans="1:2">
      <c r="A2483" s="1" t="s">
        <v>3295</v>
      </c>
      <c r="B2483" t="s">
        <v>10285</v>
      </c>
    </row>
    <row r="2484" spans="1:2">
      <c r="A2484" s="1" t="s">
        <v>436</v>
      </c>
      <c r="B2484" t="s">
        <v>10284</v>
      </c>
    </row>
    <row r="2485" spans="1:2">
      <c r="A2485" s="1" t="s">
        <v>3296</v>
      </c>
      <c r="B2485" t="s">
        <v>10261</v>
      </c>
    </row>
    <row r="2486" spans="1:2">
      <c r="A2486" s="1" t="s">
        <v>3297</v>
      </c>
      <c r="B2486" t="s">
        <v>10296</v>
      </c>
    </row>
    <row r="2487" spans="1:2">
      <c r="A2487" s="1" t="s">
        <v>751</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741</v>
      </c>
      <c r="B2495" t="s">
        <v>10463</v>
      </c>
    </row>
    <row r="2496" spans="1:2">
      <c r="A2496" s="1" t="s">
        <v>3305</v>
      </c>
      <c r="B2496" t="s">
        <v>10413</v>
      </c>
    </row>
    <row r="2497" spans="1:2">
      <c r="A2497" s="1" t="s">
        <v>798</v>
      </c>
      <c r="B2497" t="s">
        <v>10287</v>
      </c>
    </row>
    <row r="2498" spans="1:2">
      <c r="A2498" s="1" t="s">
        <v>670</v>
      </c>
      <c r="B2498" t="s">
        <v>10260</v>
      </c>
    </row>
    <row r="2499" spans="1:2">
      <c r="A2499" s="1" t="s">
        <v>3306</v>
      </c>
      <c r="B2499" t="s">
        <v>10296</v>
      </c>
    </row>
    <row r="2500" spans="1:2">
      <c r="A2500" s="1" t="s">
        <v>773</v>
      </c>
      <c r="B2500" t="s">
        <v>10234</v>
      </c>
    </row>
    <row r="2501" spans="1:2">
      <c r="A2501" s="1" t="s">
        <v>3307</v>
      </c>
      <c r="B2501" t="s">
        <v>10268</v>
      </c>
    </row>
    <row r="2502" spans="1:2">
      <c r="A2502" s="1" t="s">
        <v>310</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580</v>
      </c>
      <c r="B2507" t="s">
        <v>10335</v>
      </c>
    </row>
    <row r="2508" spans="1:2">
      <c r="A2508" s="1" t="s">
        <v>3312</v>
      </c>
      <c r="B2508" t="s">
        <v>10244</v>
      </c>
    </row>
    <row r="2509" spans="1:2">
      <c r="A2509" s="1" t="s">
        <v>3313</v>
      </c>
      <c r="B2509" t="s">
        <v>10232</v>
      </c>
    </row>
    <row r="2510" spans="1:2">
      <c r="A2510" s="1" t="s">
        <v>3314</v>
      </c>
      <c r="B2510" t="s">
        <v>10244</v>
      </c>
    </row>
    <row r="2511" spans="1:2">
      <c r="A2511" s="1" t="s">
        <v>190</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608</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154</v>
      </c>
      <c r="B2534" t="s">
        <v>10287</v>
      </c>
    </row>
    <row r="2535" spans="1:2">
      <c r="A2535" s="1" t="s">
        <v>3335</v>
      </c>
      <c r="B2535" t="s">
        <v>10266</v>
      </c>
    </row>
    <row r="2536" spans="1:2">
      <c r="A2536" s="1" t="s">
        <v>86</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792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408</v>
      </c>
      <c r="B2553" t="s">
        <v>10376</v>
      </c>
    </row>
    <row r="2554" spans="1:2">
      <c r="A2554" s="1" t="s">
        <v>3351</v>
      </c>
      <c r="B2554" t="s">
        <v>10249</v>
      </c>
    </row>
    <row r="2555" spans="1:2">
      <c r="A2555" s="1" t="s">
        <v>3352</v>
      </c>
      <c r="B2555" t="s">
        <v>10244</v>
      </c>
    </row>
    <row r="2556" spans="1:2">
      <c r="A2556" s="1" t="s">
        <v>385</v>
      </c>
      <c r="B2556" t="s">
        <v>10321</v>
      </c>
    </row>
    <row r="2557" spans="1:2">
      <c r="A2557" s="1" t="s">
        <v>413</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342</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692</v>
      </c>
      <c r="B2572" t="s">
        <v>10376</v>
      </c>
    </row>
    <row r="2573" spans="1:2">
      <c r="A2573" s="1" t="s">
        <v>3366</v>
      </c>
      <c r="B2573" t="s">
        <v>10269</v>
      </c>
    </row>
    <row r="2574" spans="1:2">
      <c r="A2574" s="1" t="s">
        <v>728</v>
      </c>
      <c r="B2574" t="s">
        <v>10234</v>
      </c>
    </row>
    <row r="2575" spans="1:2">
      <c r="A2575" s="1" t="s">
        <v>513</v>
      </c>
      <c r="B2575" t="s">
        <v>10254</v>
      </c>
    </row>
    <row r="2576" spans="1:2">
      <c r="A2576" s="1" t="s">
        <v>3367</v>
      </c>
      <c r="B2576" t="s">
        <v>10243</v>
      </c>
    </row>
    <row r="2577" spans="1:2">
      <c r="A2577" s="1" t="s">
        <v>3368</v>
      </c>
      <c r="B2577" t="s">
        <v>10232</v>
      </c>
    </row>
    <row r="2578" spans="1:2">
      <c r="A2578" s="1" t="s">
        <v>581</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878</v>
      </c>
      <c r="B2584" t="s">
        <v>10253</v>
      </c>
    </row>
    <row r="2585" spans="1:2">
      <c r="A2585" s="1" t="s">
        <v>3374</v>
      </c>
      <c r="B2585" t="s">
        <v>10232</v>
      </c>
    </row>
    <row r="2586" spans="1:2">
      <c r="A2586" s="1" t="s">
        <v>3375</v>
      </c>
      <c r="B2586" t="s">
        <v>10424</v>
      </c>
    </row>
    <row r="2587" spans="1:2">
      <c r="A2587" s="1" t="s">
        <v>222</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553</v>
      </c>
      <c r="B2592" t="s">
        <v>10249</v>
      </c>
    </row>
    <row r="2593" spans="1:2">
      <c r="A2593" s="1" t="s">
        <v>3380</v>
      </c>
      <c r="B2593" t="s">
        <v>10387</v>
      </c>
    </row>
    <row r="2594" spans="1:2">
      <c r="A2594" s="1" t="s">
        <v>3381</v>
      </c>
      <c r="B2594" t="s">
        <v>10353</v>
      </c>
    </row>
    <row r="2595" spans="1:2">
      <c r="A2595" s="1" t="s">
        <v>717</v>
      </c>
      <c r="B2595" t="s">
        <v>10300</v>
      </c>
    </row>
    <row r="2596" spans="1:2">
      <c r="A2596" s="1" t="s">
        <v>3382</v>
      </c>
      <c r="B2596" t="s">
        <v>10232</v>
      </c>
    </row>
    <row r="2597" spans="1:2">
      <c r="A2597" s="1" t="s">
        <v>3383</v>
      </c>
      <c r="B2597" t="s">
        <v>10302</v>
      </c>
    </row>
    <row r="2598" spans="1:2">
      <c r="A2598" s="1" t="s">
        <v>577</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187</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871</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854</v>
      </c>
      <c r="B2638" t="s">
        <v>10468</v>
      </c>
    </row>
    <row r="2639" spans="1:2">
      <c r="A2639" s="1" t="s">
        <v>3421</v>
      </c>
      <c r="B2639" t="s">
        <v>10232</v>
      </c>
    </row>
    <row r="2640" spans="1:2">
      <c r="A2640" s="1" t="s">
        <v>3422</v>
      </c>
      <c r="B2640" t="s">
        <v>10295</v>
      </c>
    </row>
    <row r="2641" spans="1:2">
      <c r="A2641" s="1" t="s">
        <v>3423</v>
      </c>
      <c r="B2641" t="s">
        <v>10253</v>
      </c>
    </row>
    <row r="2642" spans="1:2">
      <c r="A2642" s="1" t="s">
        <v>733</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494</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604</v>
      </c>
      <c r="B2659" t="s">
        <v>10264</v>
      </c>
    </row>
    <row r="2660" spans="1:2">
      <c r="A2660" s="1" t="s">
        <v>3439</v>
      </c>
      <c r="B2660" t="s">
        <v>10249</v>
      </c>
    </row>
    <row r="2661" spans="1:2">
      <c r="A2661" s="1" t="s">
        <v>483</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594</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470</v>
      </c>
      <c r="B2675" t="s">
        <v>10267</v>
      </c>
    </row>
    <row r="2676" spans="1:2">
      <c r="A2676" s="1" t="s">
        <v>3452</v>
      </c>
      <c r="B2676" t="s">
        <v>10244</v>
      </c>
    </row>
    <row r="2677" spans="1:2">
      <c r="A2677" s="1" t="s">
        <v>547</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314</v>
      </c>
      <c r="B2688" t="s">
        <v>10296</v>
      </c>
    </row>
    <row r="2689" spans="1:2">
      <c r="A2689" s="1" t="s">
        <v>3463</v>
      </c>
      <c r="B2689" t="s">
        <v>10280</v>
      </c>
    </row>
    <row r="2690" spans="1:2">
      <c r="A2690" s="1" t="s">
        <v>317</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241</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440</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747</v>
      </c>
      <c r="B2720" t="s">
        <v>10244</v>
      </c>
    </row>
    <row r="2721" spans="1:2">
      <c r="A2721" s="1" t="s">
        <v>3491</v>
      </c>
      <c r="B2721" t="s">
        <v>10244</v>
      </c>
    </row>
    <row r="2722" spans="1:2">
      <c r="A2722" s="1" t="s">
        <v>3492</v>
      </c>
      <c r="B2722" t="s">
        <v>10405</v>
      </c>
    </row>
    <row r="2723" spans="1:2">
      <c r="A2723" s="1" t="s">
        <v>409</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358</v>
      </c>
      <c r="B2735" t="s">
        <v>10297</v>
      </c>
    </row>
    <row r="2736" spans="1:2">
      <c r="A2736" s="1" t="s">
        <v>3503</v>
      </c>
      <c r="B2736" t="s">
        <v>10324</v>
      </c>
    </row>
    <row r="2737" spans="1:2">
      <c r="A2737" s="1" t="s">
        <v>3504</v>
      </c>
      <c r="B2737" t="s">
        <v>10232</v>
      </c>
    </row>
    <row r="2738" spans="1:2">
      <c r="A2738" s="1" t="s">
        <v>3505</v>
      </c>
      <c r="B2738" t="s">
        <v>10254</v>
      </c>
    </row>
    <row r="2739" spans="1:2">
      <c r="A2739" s="1" t="s">
        <v>377</v>
      </c>
      <c r="B2739" t="s">
        <v>10444</v>
      </c>
    </row>
    <row r="2740" spans="1:2">
      <c r="A2740" s="1" t="s">
        <v>3506</v>
      </c>
      <c r="B2740" t="s">
        <v>10357</v>
      </c>
    </row>
    <row r="2741" spans="1:2">
      <c r="A2741" s="1" t="s">
        <v>706</v>
      </c>
      <c r="B2741" t="s">
        <v>10244</v>
      </c>
    </row>
    <row r="2742" spans="1:2">
      <c r="A2742" s="1" t="s">
        <v>3507</v>
      </c>
      <c r="B2742" t="s">
        <v>10251</v>
      </c>
    </row>
    <row r="2743" spans="1:2">
      <c r="A2743" s="1" t="s">
        <v>3508</v>
      </c>
      <c r="B2743" t="s">
        <v>10240</v>
      </c>
    </row>
    <row r="2744" spans="1:2">
      <c r="A2744" s="1" t="s">
        <v>333</v>
      </c>
      <c r="B2744" t="s">
        <v>10296</v>
      </c>
    </row>
    <row r="2745" spans="1:2">
      <c r="A2745" s="1" t="s">
        <v>3509</v>
      </c>
      <c r="B2745" t="s">
        <v>10365</v>
      </c>
    </row>
    <row r="2746" spans="1:2">
      <c r="A2746" s="1" t="s">
        <v>3510</v>
      </c>
      <c r="B2746" t="s">
        <v>10250</v>
      </c>
    </row>
    <row r="2747" spans="1:2">
      <c r="A2747" s="1" t="s">
        <v>298</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319</v>
      </c>
      <c r="B2752" t="s">
        <v>10249</v>
      </c>
    </row>
    <row r="2753" spans="1:2">
      <c r="A2753" s="1" t="s">
        <v>3515</v>
      </c>
      <c r="B2753" t="s">
        <v>10272</v>
      </c>
    </row>
    <row r="2754" spans="1:2">
      <c r="A2754" s="1" t="s">
        <v>3516</v>
      </c>
      <c r="B2754" t="s">
        <v>10244</v>
      </c>
    </row>
    <row r="2755" spans="1:2">
      <c r="A2755" s="1" t="s">
        <v>308</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703</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32</v>
      </c>
      <c r="B2778" t="s">
        <v>10262</v>
      </c>
    </row>
    <row r="2779" spans="1:2">
      <c r="A2779" s="1" t="s">
        <v>3538</v>
      </c>
      <c r="B2779" t="s">
        <v>10250</v>
      </c>
    </row>
    <row r="2780" spans="1:2">
      <c r="A2780" s="1" t="s">
        <v>823</v>
      </c>
      <c r="B2780" t="s">
        <v>10290</v>
      </c>
    </row>
    <row r="2781" spans="1:2">
      <c r="A2781" s="1" t="s">
        <v>3539</v>
      </c>
      <c r="B2781" t="s">
        <v>10266</v>
      </c>
    </row>
    <row r="2782" spans="1:2">
      <c r="A2782" s="1" t="s">
        <v>3540</v>
      </c>
      <c r="B2782" t="s">
        <v>10293</v>
      </c>
    </row>
    <row r="2783" spans="1:2">
      <c r="A2783" s="1" t="s">
        <v>649</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825</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591</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354</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58</v>
      </c>
      <c r="B2830" t="s">
        <v>10239</v>
      </c>
    </row>
    <row r="2831" spans="1:2">
      <c r="A2831" s="1" t="s">
        <v>3584</v>
      </c>
      <c r="B2831" t="s">
        <v>10250</v>
      </c>
    </row>
    <row r="2832" spans="1:2">
      <c r="A2832" s="1" t="s">
        <v>3585</v>
      </c>
      <c r="B2832" t="s">
        <v>10244</v>
      </c>
    </row>
    <row r="2833" spans="1:2">
      <c r="A2833" s="1" t="s">
        <v>3586</v>
      </c>
      <c r="B2833" t="s">
        <v>10239</v>
      </c>
    </row>
    <row r="2834" spans="1:2">
      <c r="A2834" s="1" t="s">
        <v>96</v>
      </c>
      <c r="B2834" t="s">
        <v>10262</v>
      </c>
    </row>
    <row r="2835" spans="1:2">
      <c r="A2835" s="1" t="s">
        <v>3587</v>
      </c>
      <c r="B2835" t="s">
        <v>10302</v>
      </c>
    </row>
    <row r="2836" spans="1:2">
      <c r="A2836" s="1" t="s">
        <v>3588</v>
      </c>
      <c r="B2836" t="s">
        <v>10239</v>
      </c>
    </row>
    <row r="2837" spans="1:2">
      <c r="A2837" s="1" t="s">
        <v>3589</v>
      </c>
      <c r="B2837" t="s">
        <v>10249</v>
      </c>
    </row>
    <row r="2838" spans="1:2">
      <c r="A2838" s="1" t="s">
        <v>226</v>
      </c>
      <c r="B2838" t="s">
        <v>10290</v>
      </c>
    </row>
    <row r="2839" spans="1:2">
      <c r="A2839" s="1" t="s">
        <v>3590</v>
      </c>
      <c r="B2839" t="s">
        <v>10346</v>
      </c>
    </row>
    <row r="2840" spans="1:2">
      <c r="A2840" s="1" t="s">
        <v>3591</v>
      </c>
      <c r="B2840" t="s">
        <v>10363</v>
      </c>
    </row>
    <row r="2841" spans="1:2">
      <c r="A2841" s="1" t="s">
        <v>414</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472</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617</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134</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270</v>
      </c>
      <c r="B2883" t="s">
        <v>10252</v>
      </c>
    </row>
    <row r="2884" spans="1:2">
      <c r="A2884" s="1" t="s">
        <v>3630</v>
      </c>
      <c r="B2884" t="s">
        <v>10235</v>
      </c>
    </row>
    <row r="2885" spans="1:2">
      <c r="A2885" s="1" t="s">
        <v>506</v>
      </c>
      <c r="B2885" t="s">
        <v>10385</v>
      </c>
    </row>
    <row r="2886" spans="1:2">
      <c r="A2886" s="1" t="s">
        <v>92</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106</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578</v>
      </c>
      <c r="B2908" t="s">
        <v>10249</v>
      </c>
    </row>
    <row r="2909" spans="1:2">
      <c r="A2909" s="1" t="s">
        <v>3651</v>
      </c>
      <c r="B2909" t="s">
        <v>10297</v>
      </c>
    </row>
    <row r="2910" spans="1:2">
      <c r="A2910" s="1" t="s">
        <v>3652</v>
      </c>
      <c r="B2910" t="s">
        <v>10232</v>
      </c>
    </row>
    <row r="2911" spans="1:2">
      <c r="A2911" s="1" t="s">
        <v>33</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836</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261</v>
      </c>
      <c r="B2929" t="s">
        <v>10265</v>
      </c>
    </row>
    <row r="2930" spans="1:2">
      <c r="A2930" s="1" t="s">
        <v>3669</v>
      </c>
      <c r="B2930" t="s">
        <v>10234</v>
      </c>
    </row>
    <row r="2931" spans="1:2">
      <c r="A2931" s="1" t="s">
        <v>53</v>
      </c>
      <c r="B2931" t="s">
        <v>10262</v>
      </c>
    </row>
    <row r="2932" spans="1:2">
      <c r="A2932" s="1" t="s">
        <v>3670</v>
      </c>
      <c r="B2932" t="s">
        <v>10233</v>
      </c>
    </row>
    <row r="2933" spans="1:2">
      <c r="A2933" s="1" t="s">
        <v>3671</v>
      </c>
      <c r="B2933" t="s">
        <v>10244</v>
      </c>
    </row>
    <row r="2934" spans="1:2">
      <c r="A2934" s="1" t="s">
        <v>476</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256</v>
      </c>
      <c r="B2946" t="s">
        <v>10380</v>
      </c>
    </row>
    <row r="2947" spans="1:2">
      <c r="A2947" s="1" t="s">
        <v>3683</v>
      </c>
      <c r="B2947" t="s">
        <v>10254</v>
      </c>
    </row>
    <row r="2948" spans="1:2">
      <c r="A2948" s="1" t="s">
        <v>3684</v>
      </c>
      <c r="B2948" t="s">
        <v>10244</v>
      </c>
    </row>
    <row r="2949" spans="1:2">
      <c r="A2949" s="1" t="s">
        <v>3685</v>
      </c>
      <c r="B2949" t="s">
        <v>10233</v>
      </c>
    </row>
    <row r="2950" spans="1:2">
      <c r="A2950" s="1" t="s">
        <v>151</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450</v>
      </c>
      <c r="B2959" t="s">
        <v>10380</v>
      </c>
    </row>
    <row r="2960" spans="1:2">
      <c r="A2960" s="1" t="s">
        <v>511</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100</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423</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524</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659</v>
      </c>
      <c r="B3005" t="s">
        <v>10241</v>
      </c>
    </row>
    <row r="3006" spans="1:2">
      <c r="A3006" s="1" t="s">
        <v>3735</v>
      </c>
      <c r="B3006" t="s">
        <v>10302</v>
      </c>
    </row>
    <row r="3007" spans="1:2">
      <c r="A3007" s="1" t="s">
        <v>451</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318</v>
      </c>
      <c r="B3012" t="s">
        <v>10287</v>
      </c>
    </row>
    <row r="3013" spans="1:2">
      <c r="A3013" s="1" t="s">
        <v>3740</v>
      </c>
      <c r="B3013" t="s">
        <v>10324</v>
      </c>
    </row>
    <row r="3014" spans="1:2">
      <c r="A3014" s="1" t="s">
        <v>674</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473</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323</v>
      </c>
      <c r="B3034" t="s">
        <v>10297</v>
      </c>
    </row>
    <row r="3035" spans="1:2">
      <c r="A3035" s="1" t="s">
        <v>247</v>
      </c>
      <c r="B3035" t="s">
        <v>10287</v>
      </c>
    </row>
    <row r="3036" spans="1:2">
      <c r="A3036" s="1" t="s">
        <v>3759</v>
      </c>
      <c r="B3036" t="s">
        <v>10425</v>
      </c>
    </row>
    <row r="3037" spans="1:2">
      <c r="A3037" s="1" t="s">
        <v>645</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646</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808</v>
      </c>
      <c r="B3072" t="s">
        <v>10290</v>
      </c>
    </row>
    <row r="3073" spans="1:2">
      <c r="A3073" s="1" t="s">
        <v>3793</v>
      </c>
      <c r="B3073" t="s">
        <v>10380</v>
      </c>
    </row>
    <row r="3074" spans="1:2">
      <c r="A3074" s="1" t="s">
        <v>3794</v>
      </c>
      <c r="B3074" t="s">
        <v>10276</v>
      </c>
    </row>
    <row r="3075" spans="1:2">
      <c r="A3075" s="1" t="s">
        <v>716</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447</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647</v>
      </c>
      <c r="B3094" t="s">
        <v>10312</v>
      </c>
    </row>
    <row r="3095" spans="1:2">
      <c r="A3095" s="1" t="s">
        <v>3812</v>
      </c>
      <c r="B3095" t="s">
        <v>10302</v>
      </c>
    </row>
    <row r="3096" spans="1:2">
      <c r="A3096" s="1" t="s">
        <v>3813</v>
      </c>
      <c r="B3096" t="s">
        <v>10250</v>
      </c>
    </row>
    <row r="3097" spans="1:2">
      <c r="A3097" s="1" t="s">
        <v>3814</v>
      </c>
      <c r="B3097" t="s">
        <v>10232</v>
      </c>
    </row>
    <row r="3098" spans="1:2">
      <c r="A3098" s="1" t="s">
        <v>349</v>
      </c>
      <c r="B3098" t="s">
        <v>10290</v>
      </c>
    </row>
    <row r="3099" spans="1:2">
      <c r="A3099" s="1" t="s">
        <v>3815</v>
      </c>
      <c r="B3099" t="s">
        <v>10258</v>
      </c>
    </row>
    <row r="3100" spans="1:2">
      <c r="A3100" s="1" t="s">
        <v>425</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550</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268</v>
      </c>
      <c r="B3115" t="s">
        <v>10290</v>
      </c>
    </row>
    <row r="3116" spans="1:2">
      <c r="A3116" s="1" t="s">
        <v>3829</v>
      </c>
      <c r="B3116" t="s">
        <v>10357</v>
      </c>
    </row>
    <row r="3117" spans="1:2">
      <c r="A3117" s="1" t="s">
        <v>3830</v>
      </c>
      <c r="B3117" t="s">
        <v>10235</v>
      </c>
    </row>
    <row r="3118" spans="1:2">
      <c r="A3118" s="1" t="s">
        <v>845</v>
      </c>
      <c r="B3118" t="s">
        <v>10273</v>
      </c>
    </row>
    <row r="3119" spans="1:2">
      <c r="A3119" s="1" t="s">
        <v>3831</v>
      </c>
      <c r="B3119" t="s">
        <v>10244</v>
      </c>
    </row>
    <row r="3120" spans="1:2">
      <c r="A3120" s="1" t="s">
        <v>564</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615</v>
      </c>
      <c r="B3127" t="s">
        <v>10272</v>
      </c>
    </row>
    <row r="3128" spans="1:2">
      <c r="A3128" s="1" t="s">
        <v>3838</v>
      </c>
      <c r="B3128" t="s">
        <v>10235</v>
      </c>
    </row>
    <row r="3129" spans="1:2">
      <c r="A3129" s="1" t="s">
        <v>501</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255</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765</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695</v>
      </c>
      <c r="B3162" t="s">
        <v>10324</v>
      </c>
    </row>
    <row r="3163" spans="1:2">
      <c r="A3163" s="1" t="s">
        <v>3868</v>
      </c>
      <c r="B3163" t="s">
        <v>10285</v>
      </c>
    </row>
    <row r="3164" spans="1:2">
      <c r="A3164" s="1" t="s">
        <v>3869</v>
      </c>
      <c r="B3164" t="s">
        <v>10235</v>
      </c>
    </row>
    <row r="3165" spans="1:2">
      <c r="A3165" s="1" t="s">
        <v>313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216</v>
      </c>
      <c r="B3171" t="s">
        <v>10244</v>
      </c>
    </row>
    <row r="3172" spans="1:2">
      <c r="A3172" s="1" t="s">
        <v>3875</v>
      </c>
      <c r="B3172" t="s">
        <v>10279</v>
      </c>
    </row>
    <row r="3173" spans="1:2">
      <c r="A3173" s="1" t="s">
        <v>3876</v>
      </c>
      <c r="B3173" t="s">
        <v>10467</v>
      </c>
    </row>
    <row r="3174" spans="1:2">
      <c r="A3174" s="1" t="s">
        <v>876</v>
      </c>
      <c r="B3174" t="s">
        <v>10332</v>
      </c>
    </row>
    <row r="3175" spans="1:2">
      <c r="A3175" s="1" t="s">
        <v>3877</v>
      </c>
      <c r="B3175" t="s">
        <v>10362</v>
      </c>
    </row>
    <row r="3176" spans="1:2">
      <c r="A3176" s="1" t="s">
        <v>127</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561</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515</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445</v>
      </c>
      <c r="B3202" t="s">
        <v>10287</v>
      </c>
    </row>
    <row r="3203" spans="1:2">
      <c r="A3203" s="1" t="s">
        <v>3901</v>
      </c>
      <c r="B3203" t="s">
        <v>10235</v>
      </c>
    </row>
    <row r="3204" spans="1:2">
      <c r="A3204" s="1" t="s">
        <v>3902</v>
      </c>
      <c r="B3204" t="s">
        <v>10335</v>
      </c>
    </row>
    <row r="3205" spans="1:2">
      <c r="A3205" s="1" t="s">
        <v>681</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453</v>
      </c>
      <c r="B3224" t="s">
        <v>10294</v>
      </c>
    </row>
    <row r="3225" spans="1:2">
      <c r="A3225" s="1" t="s">
        <v>3921</v>
      </c>
      <c r="B3225" t="s">
        <v>10240</v>
      </c>
    </row>
    <row r="3226" spans="1:2">
      <c r="A3226" s="1" t="s">
        <v>571</v>
      </c>
      <c r="B3226" t="s">
        <v>10336</v>
      </c>
    </row>
    <row r="3227" spans="1:2">
      <c r="A3227" s="1" t="s">
        <v>3922</v>
      </c>
      <c r="B3227" t="s">
        <v>10250</v>
      </c>
    </row>
    <row r="3228" spans="1:2">
      <c r="A3228" s="1" t="s">
        <v>3923</v>
      </c>
      <c r="B3228" t="s">
        <v>10367</v>
      </c>
    </row>
    <row r="3229" spans="1:2">
      <c r="A3229" s="1" t="s">
        <v>517</v>
      </c>
      <c r="B3229" t="s">
        <v>10289</v>
      </c>
    </row>
    <row r="3230" spans="1:2">
      <c r="A3230" s="1" t="s">
        <v>3924</v>
      </c>
      <c r="B3230" t="s">
        <v>10235</v>
      </c>
    </row>
    <row r="3231" spans="1:2">
      <c r="A3231" s="1" t="s">
        <v>287</v>
      </c>
      <c r="B3231" t="s">
        <v>10297</v>
      </c>
    </row>
    <row r="3232" spans="1:2">
      <c r="A3232" s="1" t="s">
        <v>3925</v>
      </c>
      <c r="B3232" t="s">
        <v>10480</v>
      </c>
    </row>
    <row r="3233" spans="1:2">
      <c r="A3233" s="1" t="s">
        <v>3926</v>
      </c>
      <c r="B3233" t="s">
        <v>10266</v>
      </c>
    </row>
    <row r="3234" spans="1:2">
      <c r="A3234" s="1" t="s">
        <v>141</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555</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41</v>
      </c>
      <c r="B3252" t="s">
        <v>10376</v>
      </c>
    </row>
    <row r="3253" spans="1:2">
      <c r="A3253" s="1" t="s">
        <v>438</v>
      </c>
      <c r="B3253" t="s">
        <v>10363</v>
      </c>
    </row>
    <row r="3254" spans="1:2">
      <c r="A3254" s="1" t="s">
        <v>131</v>
      </c>
      <c r="B3254" t="s">
        <v>10272</v>
      </c>
    </row>
    <row r="3255" spans="1:2">
      <c r="A3255" s="1" t="s">
        <v>3943</v>
      </c>
      <c r="B3255" t="s">
        <v>10333</v>
      </c>
    </row>
    <row r="3256" spans="1:2">
      <c r="A3256" s="1" t="s">
        <v>3944</v>
      </c>
      <c r="B3256" t="s">
        <v>10367</v>
      </c>
    </row>
    <row r="3257" spans="1:2">
      <c r="A3257" s="1" t="s">
        <v>3945</v>
      </c>
      <c r="B3257" t="s">
        <v>10240</v>
      </c>
    </row>
    <row r="3258" spans="1:2">
      <c r="A3258" s="1" t="s">
        <v>588</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554</v>
      </c>
      <c r="B3276" t="s">
        <v>10244</v>
      </c>
    </row>
    <row r="3277" spans="1:2">
      <c r="A3277" s="1" t="s">
        <v>3962</v>
      </c>
      <c r="B3277" t="s">
        <v>10293</v>
      </c>
    </row>
    <row r="3278" spans="1:2">
      <c r="A3278" s="1" t="s">
        <v>3963</v>
      </c>
      <c r="B3278" t="s">
        <v>10357</v>
      </c>
    </row>
    <row r="3279" spans="1:2">
      <c r="A3279" s="1" t="s">
        <v>730</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49</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431</v>
      </c>
      <c r="B3297" t="s">
        <v>10326</v>
      </c>
    </row>
    <row r="3298" spans="1:2">
      <c r="A3298" s="1" t="s">
        <v>417</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437</v>
      </c>
      <c r="B3306" t="s">
        <v>10315</v>
      </c>
    </row>
    <row r="3307" spans="1:2">
      <c r="A3307" s="1" t="s">
        <v>3987</v>
      </c>
      <c r="B3307" t="s">
        <v>10405</v>
      </c>
    </row>
    <row r="3308" spans="1:2">
      <c r="A3308" s="1" t="s">
        <v>233</v>
      </c>
      <c r="B3308" t="s">
        <v>10238</v>
      </c>
    </row>
    <row r="3309" spans="1:2">
      <c r="A3309" s="1" t="s">
        <v>3988</v>
      </c>
      <c r="B3309" t="s">
        <v>10271</v>
      </c>
    </row>
    <row r="3310" spans="1:2">
      <c r="A3310" s="1" t="s">
        <v>478</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749</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629</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575</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29</v>
      </c>
      <c r="B3336" t="s">
        <v>10293</v>
      </c>
    </row>
    <row r="3337" spans="1:2">
      <c r="A3337" s="1" t="s">
        <v>343</v>
      </c>
      <c r="B3337" t="s">
        <v>10374</v>
      </c>
    </row>
    <row r="3338" spans="1:2">
      <c r="A3338" s="1" t="s">
        <v>307</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303</v>
      </c>
      <c r="B3346" t="s">
        <v>10277</v>
      </c>
    </row>
    <row r="3347" spans="1:2">
      <c r="A3347" s="1" t="s">
        <v>159</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28</v>
      </c>
      <c r="B3368" t="s">
        <v>10332</v>
      </c>
    </row>
    <row r="3369" spans="1:2">
      <c r="A3369" s="1" t="s">
        <v>4037</v>
      </c>
      <c r="B3369" t="s">
        <v>10234</v>
      </c>
    </row>
    <row r="3370" spans="1:2">
      <c r="A3370" s="1" t="s">
        <v>4038</v>
      </c>
      <c r="B3370" t="s">
        <v>10244</v>
      </c>
    </row>
    <row r="3371" spans="1:2">
      <c r="A3371" s="1" t="s">
        <v>4039</v>
      </c>
      <c r="B3371" t="s">
        <v>10425</v>
      </c>
    </row>
    <row r="3372" spans="1:2">
      <c r="A3372" s="1" t="s">
        <v>163</v>
      </c>
      <c r="B3372" t="s">
        <v>10287</v>
      </c>
    </row>
    <row r="3373" spans="1:2">
      <c r="A3373" s="1" t="s">
        <v>464</v>
      </c>
      <c r="B3373" t="s">
        <v>10249</v>
      </c>
    </row>
    <row r="3374" spans="1:2">
      <c r="A3374" s="1" t="s">
        <v>4040</v>
      </c>
      <c r="B3374" t="s">
        <v>10376</v>
      </c>
    </row>
    <row r="3375" spans="1:2">
      <c r="A3375" s="1" t="s">
        <v>4041</v>
      </c>
      <c r="B3375" t="s">
        <v>10276</v>
      </c>
    </row>
    <row r="3376" spans="1:2">
      <c r="A3376" s="1" t="s">
        <v>296</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599</v>
      </c>
      <c r="B3382" t="s">
        <v>10287</v>
      </c>
    </row>
    <row r="3383" spans="1:2">
      <c r="A3383" s="1" t="s">
        <v>4047</v>
      </c>
      <c r="B3383" t="s">
        <v>10232</v>
      </c>
    </row>
    <row r="3384" spans="1:2">
      <c r="A3384" s="1" t="s">
        <v>4048</v>
      </c>
      <c r="B3384" t="s">
        <v>10287</v>
      </c>
    </row>
    <row r="3385" spans="1:2">
      <c r="A3385" s="1" t="s">
        <v>4049</v>
      </c>
      <c r="B3385" t="s">
        <v>10234</v>
      </c>
    </row>
    <row r="3386" spans="1:2">
      <c r="A3386" s="1" t="s">
        <v>592</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426</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538</v>
      </c>
      <c r="B3401" t="s">
        <v>10288</v>
      </c>
    </row>
    <row r="3402" spans="1:2">
      <c r="A3402" s="1" t="s">
        <v>481</v>
      </c>
      <c r="B3402" t="s">
        <v>10332</v>
      </c>
    </row>
    <row r="3403" spans="1:2">
      <c r="A3403" s="1" t="s">
        <v>633</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122</v>
      </c>
      <c r="B3409" t="s">
        <v>10296</v>
      </c>
    </row>
    <row r="3410" spans="1:2">
      <c r="A3410" s="1" t="s">
        <v>4068</v>
      </c>
      <c r="B3410" t="s">
        <v>10232</v>
      </c>
    </row>
    <row r="3411" spans="1:2">
      <c r="A3411" s="1" t="s">
        <v>4069</v>
      </c>
      <c r="B3411" t="s">
        <v>10384</v>
      </c>
    </row>
    <row r="3412" spans="1:2">
      <c r="A3412" s="1" t="s">
        <v>4070</v>
      </c>
      <c r="B3412" t="s">
        <v>10233</v>
      </c>
    </row>
    <row r="3413" spans="1:2">
      <c r="A3413" s="1" t="s">
        <v>299</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283</v>
      </c>
      <c r="B3427" t="s">
        <v>10346</v>
      </c>
    </row>
    <row r="3428" spans="1:2">
      <c r="A3428" s="1" t="s">
        <v>38</v>
      </c>
      <c r="B3428" t="s">
        <v>10308</v>
      </c>
    </row>
    <row r="3429" spans="1:2">
      <c r="A3429" s="1" t="s">
        <v>4084</v>
      </c>
      <c r="B3429" t="s">
        <v>10244</v>
      </c>
    </row>
    <row r="3430" spans="1:2">
      <c r="A3430" s="1" t="s">
        <v>4085</v>
      </c>
      <c r="B3430" t="s">
        <v>10272</v>
      </c>
    </row>
    <row r="3431" spans="1:2">
      <c r="A3431" s="1" t="s">
        <v>112</v>
      </c>
      <c r="B3431" t="s">
        <v>10363</v>
      </c>
    </row>
    <row r="3432" spans="1:2">
      <c r="A3432" s="1" t="s">
        <v>4086</v>
      </c>
      <c r="B3432" t="s">
        <v>10255</v>
      </c>
    </row>
    <row r="3433" spans="1:2">
      <c r="A3433" s="1" t="s">
        <v>4087</v>
      </c>
      <c r="B3433" t="s">
        <v>10392</v>
      </c>
    </row>
    <row r="3434" spans="1:2">
      <c r="A3434" s="1" t="s">
        <v>4088</v>
      </c>
      <c r="B3434" t="s">
        <v>10315</v>
      </c>
    </row>
    <row r="3435" spans="1:2">
      <c r="A3435" s="1" t="s">
        <v>144</v>
      </c>
      <c r="B3435" t="s">
        <v>10287</v>
      </c>
    </row>
    <row r="3436" spans="1:2">
      <c r="A3436" s="1" t="s">
        <v>729</v>
      </c>
      <c r="B3436" t="s">
        <v>10253</v>
      </c>
    </row>
    <row r="3437" spans="1:2">
      <c r="A3437" s="1" t="s">
        <v>389</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485</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861</v>
      </c>
      <c r="B3467" t="s">
        <v>10260</v>
      </c>
    </row>
    <row r="3468" spans="1:2">
      <c r="A3468" s="1" t="s">
        <v>4117</v>
      </c>
      <c r="B3468" t="s">
        <v>10264</v>
      </c>
    </row>
    <row r="3469" spans="1:2">
      <c r="A3469" s="1" t="s">
        <v>30</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556</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103</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76</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345</v>
      </c>
      <c r="B3498" t="s">
        <v>10271</v>
      </c>
    </row>
    <row r="3499" spans="1:2">
      <c r="A3499" s="1" t="s">
        <v>4143</v>
      </c>
      <c r="B3499" t="s">
        <v>10234</v>
      </c>
    </row>
    <row r="3500" spans="1:2">
      <c r="A3500" s="1" t="s">
        <v>4144</v>
      </c>
      <c r="B3500" t="s">
        <v>10294</v>
      </c>
    </row>
    <row r="3501" spans="1:2">
      <c r="A3501" s="1" t="s">
        <v>529</v>
      </c>
      <c r="B3501" t="s">
        <v>10297</v>
      </c>
    </row>
    <row r="3502" spans="1:2">
      <c r="A3502" s="1" t="s">
        <v>115</v>
      </c>
      <c r="B3502" t="s">
        <v>10332</v>
      </c>
    </row>
    <row r="3503" spans="1:2">
      <c r="A3503" s="1" t="s">
        <v>4145</v>
      </c>
      <c r="B3503" t="s">
        <v>10261</v>
      </c>
    </row>
    <row r="3504" spans="1:2">
      <c r="A3504" s="1" t="s">
        <v>4146</v>
      </c>
      <c r="B3504" t="s">
        <v>10266</v>
      </c>
    </row>
    <row r="3505" spans="1:2">
      <c r="A3505" s="1" t="s">
        <v>259</v>
      </c>
      <c r="B3505" t="s">
        <v>10310</v>
      </c>
    </row>
    <row r="3506" spans="1:2">
      <c r="A3506" s="1" t="s">
        <v>4147</v>
      </c>
      <c r="B3506" t="s">
        <v>10276</v>
      </c>
    </row>
    <row r="3507" spans="1:2">
      <c r="A3507" s="1" t="s">
        <v>4148</v>
      </c>
      <c r="B3507" t="s">
        <v>10244</v>
      </c>
    </row>
    <row r="3508" spans="1:2">
      <c r="A3508" s="1" t="s">
        <v>294</v>
      </c>
      <c r="B3508" t="s">
        <v>10241</v>
      </c>
    </row>
    <row r="3509" spans="1:2">
      <c r="A3509" s="1" t="s">
        <v>392</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596</v>
      </c>
      <c r="B3515" t="s">
        <v>10356</v>
      </c>
    </row>
    <row r="3516" spans="1:2">
      <c r="A3516" s="1" t="s">
        <v>4154</v>
      </c>
      <c r="B3516" t="s">
        <v>10235</v>
      </c>
    </row>
    <row r="3517" spans="1:2">
      <c r="A3517" s="1" t="s">
        <v>546</v>
      </c>
      <c r="B3517" t="s">
        <v>10287</v>
      </c>
    </row>
    <row r="3518" spans="1:2">
      <c r="A3518" s="1" t="s">
        <v>4155</v>
      </c>
      <c r="B3518" t="s">
        <v>10232</v>
      </c>
    </row>
    <row r="3519" spans="1:2">
      <c r="A3519" s="1" t="s">
        <v>814</v>
      </c>
      <c r="B3519" t="s">
        <v>10362</v>
      </c>
    </row>
    <row r="3520" spans="1:2">
      <c r="A3520" s="1" t="s">
        <v>4156</v>
      </c>
      <c r="B3520" t="s">
        <v>10413</v>
      </c>
    </row>
    <row r="3521" spans="1:2">
      <c r="A3521" s="1" t="s">
        <v>4157</v>
      </c>
      <c r="B3521" t="s">
        <v>10315</v>
      </c>
    </row>
    <row r="3522" spans="1:2">
      <c r="A3522" s="1" t="s">
        <v>4158</v>
      </c>
      <c r="B3522" t="s">
        <v>10290</v>
      </c>
    </row>
    <row r="3523" spans="1:2">
      <c r="A3523" s="1" t="s">
        <v>217</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724</v>
      </c>
      <c r="B3528" t="s">
        <v>10342</v>
      </c>
    </row>
    <row r="3529" spans="1:2">
      <c r="A3529" s="1" t="s">
        <v>4162</v>
      </c>
      <c r="B3529" t="s">
        <v>10233</v>
      </c>
    </row>
    <row r="3530" spans="1:2">
      <c r="A3530" s="1" t="s">
        <v>456</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61</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573</v>
      </c>
      <c r="B3544" t="s">
        <v>10271</v>
      </c>
    </row>
    <row r="3545" spans="1:2">
      <c r="A3545" s="1" t="s">
        <v>60</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446</v>
      </c>
      <c r="B3555" t="s">
        <v>10260</v>
      </c>
    </row>
    <row r="3556" spans="1:2">
      <c r="A3556" s="1" t="s">
        <v>4183</v>
      </c>
      <c r="B3556" t="s">
        <v>10415</v>
      </c>
    </row>
    <row r="3557" spans="1:2">
      <c r="A3557" s="1" t="s">
        <v>4184</v>
      </c>
      <c r="B3557" t="s">
        <v>10234</v>
      </c>
    </row>
    <row r="3558" spans="1:2">
      <c r="A3558" s="1" t="s">
        <v>638</v>
      </c>
      <c r="B3558" t="s">
        <v>10287</v>
      </c>
    </row>
    <row r="3559" spans="1:2">
      <c r="A3559" s="1" t="s">
        <v>4185</v>
      </c>
      <c r="B3559" t="s">
        <v>10272</v>
      </c>
    </row>
    <row r="3560" spans="1:2">
      <c r="A3560" s="1" t="s">
        <v>4186</v>
      </c>
      <c r="B3560" t="s">
        <v>10379</v>
      </c>
    </row>
    <row r="3561" spans="1:2">
      <c r="A3561" s="1" t="s">
        <v>642</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574</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265</v>
      </c>
      <c r="B3577" t="s">
        <v>10244</v>
      </c>
    </row>
    <row r="3578" spans="1:2">
      <c r="A3578" s="1" t="s">
        <v>4201</v>
      </c>
      <c r="B3578" t="s">
        <v>10282</v>
      </c>
    </row>
    <row r="3579" spans="1:2">
      <c r="A3579" s="1" t="s">
        <v>488</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175</v>
      </c>
      <c r="B3584" t="s">
        <v>10376</v>
      </c>
    </row>
    <row r="3585" spans="1:2">
      <c r="A3585" s="1" t="s">
        <v>4205</v>
      </c>
      <c r="B3585" t="s">
        <v>10253</v>
      </c>
    </row>
    <row r="3586" spans="1:2">
      <c r="A3586" s="1" t="s">
        <v>4206</v>
      </c>
      <c r="B3586" t="s">
        <v>10244</v>
      </c>
    </row>
    <row r="3587" spans="1:2">
      <c r="A3587" s="1" t="s">
        <v>528</v>
      </c>
      <c r="B3587" t="s">
        <v>10234</v>
      </c>
    </row>
    <row r="3588" spans="1:2">
      <c r="A3588" s="1" t="s">
        <v>31</v>
      </c>
      <c r="B3588" t="s">
        <v>10294</v>
      </c>
    </row>
    <row r="3589" spans="1:2">
      <c r="A3589" s="1" t="s">
        <v>279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208</v>
      </c>
      <c r="B3594" t="s">
        <v>10376</v>
      </c>
    </row>
    <row r="3595" spans="1:2">
      <c r="A3595" s="1" t="s">
        <v>4211</v>
      </c>
      <c r="B3595" t="s">
        <v>10232</v>
      </c>
    </row>
    <row r="3596" spans="1:2">
      <c r="A3596" s="1" t="s">
        <v>4212</v>
      </c>
      <c r="B3596" t="s">
        <v>10335</v>
      </c>
    </row>
    <row r="3597" spans="1:2">
      <c r="A3597" s="1" t="s">
        <v>707</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676</v>
      </c>
      <c r="B3608" t="s">
        <v>10288</v>
      </c>
    </row>
    <row r="3609" spans="1:2">
      <c r="A3609" s="1" t="s">
        <v>4223</v>
      </c>
      <c r="B3609" t="s">
        <v>10424</v>
      </c>
    </row>
    <row r="3610" spans="1:2">
      <c r="A3610" s="1" t="s">
        <v>269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348</v>
      </c>
      <c r="B3622" t="s">
        <v>10440</v>
      </c>
    </row>
    <row r="3623" spans="1:2">
      <c r="A3623" s="1" t="s">
        <v>50</v>
      </c>
      <c r="B3623" t="s">
        <v>10244</v>
      </c>
    </row>
    <row r="3624" spans="1:2">
      <c r="A3624" s="1" t="s">
        <v>4235</v>
      </c>
      <c r="B3624" t="s">
        <v>10298</v>
      </c>
    </row>
    <row r="3625" spans="1:2">
      <c r="A3625" s="1" t="s">
        <v>4236</v>
      </c>
      <c r="B3625" t="s">
        <v>10235</v>
      </c>
    </row>
    <row r="3626" spans="1:2">
      <c r="A3626" s="1" t="s">
        <v>267</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170</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353</v>
      </c>
      <c r="B3658" t="s">
        <v>10254</v>
      </c>
    </row>
    <row r="3659" spans="1:2">
      <c r="A3659" s="1" t="s">
        <v>4267</v>
      </c>
      <c r="B3659" t="s">
        <v>10480</v>
      </c>
    </row>
    <row r="3660" spans="1:2">
      <c r="A3660" s="1" t="s">
        <v>4268</v>
      </c>
      <c r="B3660" t="s">
        <v>10234</v>
      </c>
    </row>
    <row r="3661" spans="1:2">
      <c r="A3661" s="1" t="s">
        <v>4269</v>
      </c>
      <c r="B3661" t="s">
        <v>10233</v>
      </c>
    </row>
    <row r="3662" spans="1:2">
      <c r="A3662" s="1" t="s">
        <v>139</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273</v>
      </c>
      <c r="B3667" t="s">
        <v>10404</v>
      </c>
    </row>
    <row r="3668" spans="1:2">
      <c r="A3668" s="1" t="s">
        <v>4274</v>
      </c>
      <c r="B3668" t="s">
        <v>10333</v>
      </c>
    </row>
    <row r="3669" spans="1:2">
      <c r="A3669" s="1" t="s">
        <v>309</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243</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274</v>
      </c>
      <c r="B3700" t="s">
        <v>10288</v>
      </c>
    </row>
    <row r="3701" spans="1:2">
      <c r="A3701" s="1" t="s">
        <v>477</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295</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347</v>
      </c>
      <c r="B3744" t="s">
        <v>10249</v>
      </c>
    </row>
    <row r="3745" spans="1:2">
      <c r="A3745" s="1" t="s">
        <v>4345</v>
      </c>
      <c r="B3745" t="s">
        <v>10322</v>
      </c>
    </row>
    <row r="3746" spans="1:2">
      <c r="A3746" s="1" t="s">
        <v>4346</v>
      </c>
      <c r="B3746" t="s">
        <v>10250</v>
      </c>
    </row>
    <row r="3747" spans="1:2">
      <c r="A3747" s="1" t="s">
        <v>519</v>
      </c>
      <c r="B3747" t="s">
        <v>10292</v>
      </c>
    </row>
    <row r="3748" spans="1:2">
      <c r="A3748" s="1" t="s">
        <v>4347</v>
      </c>
      <c r="B3748" t="s">
        <v>10240</v>
      </c>
    </row>
    <row r="3749" spans="1:2">
      <c r="A3749" s="1" t="s">
        <v>4348</v>
      </c>
      <c r="B3749" t="s">
        <v>10300</v>
      </c>
    </row>
    <row r="3750" spans="1:2">
      <c r="A3750" s="1" t="s">
        <v>289</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374</v>
      </c>
      <c r="B3758" t="s">
        <v>10243</v>
      </c>
    </row>
    <row r="3759" spans="1:2">
      <c r="A3759" s="1" t="s">
        <v>4356</v>
      </c>
      <c r="B3759" t="s">
        <v>10334</v>
      </c>
    </row>
    <row r="3760" spans="1:2">
      <c r="A3760" s="1" t="s">
        <v>4357</v>
      </c>
      <c r="B3760" t="s">
        <v>10280</v>
      </c>
    </row>
    <row r="3761" spans="1:2">
      <c r="A3761" s="1" t="s">
        <v>4358</v>
      </c>
      <c r="B3761" t="s">
        <v>10255</v>
      </c>
    </row>
    <row r="3762" spans="1:2">
      <c r="A3762" s="1" t="s">
        <v>458</v>
      </c>
      <c r="B3762" t="s">
        <v>10493</v>
      </c>
    </row>
    <row r="3763" spans="1:2">
      <c r="A3763" s="1" t="s">
        <v>4359</v>
      </c>
      <c r="B3763" t="s">
        <v>10367</v>
      </c>
    </row>
    <row r="3764" spans="1:2">
      <c r="A3764" s="1" t="s">
        <v>4360</v>
      </c>
      <c r="B3764" t="s">
        <v>10367</v>
      </c>
    </row>
    <row r="3765" spans="1:2">
      <c r="A3765" s="1" t="s">
        <v>428</v>
      </c>
      <c r="B3765" t="s">
        <v>10279</v>
      </c>
    </row>
    <row r="3766" spans="1:2">
      <c r="A3766" s="1" t="s">
        <v>4361</v>
      </c>
      <c r="B3766" t="s">
        <v>10240</v>
      </c>
    </row>
    <row r="3767" spans="1:2">
      <c r="A3767" s="1" t="s">
        <v>4362</v>
      </c>
      <c r="B3767" t="s">
        <v>10494</v>
      </c>
    </row>
    <row r="3768" spans="1:2">
      <c r="A3768" s="1" t="s">
        <v>36</v>
      </c>
      <c r="B3768" t="s">
        <v>10249</v>
      </c>
    </row>
    <row r="3769" spans="1:2">
      <c r="A3769" s="1" t="s">
        <v>297</v>
      </c>
      <c r="B3769" t="s">
        <v>10297</v>
      </c>
    </row>
    <row r="3770" spans="1:2">
      <c r="A3770" s="1" t="s">
        <v>4363</v>
      </c>
      <c r="B3770" t="s">
        <v>10240</v>
      </c>
    </row>
    <row r="3771" spans="1:2">
      <c r="A3771" s="1" t="s">
        <v>657</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411</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120</v>
      </c>
      <c r="B3800" t="s">
        <v>10239</v>
      </c>
    </row>
    <row r="3801" spans="1:2">
      <c r="A3801" s="1" t="s">
        <v>346</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158</v>
      </c>
      <c r="B3809" t="s">
        <v>10244</v>
      </c>
    </row>
    <row r="3810" spans="1:2">
      <c r="A3810" s="1" t="s">
        <v>4398</v>
      </c>
      <c r="B3810" t="s">
        <v>10472</v>
      </c>
    </row>
    <row r="3811" spans="1:2">
      <c r="A3811" s="1" t="s">
        <v>149</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292</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412</v>
      </c>
      <c r="B3822" t="s">
        <v>10242</v>
      </c>
    </row>
    <row r="3823" spans="1:2">
      <c r="A3823" s="1" t="s">
        <v>4408</v>
      </c>
      <c r="B3823" t="s">
        <v>10300</v>
      </c>
    </row>
    <row r="3824" spans="1:2">
      <c r="A3824" s="1" t="s">
        <v>4409</v>
      </c>
      <c r="B3824" t="s">
        <v>10279</v>
      </c>
    </row>
    <row r="3825" spans="1:2">
      <c r="A3825" s="1" t="s">
        <v>4410</v>
      </c>
      <c r="B3825" t="s">
        <v>10241</v>
      </c>
    </row>
    <row r="3826" spans="1:2">
      <c r="A3826" s="1" t="s">
        <v>178</v>
      </c>
      <c r="B3826" t="s">
        <v>10239</v>
      </c>
    </row>
    <row r="3827" spans="1:2">
      <c r="A3827" s="1" t="s">
        <v>4411</v>
      </c>
      <c r="B3827" t="s">
        <v>10339</v>
      </c>
    </row>
    <row r="3828" spans="1:2">
      <c r="A3828" s="1" t="s">
        <v>699</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846</v>
      </c>
      <c r="B3839" t="s">
        <v>10268</v>
      </c>
    </row>
    <row r="3840" spans="1:2">
      <c r="A3840" s="1" t="s">
        <v>4422</v>
      </c>
      <c r="B3840" t="s">
        <v>10262</v>
      </c>
    </row>
    <row r="3841" spans="1:2">
      <c r="A3841" s="1" t="s">
        <v>587</v>
      </c>
      <c r="B3841" t="s">
        <v>10289</v>
      </c>
    </row>
    <row r="3842" spans="1:2">
      <c r="A3842" s="1" t="s">
        <v>4423</v>
      </c>
      <c r="B3842" t="s">
        <v>10233</v>
      </c>
    </row>
    <row r="3843" spans="1:2">
      <c r="A3843" s="1" t="s">
        <v>253</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563</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637</v>
      </c>
      <c r="B3864" t="s">
        <v>10288</v>
      </c>
    </row>
    <row r="3865" spans="1:2">
      <c r="A3865" s="1" t="s">
        <v>4443</v>
      </c>
      <c r="B3865" t="s">
        <v>10244</v>
      </c>
    </row>
    <row r="3866" spans="1:2">
      <c r="A3866" s="1" t="s">
        <v>4444</v>
      </c>
      <c r="B3866" t="s">
        <v>10232</v>
      </c>
    </row>
    <row r="3867" spans="1:2">
      <c r="A3867" s="1" t="s">
        <v>585</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153</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336</v>
      </c>
      <c r="B3880" t="s">
        <v>10288</v>
      </c>
    </row>
    <row r="3881" spans="1:2">
      <c r="A3881" s="1" t="s">
        <v>4456</v>
      </c>
      <c r="B3881" t="s">
        <v>10293</v>
      </c>
    </row>
    <row r="3882" spans="1:2">
      <c r="A3882" s="1" t="s">
        <v>4457</v>
      </c>
      <c r="B3882" t="s">
        <v>10427</v>
      </c>
    </row>
    <row r="3883" spans="1:2">
      <c r="A3883" s="1" t="s">
        <v>4458</v>
      </c>
      <c r="B3883" t="s">
        <v>10282</v>
      </c>
    </row>
    <row r="3884" spans="1:2">
      <c r="A3884" s="1" t="s">
        <v>124</v>
      </c>
      <c r="B3884" t="s">
        <v>10239</v>
      </c>
    </row>
    <row r="3885" spans="1:2">
      <c r="A3885" s="1" t="s">
        <v>499</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504</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460</v>
      </c>
      <c r="B3907" t="s">
        <v>10285</v>
      </c>
    </row>
    <row r="3908" spans="1:2">
      <c r="A3908" s="1" t="s">
        <v>4479</v>
      </c>
      <c r="B3908" t="s">
        <v>10280</v>
      </c>
    </row>
    <row r="3909" spans="1:2">
      <c r="A3909" s="1" t="s">
        <v>512</v>
      </c>
      <c r="B3909" t="s">
        <v>10280</v>
      </c>
    </row>
    <row r="3910" spans="1:2">
      <c r="A3910" s="1" t="s">
        <v>4480</v>
      </c>
      <c r="B3910" t="s">
        <v>10234</v>
      </c>
    </row>
    <row r="3911" spans="1:2">
      <c r="A3911" s="1" t="s">
        <v>305</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868</v>
      </c>
      <c r="B3920" t="s">
        <v>10253</v>
      </c>
    </row>
    <row r="3921" spans="1:2">
      <c r="A3921" s="1" t="s">
        <v>4489</v>
      </c>
      <c r="B3921" t="s">
        <v>10231</v>
      </c>
    </row>
    <row r="3922" spans="1:2">
      <c r="A3922" s="1" t="s">
        <v>4490</v>
      </c>
      <c r="B3922" t="s">
        <v>10496</v>
      </c>
    </row>
    <row r="3923" spans="1:2">
      <c r="A3923" s="1" t="s">
        <v>4491</v>
      </c>
      <c r="B3923" t="s">
        <v>10254</v>
      </c>
    </row>
    <row r="3924" spans="1:2">
      <c r="A3924" s="1" t="s">
        <v>177</v>
      </c>
      <c r="B3924" t="s">
        <v>10399</v>
      </c>
    </row>
    <row r="3925" spans="1:2">
      <c r="A3925" s="1" t="s">
        <v>539</v>
      </c>
      <c r="B3925" t="s">
        <v>10278</v>
      </c>
    </row>
    <row r="3926" spans="1:2">
      <c r="A3926" s="1" t="s">
        <v>4492</v>
      </c>
      <c r="B3926" t="s">
        <v>10297</v>
      </c>
    </row>
    <row r="3927" spans="1:2">
      <c r="A3927" s="1" t="s">
        <v>4493</v>
      </c>
      <c r="B3927" t="s">
        <v>10274</v>
      </c>
    </row>
    <row r="3928" spans="1:2">
      <c r="A3928" s="1" t="s">
        <v>188</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793</v>
      </c>
      <c r="B3935" t="s">
        <v>10287</v>
      </c>
    </row>
    <row r="3936" spans="1:2">
      <c r="A3936" s="1" t="s">
        <v>400</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111</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101</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165</v>
      </c>
      <c r="B3971" t="s">
        <v>10287</v>
      </c>
    </row>
    <row r="3972" spans="1:2">
      <c r="A3972" s="1" t="s">
        <v>388</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671</v>
      </c>
      <c r="B3982" t="s">
        <v>10470</v>
      </c>
    </row>
    <row r="3983" spans="1:2">
      <c r="A3983" s="1" t="s">
        <v>762</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579</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278</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391</v>
      </c>
      <c r="B4029" t="s">
        <v>10347</v>
      </c>
    </row>
    <row r="4030" spans="1:2">
      <c r="A4030" s="1" t="s">
        <v>4582</v>
      </c>
      <c r="B4030" t="s">
        <v>10249</v>
      </c>
    </row>
    <row r="4031" spans="1:2">
      <c r="A4031" s="1" t="s">
        <v>4583</v>
      </c>
      <c r="B4031" t="s">
        <v>10293</v>
      </c>
    </row>
    <row r="4032" spans="1:2">
      <c r="A4032" s="1" t="s">
        <v>4584</v>
      </c>
      <c r="B4032" t="s">
        <v>10232</v>
      </c>
    </row>
    <row r="4033" spans="1:2">
      <c r="A4033" s="1" t="s">
        <v>468</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493</v>
      </c>
      <c r="B4038" t="s">
        <v>10298</v>
      </c>
    </row>
    <row r="4039" spans="1:2">
      <c r="A4039" s="1" t="s">
        <v>332</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285</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171</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85</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379</v>
      </c>
      <c r="B4077" t="s">
        <v>10239</v>
      </c>
    </row>
    <row r="4078" spans="1:2">
      <c r="A4078" s="1" t="s">
        <v>479</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70</v>
      </c>
      <c r="B4088" t="s">
        <v>10312</v>
      </c>
    </row>
    <row r="4089" spans="1:2">
      <c r="A4089" s="1" t="s">
        <v>4632</v>
      </c>
      <c r="B4089" t="s">
        <v>10415</v>
      </c>
    </row>
    <row r="4090" spans="1:2">
      <c r="A4090" s="1" t="s">
        <v>155</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832</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68</v>
      </c>
      <c r="B4120" t="s">
        <v>10275</v>
      </c>
    </row>
    <row r="4121" spans="1:2">
      <c r="A4121" s="1" t="s">
        <v>4661</v>
      </c>
      <c r="B4121" t="s">
        <v>10425</v>
      </c>
    </row>
    <row r="4122" spans="1:2">
      <c r="A4122" s="1" t="s">
        <v>4662</v>
      </c>
      <c r="B4122" t="s">
        <v>10276</v>
      </c>
    </row>
    <row r="4123" spans="1:2">
      <c r="A4123" s="1" t="s">
        <v>434</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26</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702</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361</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293</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52</v>
      </c>
      <c r="B4170" t="s">
        <v>10296</v>
      </c>
    </row>
    <row r="4171" spans="1:2">
      <c r="A4171" s="1" t="s">
        <v>245</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130</v>
      </c>
      <c r="B4178" t="s">
        <v>10342</v>
      </c>
    </row>
    <row r="4179" spans="1:2">
      <c r="A4179" s="1" t="s">
        <v>231</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600</v>
      </c>
      <c r="B4187" t="s">
        <v>10253</v>
      </c>
    </row>
    <row r="4188" spans="1:2">
      <c r="A4188" s="1" t="s">
        <v>4718</v>
      </c>
      <c r="B4188" t="s">
        <v>10266</v>
      </c>
    </row>
    <row r="4189" spans="1:2">
      <c r="A4189" s="1" t="s">
        <v>95</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320</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817</v>
      </c>
      <c r="B4202" t="s">
        <v>10260</v>
      </c>
    </row>
    <row r="4203" spans="1:2">
      <c r="A4203" s="1" t="s">
        <v>4730</v>
      </c>
      <c r="B4203" t="s">
        <v>10275</v>
      </c>
    </row>
    <row r="4204" spans="1:2">
      <c r="A4204" s="1" t="s">
        <v>4731</v>
      </c>
      <c r="B4204" t="s">
        <v>10408</v>
      </c>
    </row>
    <row r="4205" spans="1:2">
      <c r="A4205" s="1" t="s">
        <v>559</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338</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229</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419</v>
      </c>
      <c r="B4235" t="s">
        <v>10254</v>
      </c>
    </row>
    <row r="4236" spans="1:2">
      <c r="A4236" s="1" t="s">
        <v>4759</v>
      </c>
      <c r="B4236" t="s">
        <v>10250</v>
      </c>
    </row>
    <row r="4237" spans="1:2">
      <c r="A4237" s="1" t="s">
        <v>4760</v>
      </c>
      <c r="B4237" t="s">
        <v>10363</v>
      </c>
    </row>
    <row r="4238" spans="1:2">
      <c r="A4238" s="1" t="s">
        <v>429</v>
      </c>
      <c r="B4238" t="s">
        <v>10316</v>
      </c>
    </row>
    <row r="4239" spans="1:2">
      <c r="A4239" s="1" t="s">
        <v>4761</v>
      </c>
      <c r="B4239" t="s">
        <v>10297</v>
      </c>
    </row>
    <row r="4240" spans="1:2">
      <c r="A4240" s="1" t="s">
        <v>119</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184</v>
      </c>
      <c r="B4248" t="s">
        <v>10297</v>
      </c>
    </row>
    <row r="4249" spans="1:2">
      <c r="A4249" s="1" t="s">
        <v>4769</v>
      </c>
      <c r="B4249" t="s">
        <v>10288</v>
      </c>
    </row>
    <row r="4250" spans="1:2">
      <c r="A4250" s="1" t="s">
        <v>4770</v>
      </c>
      <c r="B4250" t="s">
        <v>10240</v>
      </c>
    </row>
    <row r="4251" spans="1:2">
      <c r="A4251" s="1" t="s">
        <v>4771</v>
      </c>
      <c r="B4251" t="s">
        <v>10240</v>
      </c>
    </row>
    <row r="4252" spans="1:2">
      <c r="A4252" s="1" t="s">
        <v>104</v>
      </c>
      <c r="B4252" t="s">
        <v>10239</v>
      </c>
    </row>
    <row r="4253" spans="1:2">
      <c r="A4253" s="1" t="s">
        <v>4772</v>
      </c>
      <c r="B4253" t="s">
        <v>10235</v>
      </c>
    </row>
    <row r="4254" spans="1:2">
      <c r="A4254" s="1" t="s">
        <v>4773</v>
      </c>
      <c r="B4254" t="s">
        <v>10270</v>
      </c>
    </row>
    <row r="4255" spans="1:2">
      <c r="A4255" s="1" t="s">
        <v>4774</v>
      </c>
      <c r="B4255" t="s">
        <v>10409</v>
      </c>
    </row>
    <row r="4256" spans="1:2">
      <c r="A4256" s="1" t="s">
        <v>399</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88</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300</v>
      </c>
      <c r="B4274" t="s">
        <v>10254</v>
      </c>
    </row>
    <row r="4275" spans="1:2">
      <c r="A4275" s="1" t="s">
        <v>850</v>
      </c>
      <c r="B4275" t="s">
        <v>10269</v>
      </c>
    </row>
    <row r="4276" spans="1:2">
      <c r="A4276" s="1" t="s">
        <v>4791</v>
      </c>
      <c r="B4276" t="s">
        <v>10421</v>
      </c>
    </row>
    <row r="4277" spans="1:2">
      <c r="A4277" s="1" t="s">
        <v>4792</v>
      </c>
      <c r="B4277" t="s">
        <v>10232</v>
      </c>
    </row>
    <row r="4278" spans="1:2">
      <c r="A4278" s="1" t="s">
        <v>4793</v>
      </c>
      <c r="B4278" t="s">
        <v>10255</v>
      </c>
    </row>
    <row r="4279" spans="1:2">
      <c r="A4279" s="1" t="s">
        <v>372</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442</v>
      </c>
      <c r="B4302" t="s">
        <v>10250</v>
      </c>
    </row>
    <row r="4303" spans="1:2">
      <c r="A4303" s="1" t="s">
        <v>4816</v>
      </c>
      <c r="B4303" t="s">
        <v>10255</v>
      </c>
    </row>
    <row r="4304" spans="1:2">
      <c r="A4304" s="1" t="s">
        <v>331</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39</v>
      </c>
      <c r="B4313" t="s">
        <v>10296</v>
      </c>
    </row>
    <row r="4314" spans="1:2">
      <c r="A4314" s="1" t="s">
        <v>186</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355</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341</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516</v>
      </c>
      <c r="B4338" t="s">
        <v>10323</v>
      </c>
    </row>
    <row r="4339" spans="1:2">
      <c r="A4339" s="1" t="s">
        <v>4845</v>
      </c>
      <c r="B4339" t="s">
        <v>10240</v>
      </c>
    </row>
    <row r="4340" spans="1:2">
      <c r="A4340" s="1" t="s">
        <v>284</v>
      </c>
      <c r="B4340" t="s">
        <v>10332</v>
      </c>
    </row>
    <row r="4341" spans="1:2">
      <c r="A4341" s="1" t="s">
        <v>4846</v>
      </c>
      <c r="B4341" t="s">
        <v>10398</v>
      </c>
    </row>
    <row r="4342" spans="1:2">
      <c r="A4342" s="1" t="s">
        <v>4847</v>
      </c>
      <c r="B4342" t="s">
        <v>10260</v>
      </c>
    </row>
    <row r="4343" spans="1:2">
      <c r="A4343" s="1" t="s">
        <v>457</v>
      </c>
      <c r="B4343" t="s">
        <v>10272</v>
      </c>
    </row>
    <row r="4344" spans="1:2">
      <c r="A4344" s="1" t="s">
        <v>4848</v>
      </c>
      <c r="B4344" t="s">
        <v>10244</v>
      </c>
    </row>
    <row r="4345" spans="1:2">
      <c r="A4345" s="1" t="s">
        <v>4849</v>
      </c>
      <c r="B4345" t="s">
        <v>10244</v>
      </c>
    </row>
    <row r="4346" spans="1:2">
      <c r="A4346" s="1" t="s">
        <v>281</v>
      </c>
      <c r="B4346" t="s">
        <v>10506</v>
      </c>
    </row>
    <row r="4347" spans="1:2">
      <c r="A4347" s="1" t="s">
        <v>4850</v>
      </c>
      <c r="B4347" t="s">
        <v>10234</v>
      </c>
    </row>
    <row r="4348" spans="1:2">
      <c r="A4348" s="1" t="s">
        <v>4851</v>
      </c>
      <c r="B4348" t="s">
        <v>10250</v>
      </c>
    </row>
    <row r="4349" spans="1:2">
      <c r="A4349" s="1" t="s">
        <v>57</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205</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194</v>
      </c>
      <c r="B4380" t="s">
        <v>10288</v>
      </c>
    </row>
    <row r="4381" spans="1:2">
      <c r="A4381" s="1" t="s">
        <v>421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390</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701</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168</v>
      </c>
      <c r="B4417" t="s">
        <v>10297</v>
      </c>
    </row>
    <row r="4418" spans="1:2">
      <c r="A4418" s="1" t="s">
        <v>55</v>
      </c>
      <c r="B4418" t="s">
        <v>10249</v>
      </c>
    </row>
    <row r="4419" spans="1:2">
      <c r="A4419" s="1" t="s">
        <v>162</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74</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757</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56</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405</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653</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783</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143</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221</v>
      </c>
      <c r="B4499" t="s">
        <v>10296</v>
      </c>
    </row>
    <row r="4500" spans="1:2">
      <c r="A4500" s="1" t="s">
        <v>4986</v>
      </c>
      <c r="B4500" t="s">
        <v>10482</v>
      </c>
    </row>
    <row r="4501" spans="1:2">
      <c r="A4501" s="1" t="s">
        <v>441</v>
      </c>
      <c r="B4501" t="s">
        <v>10234</v>
      </c>
    </row>
    <row r="4502" spans="1:2">
      <c r="A4502" s="1" t="s">
        <v>4987</v>
      </c>
      <c r="B4502" t="s">
        <v>10240</v>
      </c>
    </row>
    <row r="4503" spans="1:2">
      <c r="A4503" s="1" t="s">
        <v>4988</v>
      </c>
      <c r="B4503" t="s">
        <v>10234</v>
      </c>
    </row>
    <row r="4504" spans="1:2">
      <c r="A4504" s="1" t="s">
        <v>276</v>
      </c>
      <c r="B4504" t="s">
        <v>10508</v>
      </c>
    </row>
    <row r="4505" spans="1:2">
      <c r="A4505" s="1" t="s">
        <v>4989</v>
      </c>
      <c r="B4505" t="s">
        <v>10232</v>
      </c>
    </row>
    <row r="4506" spans="1:2">
      <c r="A4506" s="1" t="s">
        <v>4990</v>
      </c>
      <c r="B4506" t="s">
        <v>10248</v>
      </c>
    </row>
    <row r="4507" spans="1:2">
      <c r="A4507" s="1" t="s">
        <v>4991</v>
      </c>
      <c r="B4507" t="s">
        <v>10232</v>
      </c>
    </row>
    <row r="4508" spans="1:2">
      <c r="A4508" s="1" t="s">
        <v>250</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249</v>
      </c>
      <c r="B4515" t="s">
        <v>10298</v>
      </c>
    </row>
    <row r="4516" spans="1:2">
      <c r="A4516" s="1" t="s">
        <v>4998</v>
      </c>
      <c r="B4516" t="s">
        <v>10301</v>
      </c>
    </row>
    <row r="4517" spans="1:2">
      <c r="A4517" s="1" t="s">
        <v>4999</v>
      </c>
      <c r="B4517" t="s">
        <v>10509</v>
      </c>
    </row>
    <row r="4518" spans="1:2">
      <c r="A4518" s="1" t="s">
        <v>632</v>
      </c>
      <c r="B4518" t="s">
        <v>10296</v>
      </c>
    </row>
    <row r="4519" spans="1:2">
      <c r="A4519" s="1" t="s">
        <v>5000</v>
      </c>
      <c r="B4519" t="s">
        <v>10250</v>
      </c>
    </row>
    <row r="4520" spans="1:2">
      <c r="A4520" s="1" t="s">
        <v>45</v>
      </c>
      <c r="B4520" t="s">
        <v>10367</v>
      </c>
    </row>
    <row r="4521" spans="1:2">
      <c r="A4521" s="1" t="s">
        <v>5001</v>
      </c>
      <c r="B4521" t="s">
        <v>10312</v>
      </c>
    </row>
    <row r="4522" spans="1:2">
      <c r="A4522" s="1" t="s">
        <v>5002</v>
      </c>
      <c r="B4522" t="s">
        <v>10282</v>
      </c>
    </row>
    <row r="4523" spans="1:2">
      <c r="A4523" s="1" t="s">
        <v>5003</v>
      </c>
      <c r="B4523" t="s">
        <v>10240</v>
      </c>
    </row>
    <row r="4524" spans="1:2">
      <c r="A4524" s="1" t="s">
        <v>40</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109</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880</v>
      </c>
      <c r="B4557" t="s">
        <v>10272</v>
      </c>
    </row>
    <row r="4558" spans="1:2">
      <c r="A4558" s="1" t="s">
        <v>5035</v>
      </c>
      <c r="B4558" t="s">
        <v>10397</v>
      </c>
    </row>
    <row r="4559" spans="1:2">
      <c r="A4559" s="1" t="s">
        <v>5036</v>
      </c>
      <c r="B4559" t="s">
        <v>10353</v>
      </c>
    </row>
    <row r="4560" spans="1:2">
      <c r="A4560" s="1" t="s">
        <v>209</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505</v>
      </c>
      <c r="B4570" t="s">
        <v>10276</v>
      </c>
    </row>
    <row r="4571" spans="1:2">
      <c r="A4571" s="1" t="s">
        <v>93</v>
      </c>
      <c r="B4571" t="s">
        <v>10308</v>
      </c>
    </row>
    <row r="4572" spans="1:2">
      <c r="A4572" s="1" t="s">
        <v>5045</v>
      </c>
      <c r="B4572" t="s">
        <v>10329</v>
      </c>
    </row>
    <row r="4573" spans="1:2">
      <c r="A4573" s="1" t="s">
        <v>5046</v>
      </c>
      <c r="B4573" t="s">
        <v>10244</v>
      </c>
    </row>
    <row r="4574" spans="1:2">
      <c r="A4574" s="1" t="s">
        <v>363</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290</v>
      </c>
      <c r="B4591" t="s">
        <v>10287</v>
      </c>
    </row>
    <row r="4592" spans="1:2">
      <c r="A4592" s="1" t="s">
        <v>5063</v>
      </c>
      <c r="B4592" t="s">
        <v>10234</v>
      </c>
    </row>
    <row r="4593" spans="1:2">
      <c r="A4593" s="1" t="s">
        <v>5064</v>
      </c>
      <c r="B4593" t="s">
        <v>10250</v>
      </c>
    </row>
    <row r="4594" spans="1:2">
      <c r="A4594" s="1" t="s">
        <v>5065</v>
      </c>
      <c r="B4594" t="s">
        <v>10270</v>
      </c>
    </row>
    <row r="4595" spans="1:2">
      <c r="A4595" s="1" t="s">
        <v>813</v>
      </c>
      <c r="B4595" t="s">
        <v>10292</v>
      </c>
    </row>
    <row r="4596" spans="1:2">
      <c r="A4596" s="1" t="s">
        <v>5066</v>
      </c>
      <c r="B4596" t="s">
        <v>10258</v>
      </c>
    </row>
    <row r="4597" spans="1:2">
      <c r="A4597" s="1" t="s">
        <v>530</v>
      </c>
      <c r="B4597" t="s">
        <v>10336</v>
      </c>
    </row>
    <row r="4598" spans="1:2">
      <c r="A4598" s="1" t="s">
        <v>5067</v>
      </c>
      <c r="B4598" t="s">
        <v>10255</v>
      </c>
    </row>
    <row r="4599" spans="1:2">
      <c r="A4599" s="1" t="s">
        <v>304</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704</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486</v>
      </c>
      <c r="B4619" t="s">
        <v>10298</v>
      </c>
    </row>
    <row r="4620" spans="1:2">
      <c r="A4620" s="1" t="s">
        <v>5086</v>
      </c>
      <c r="B4620" t="s">
        <v>10235</v>
      </c>
    </row>
    <row r="4621" spans="1:2">
      <c r="A4621" s="1" t="s">
        <v>666</v>
      </c>
      <c r="B4621" t="s">
        <v>10288</v>
      </c>
    </row>
    <row r="4622" spans="1:2">
      <c r="A4622" s="1" t="s">
        <v>5087</v>
      </c>
      <c r="B4622" t="s">
        <v>10233</v>
      </c>
    </row>
    <row r="4623" spans="1:2">
      <c r="A4623" s="1" t="s">
        <v>179</v>
      </c>
      <c r="B4623" t="s">
        <v>10252</v>
      </c>
    </row>
    <row r="4624" spans="1:2">
      <c r="A4624" s="1" t="s">
        <v>75</v>
      </c>
      <c r="B4624" t="s">
        <v>10244</v>
      </c>
    </row>
    <row r="4625" spans="1:2">
      <c r="A4625" s="1" t="s">
        <v>5088</v>
      </c>
      <c r="B4625" t="s">
        <v>10511</v>
      </c>
    </row>
    <row r="4626" spans="1:2">
      <c r="A4626" s="1" t="s">
        <v>5089</v>
      </c>
      <c r="B4626" t="s">
        <v>10293</v>
      </c>
    </row>
    <row r="4627" spans="1:2">
      <c r="A4627" s="1" t="s">
        <v>128</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316</v>
      </c>
      <c r="B4634" t="s">
        <v>10272</v>
      </c>
    </row>
    <row r="4635" spans="1:2">
      <c r="A4635" s="1" t="s">
        <v>5096</v>
      </c>
      <c r="B4635" t="s">
        <v>10329</v>
      </c>
    </row>
    <row r="4636" spans="1:2">
      <c r="A4636" s="1" t="s">
        <v>324</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251</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700</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142</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71</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123</v>
      </c>
      <c r="B4684" t="s">
        <v>10272</v>
      </c>
    </row>
    <row r="4685" spans="1:2">
      <c r="A4685" s="1" t="s">
        <v>5140</v>
      </c>
      <c r="B4685" t="s">
        <v>10234</v>
      </c>
    </row>
    <row r="4686" spans="1:2">
      <c r="A4686" s="1" t="s">
        <v>5141</v>
      </c>
      <c r="B4686" t="s">
        <v>10240</v>
      </c>
    </row>
    <row r="4687" spans="1:2">
      <c r="A4687" s="1" t="s">
        <v>213</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448</v>
      </c>
      <c r="B4692" t="s">
        <v>10334</v>
      </c>
    </row>
    <row r="4693" spans="1:2">
      <c r="A4693" s="1" t="s">
        <v>5146</v>
      </c>
      <c r="B4693" t="s">
        <v>10241</v>
      </c>
    </row>
    <row r="4694" spans="1:2">
      <c r="A4694" s="1" t="s">
        <v>244</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129</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66</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72</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183</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375</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720</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252</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172</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46</v>
      </c>
      <c r="B4778" t="s">
        <v>10399</v>
      </c>
    </row>
    <row r="4779" spans="1:2">
      <c r="A4779" s="1" t="s">
        <v>5222</v>
      </c>
      <c r="B4779" t="s">
        <v>10287</v>
      </c>
    </row>
    <row r="4780" spans="1:2">
      <c r="A4780" s="1" t="s">
        <v>239</v>
      </c>
      <c r="B4780" t="s">
        <v>10367</v>
      </c>
    </row>
    <row r="4781" spans="1:2">
      <c r="A4781" s="1" t="s">
        <v>482</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364</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156</v>
      </c>
      <c r="B4801" t="s">
        <v>10324</v>
      </c>
    </row>
    <row r="4802" spans="1:2">
      <c r="A4802" s="1" t="s">
        <v>5241</v>
      </c>
      <c r="B4802" t="s">
        <v>10233</v>
      </c>
    </row>
    <row r="4803" spans="1:2">
      <c r="A4803" s="1" t="s">
        <v>5242</v>
      </c>
      <c r="B4803" t="s">
        <v>10326</v>
      </c>
    </row>
    <row r="4804" spans="1:2">
      <c r="A4804" s="1" t="s">
        <v>5243</v>
      </c>
      <c r="B4804" t="s">
        <v>10336</v>
      </c>
    </row>
    <row r="4805" spans="1:2">
      <c r="A4805" s="1" t="s">
        <v>326</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407</v>
      </c>
      <c r="B4816" t="s">
        <v>10271</v>
      </c>
    </row>
    <row r="4817" spans="1:2">
      <c r="A4817" s="1" t="s">
        <v>5254</v>
      </c>
      <c r="B4817" t="s">
        <v>10250</v>
      </c>
    </row>
    <row r="4818" spans="1:2">
      <c r="A4818" s="1" t="s">
        <v>491</v>
      </c>
      <c r="B4818" t="s">
        <v>10271</v>
      </c>
    </row>
    <row r="4819" spans="1:2">
      <c r="A4819" s="1" t="s">
        <v>5255</v>
      </c>
      <c r="B4819" t="s">
        <v>10232</v>
      </c>
    </row>
    <row r="4820" spans="1:2">
      <c r="A4820" s="1" t="s">
        <v>329</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73</v>
      </c>
      <c r="B4833" t="s">
        <v>10277</v>
      </c>
    </row>
    <row r="4834" spans="1:2">
      <c r="A4834" s="1" t="s">
        <v>484</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173</v>
      </c>
      <c r="B4839" t="s">
        <v>10297</v>
      </c>
    </row>
    <row r="4840" spans="1:2">
      <c r="A4840" s="1" t="s">
        <v>64</v>
      </c>
      <c r="B4840" t="s">
        <v>10321</v>
      </c>
    </row>
    <row r="4841" spans="1:2">
      <c r="A4841" s="1" t="s">
        <v>557</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427</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394</v>
      </c>
      <c r="B4868" t="s">
        <v>10293</v>
      </c>
    </row>
    <row r="4869" spans="1:2">
      <c r="A4869" s="1" t="s">
        <v>5297</v>
      </c>
      <c r="B4869" t="s">
        <v>10355</v>
      </c>
    </row>
    <row r="4870" spans="1:2">
      <c r="A4870" s="1" t="s">
        <v>430</v>
      </c>
      <c r="B4870" t="s">
        <v>10231</v>
      </c>
    </row>
    <row r="4871" spans="1:2">
      <c r="A4871" s="1" t="s">
        <v>254</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466</v>
      </c>
      <c r="B4898" t="s">
        <v>10275</v>
      </c>
    </row>
    <row r="4899" spans="1:2">
      <c r="A4899" s="1" t="s">
        <v>5324</v>
      </c>
      <c r="B4899" t="s">
        <v>10465</v>
      </c>
    </row>
    <row r="4900" spans="1:2">
      <c r="A4900" s="1" t="s">
        <v>102</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685</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246</v>
      </c>
      <c r="B4912" t="s">
        <v>10250</v>
      </c>
    </row>
    <row r="4913" spans="1:2">
      <c r="A4913" s="1" t="s">
        <v>5335</v>
      </c>
      <c r="B4913" t="s">
        <v>10353</v>
      </c>
    </row>
    <row r="4914" spans="1:2">
      <c r="A4914" s="1" t="s">
        <v>5336</v>
      </c>
      <c r="B4914" t="s">
        <v>10234</v>
      </c>
    </row>
    <row r="4915" spans="1:2">
      <c r="A4915" s="1" t="s">
        <v>5337</v>
      </c>
      <c r="B4915" t="s">
        <v>10302</v>
      </c>
    </row>
    <row r="4916" spans="1:2">
      <c r="A4916" s="1" t="s">
        <v>227</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461</v>
      </c>
      <c r="B4937" t="s">
        <v>10478</v>
      </c>
    </row>
    <row r="4938" spans="1:2">
      <c r="A4938" s="1" t="s">
        <v>522</v>
      </c>
      <c r="B4938" t="s">
        <v>10272</v>
      </c>
    </row>
    <row r="4939" spans="1:2">
      <c r="A4939" s="1" t="s">
        <v>5358</v>
      </c>
      <c r="B4939" t="s">
        <v>10329</v>
      </c>
    </row>
    <row r="4940" spans="1:2">
      <c r="A4940" s="1" t="s">
        <v>215</v>
      </c>
      <c r="B4940" t="s">
        <v>10397</v>
      </c>
    </row>
    <row r="4941" spans="1:2">
      <c r="A4941" s="1" t="s">
        <v>311</v>
      </c>
      <c r="B4941" t="s">
        <v>10367</v>
      </c>
    </row>
    <row r="4942" spans="1:2">
      <c r="A4942" s="1" t="s">
        <v>5359</v>
      </c>
      <c r="B4942" t="s">
        <v>10296</v>
      </c>
    </row>
    <row r="4943" spans="1:2">
      <c r="A4943" s="1" t="s">
        <v>5360</v>
      </c>
      <c r="B4943" t="s">
        <v>10234</v>
      </c>
    </row>
    <row r="4944" spans="1:2">
      <c r="A4944" s="1" t="s">
        <v>5361</v>
      </c>
      <c r="B4944" t="s">
        <v>10395</v>
      </c>
    </row>
    <row r="4945" spans="1:2">
      <c r="A4945" s="1" t="s">
        <v>420</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335</v>
      </c>
      <c r="B4952" t="s">
        <v>10297</v>
      </c>
    </row>
    <row r="4953" spans="1:2">
      <c r="A4953" s="1" t="s">
        <v>5368</v>
      </c>
      <c r="B4953" t="s">
        <v>10254</v>
      </c>
    </row>
    <row r="4954" spans="1:2">
      <c r="A4954" s="1" t="s">
        <v>5369</v>
      </c>
      <c r="B4954" t="s">
        <v>10240</v>
      </c>
    </row>
    <row r="4955" spans="1:2">
      <c r="A4955" s="1" t="s">
        <v>344</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191</v>
      </c>
      <c r="B4961" t="s">
        <v>10271</v>
      </c>
    </row>
    <row r="4962" spans="1:2">
      <c r="A4962" s="1" t="s">
        <v>526</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160</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444</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116</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223</v>
      </c>
      <c r="B4989" t="s">
        <v>10234</v>
      </c>
    </row>
    <row r="4990" spans="1:2">
      <c r="A4990" s="1" t="s">
        <v>181</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696</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80</v>
      </c>
      <c r="B5006" t="s">
        <v>10276</v>
      </c>
    </row>
    <row r="5007" spans="1:2">
      <c r="A5007" s="1" t="s">
        <v>5412</v>
      </c>
      <c r="B5007" t="s">
        <v>10379</v>
      </c>
    </row>
    <row r="5008" spans="1:2">
      <c r="A5008" s="1" t="s">
        <v>5413</v>
      </c>
      <c r="B5008" t="s">
        <v>10234</v>
      </c>
    </row>
    <row r="5009" spans="1:2">
      <c r="A5009" s="1" t="s">
        <v>678</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43</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435</v>
      </c>
      <c r="B5022" t="s">
        <v>10249</v>
      </c>
    </row>
    <row r="5023" spans="1:2">
      <c r="A5023" s="1" t="s">
        <v>5425</v>
      </c>
      <c r="B5023" t="s">
        <v>10430</v>
      </c>
    </row>
    <row r="5024" spans="1:2">
      <c r="A5024" s="1" t="s">
        <v>288</v>
      </c>
      <c r="B5024" t="s">
        <v>10332</v>
      </c>
    </row>
    <row r="5025" spans="1:2">
      <c r="A5025" s="1" t="s">
        <v>5426</v>
      </c>
      <c r="B5025" t="s">
        <v>10234</v>
      </c>
    </row>
    <row r="5026" spans="1:2">
      <c r="A5026" s="1" t="s">
        <v>5427</v>
      </c>
      <c r="B5026" t="s">
        <v>10287</v>
      </c>
    </row>
    <row r="5027" spans="1:2">
      <c r="A5027" s="1" t="s">
        <v>301</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266</v>
      </c>
      <c r="B5041" t="s">
        <v>10367</v>
      </c>
    </row>
    <row r="5042" spans="1:2">
      <c r="A5042" s="1" t="s">
        <v>5441</v>
      </c>
      <c r="B5042" t="s">
        <v>10466</v>
      </c>
    </row>
    <row r="5043" spans="1:2">
      <c r="A5043" s="1" t="s">
        <v>330</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42</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82</v>
      </c>
      <c r="B5077" t="s">
        <v>10325</v>
      </c>
    </row>
    <row r="5078" spans="1:2">
      <c r="A5078" s="1" t="s">
        <v>5474</v>
      </c>
      <c r="B5078" t="s">
        <v>10355</v>
      </c>
    </row>
    <row r="5079" spans="1:2">
      <c r="A5079" s="1" t="s">
        <v>870</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78</v>
      </c>
      <c r="B5107" t="s">
        <v>10249</v>
      </c>
    </row>
    <row r="5108" spans="1:2">
      <c r="A5108" s="1" t="s">
        <v>238</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383</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621</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635</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182</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83</v>
      </c>
      <c r="B5170" t="s">
        <v>10518</v>
      </c>
    </row>
    <row r="5171" spans="1:2">
      <c r="A5171" s="1" t="s">
        <v>5558</v>
      </c>
      <c r="B5171" t="s">
        <v>10240</v>
      </c>
    </row>
    <row r="5172" spans="1:2">
      <c r="A5172" s="1" t="s">
        <v>686</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117</v>
      </c>
      <c r="B5178" t="s">
        <v>10505</v>
      </c>
    </row>
    <row r="5179" spans="1:2">
      <c r="A5179" s="1" t="s">
        <v>864</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315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98</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118</v>
      </c>
      <c r="B5245" t="s">
        <v>10297</v>
      </c>
    </row>
    <row r="5246" spans="1:2">
      <c r="A5246" s="1" t="s">
        <v>509</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275</v>
      </c>
      <c r="B5254" t="s">
        <v>10407</v>
      </c>
    </row>
    <row r="5255" spans="1:2">
      <c r="A5255" s="1" t="s">
        <v>5634</v>
      </c>
      <c r="B5255" t="s">
        <v>10329</v>
      </c>
    </row>
    <row r="5256" spans="1:2">
      <c r="A5256" s="1" t="s">
        <v>5635</v>
      </c>
      <c r="B5256" t="s">
        <v>10397</v>
      </c>
    </row>
    <row r="5257" spans="1:2">
      <c r="A5257" s="1" t="s">
        <v>161</v>
      </c>
      <c r="B5257" t="s">
        <v>10332</v>
      </c>
    </row>
    <row r="5258" spans="1:2">
      <c r="A5258" s="1" t="s">
        <v>67</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87</v>
      </c>
      <c r="B5265" t="s">
        <v>10296</v>
      </c>
    </row>
    <row r="5266" spans="1:2">
      <c r="A5266" s="1" t="s">
        <v>5642</v>
      </c>
      <c r="B5266" t="s">
        <v>10325</v>
      </c>
    </row>
    <row r="5267" spans="1:2">
      <c r="A5267" s="1" t="s">
        <v>697</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54</v>
      </c>
      <c r="B5286" t="s">
        <v>10249</v>
      </c>
    </row>
    <row r="5287" spans="1:2">
      <c r="A5287" s="1" t="s">
        <v>5661</v>
      </c>
      <c r="B5287" t="s">
        <v>10238</v>
      </c>
    </row>
    <row r="5288" spans="1:2">
      <c r="A5288" s="1" t="s">
        <v>145</v>
      </c>
      <c r="B5288" t="s">
        <v>10234</v>
      </c>
    </row>
    <row r="5289" spans="1:2">
      <c r="A5289" s="1" t="s">
        <v>5662</v>
      </c>
      <c r="B5289" t="s">
        <v>10296</v>
      </c>
    </row>
    <row r="5290" spans="1:2">
      <c r="A5290" s="1" t="s">
        <v>5663</v>
      </c>
      <c r="B5290" t="s">
        <v>10296</v>
      </c>
    </row>
    <row r="5291" spans="1:2">
      <c r="A5291" s="1" t="s">
        <v>503</v>
      </c>
      <c r="B5291" t="s">
        <v>10287</v>
      </c>
    </row>
    <row r="5292" spans="1:2">
      <c r="A5292" s="1" t="s">
        <v>705</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490</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206</v>
      </c>
      <c r="B5309" t="s">
        <v>10234</v>
      </c>
    </row>
    <row r="5310" spans="1:2">
      <c r="A5310" s="1" t="s">
        <v>658</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185</v>
      </c>
      <c r="B5319" t="s">
        <v>10270</v>
      </c>
    </row>
    <row r="5320" spans="1:2">
      <c r="A5320" s="1" t="s">
        <v>5687</v>
      </c>
      <c r="B5320" t="s">
        <v>10232</v>
      </c>
    </row>
    <row r="5321" spans="1:2">
      <c r="A5321" s="1" t="s">
        <v>791</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232</v>
      </c>
      <c r="B5343" t="s">
        <v>10362</v>
      </c>
    </row>
    <row r="5344" spans="1:2">
      <c r="A5344" s="1" t="s">
        <v>5709</v>
      </c>
      <c r="B5344" t="s">
        <v>10239</v>
      </c>
    </row>
    <row r="5345" spans="1:2">
      <c r="A5345" s="1" t="s">
        <v>27</v>
      </c>
      <c r="B5345" t="s">
        <v>10250</v>
      </c>
    </row>
    <row r="5346" spans="1:2">
      <c r="A5346" s="1" t="s">
        <v>137</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656</v>
      </c>
      <c r="B5351" t="s">
        <v>10374</v>
      </c>
    </row>
    <row r="5352" spans="1:2">
      <c r="A5352" s="1" t="s">
        <v>5714</v>
      </c>
      <c r="B5352" t="s">
        <v>10409</v>
      </c>
    </row>
    <row r="5353" spans="1:2">
      <c r="A5353" s="1" t="s">
        <v>5715</v>
      </c>
      <c r="B5353" t="s">
        <v>10276</v>
      </c>
    </row>
    <row r="5354" spans="1:2">
      <c r="A5354" s="1" t="s">
        <v>378</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37</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35</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838</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90</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819</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496</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225</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157</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474</v>
      </c>
      <c r="B5465" t="s">
        <v>10267</v>
      </c>
    </row>
    <row r="5466" spans="1:2">
      <c r="A5466" s="1" t="s">
        <v>5817</v>
      </c>
      <c r="B5466" t="s">
        <v>10252</v>
      </c>
    </row>
    <row r="5467" spans="1:2">
      <c r="A5467" s="1" t="s">
        <v>5818</v>
      </c>
      <c r="B5467" t="s">
        <v>10282</v>
      </c>
    </row>
    <row r="5468" spans="1:2">
      <c r="A5468" s="1" t="s">
        <v>5819</v>
      </c>
      <c r="B5468" t="s">
        <v>10308</v>
      </c>
    </row>
    <row r="5469" spans="1:2">
      <c r="A5469" s="1" t="s">
        <v>91</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549</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63</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77</v>
      </c>
      <c r="B5530" t="s">
        <v>10249</v>
      </c>
    </row>
    <row r="5531" spans="1:2">
      <c r="A5531" s="1" t="s">
        <v>97</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691</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34</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146</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167</v>
      </c>
      <c r="B5566" t="s">
        <v>10250</v>
      </c>
    </row>
    <row r="5567" spans="1:2">
      <c r="A5567" s="1" t="s">
        <v>5909</v>
      </c>
      <c r="B5567" t="s">
        <v>10250</v>
      </c>
    </row>
    <row r="5568" spans="1:2">
      <c r="A5568" s="1" t="s">
        <v>525</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469</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531</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518</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193</v>
      </c>
      <c r="B5633" t="s">
        <v>10272</v>
      </c>
    </row>
    <row r="5634" spans="1:2">
      <c r="A5634" s="1" t="s">
        <v>5970</v>
      </c>
      <c r="B5634" t="s">
        <v>10292</v>
      </c>
    </row>
    <row r="5635" spans="1:2">
      <c r="A5635" s="1" t="s">
        <v>199</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105</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387</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110</v>
      </c>
      <c r="B5674" t="s">
        <v>10239</v>
      </c>
    </row>
    <row r="5675" spans="1:2">
      <c r="A5675" s="1" t="s">
        <v>6006</v>
      </c>
      <c r="B5675" t="s">
        <v>10273</v>
      </c>
    </row>
    <row r="5676" spans="1:2">
      <c r="A5676" s="1" t="s">
        <v>350</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312</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609</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302</v>
      </c>
      <c r="B5720" t="s">
        <v>10262</v>
      </c>
    </row>
    <row r="5721" spans="1:2">
      <c r="A5721" s="1" t="s">
        <v>6047</v>
      </c>
      <c r="B5721" t="s">
        <v>10234</v>
      </c>
    </row>
    <row r="5722" spans="1:2">
      <c r="A5722" s="1" t="s">
        <v>6048</v>
      </c>
      <c r="B5722" t="s">
        <v>10244</v>
      </c>
    </row>
    <row r="5723" spans="1:2">
      <c r="A5723" s="1" t="s">
        <v>51</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79</v>
      </c>
      <c r="B5734" t="s">
        <v>10289</v>
      </c>
    </row>
    <row r="5735" spans="1:2">
      <c r="A5735" s="1" t="s">
        <v>125</v>
      </c>
      <c r="B5735" t="s">
        <v>10262</v>
      </c>
    </row>
    <row r="5736" spans="1:2">
      <c r="A5736" s="1" t="s">
        <v>6059</v>
      </c>
      <c r="B5736" t="s">
        <v>10246</v>
      </c>
    </row>
    <row r="5737" spans="1:2">
      <c r="A5737" s="1" t="s">
        <v>286</v>
      </c>
      <c r="B5737" t="s">
        <v>10272</v>
      </c>
    </row>
    <row r="5738" spans="1:2">
      <c r="A5738" s="1" t="s">
        <v>6060</v>
      </c>
      <c r="B5738" t="s">
        <v>10470</v>
      </c>
    </row>
    <row r="5739" spans="1:2">
      <c r="A5739" s="1" t="s">
        <v>6061</v>
      </c>
      <c r="B5739" t="s">
        <v>10292</v>
      </c>
    </row>
    <row r="5740" spans="1:2">
      <c r="A5740" s="1" t="s">
        <v>6062</v>
      </c>
      <c r="B5740" t="s">
        <v>10231</v>
      </c>
    </row>
    <row r="5741" spans="1:2">
      <c r="A5741" s="1" t="s">
        <v>352</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169</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271</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689</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416</v>
      </c>
      <c r="B5823" t="s">
        <v>10323</v>
      </c>
    </row>
    <row r="5824" spans="1:2">
      <c r="A5824" s="1" t="s">
        <v>6141</v>
      </c>
      <c r="B5824" t="s">
        <v>10276</v>
      </c>
    </row>
    <row r="5825" spans="1:2">
      <c r="A5825" s="1" t="s">
        <v>6142</v>
      </c>
      <c r="B5825" t="s">
        <v>10417</v>
      </c>
    </row>
    <row r="5826" spans="1:2">
      <c r="A5826" s="1" t="s">
        <v>224</v>
      </c>
      <c r="B5826" t="s">
        <v>10254</v>
      </c>
    </row>
    <row r="5827" spans="1:2">
      <c r="A5827" s="1" t="s">
        <v>6143</v>
      </c>
      <c r="B5827" t="s">
        <v>10296</v>
      </c>
    </row>
    <row r="5828" spans="1:2">
      <c r="A5828" s="1" t="s">
        <v>6144</v>
      </c>
      <c r="B5828" t="s">
        <v>10240</v>
      </c>
    </row>
    <row r="5829" spans="1:2">
      <c r="A5829" s="1" t="s">
        <v>6145</v>
      </c>
      <c r="B5829" t="s">
        <v>10510</v>
      </c>
    </row>
    <row r="5830" spans="1:2">
      <c r="A5830" s="1" t="s">
        <v>166</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107</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306</v>
      </c>
      <c r="B5853" t="s">
        <v>10415</v>
      </c>
    </row>
    <row r="5854" spans="1:2">
      <c r="A5854" s="1" t="s">
        <v>660</v>
      </c>
      <c r="B5854" t="s">
        <v>10244</v>
      </c>
    </row>
    <row r="5855" spans="1:2">
      <c r="A5855" s="1" t="s">
        <v>6167</v>
      </c>
      <c r="B5855" t="s">
        <v>10239</v>
      </c>
    </row>
    <row r="5856" spans="1:2">
      <c r="A5856" s="1" t="s">
        <v>6168</v>
      </c>
      <c r="B5856" t="s">
        <v>10308</v>
      </c>
    </row>
    <row r="5857" spans="1:2">
      <c r="A5857" s="1" t="s">
        <v>382</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89</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257</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760</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126</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452</v>
      </c>
      <c r="B5898" t="s">
        <v>10239</v>
      </c>
    </row>
    <row r="5899" spans="1:2">
      <c r="A5899" s="1" t="s">
        <v>339</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291</v>
      </c>
      <c r="B5904" t="s">
        <v>10262</v>
      </c>
    </row>
    <row r="5905" spans="1:2">
      <c r="A5905" s="1" t="s">
        <v>802</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113</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135</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147</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94</v>
      </c>
      <c r="B5951" t="s">
        <v>10253</v>
      </c>
    </row>
    <row r="5952" spans="1:2">
      <c r="A5952" s="1" t="s">
        <v>6248</v>
      </c>
      <c r="B5952" t="s">
        <v>10244</v>
      </c>
    </row>
    <row r="5953" spans="1:2">
      <c r="A5953" s="1" t="s">
        <v>6249</v>
      </c>
      <c r="B5953" t="s">
        <v>10286</v>
      </c>
    </row>
    <row r="5954" spans="1:2">
      <c r="A5954" s="1" t="s">
        <v>6250</v>
      </c>
      <c r="B5954" t="s">
        <v>10234</v>
      </c>
    </row>
    <row r="5955" spans="1:2">
      <c r="A5955" s="1" t="s">
        <v>59</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507</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362</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662</v>
      </c>
      <c r="B5977" t="s">
        <v>10374</v>
      </c>
    </row>
    <row r="5978" spans="1:2">
      <c r="A5978" s="1" t="s">
        <v>6270</v>
      </c>
      <c r="B5978" t="s">
        <v>10250</v>
      </c>
    </row>
    <row r="5979" spans="1:2">
      <c r="A5979" s="1" t="s">
        <v>148</v>
      </c>
      <c r="B5979" t="s">
        <v>10276</v>
      </c>
    </row>
    <row r="5980" spans="1:2">
      <c r="A5980" s="1" t="s">
        <v>6271</v>
      </c>
      <c r="B5980" t="s">
        <v>10355</v>
      </c>
    </row>
    <row r="5981" spans="1:2">
      <c r="A5981" s="1" t="s">
        <v>6272</v>
      </c>
      <c r="B5981" t="s">
        <v>10447</v>
      </c>
    </row>
    <row r="5982" spans="1:2">
      <c r="A5982" s="1" t="s">
        <v>6273</v>
      </c>
      <c r="B5982" t="s">
        <v>10440</v>
      </c>
    </row>
    <row r="5983" spans="1:2">
      <c r="A5983" s="1" t="s">
        <v>667</v>
      </c>
      <c r="B5983" t="s">
        <v>10239</v>
      </c>
    </row>
    <row r="5984" spans="1:2">
      <c r="A5984" s="1" t="s">
        <v>6274</v>
      </c>
      <c r="B5984" t="s">
        <v>10382</v>
      </c>
    </row>
    <row r="5985" spans="1:2">
      <c r="A5985" s="1" t="s">
        <v>6275</v>
      </c>
      <c r="B5985" t="s">
        <v>10324</v>
      </c>
    </row>
    <row r="5986" spans="1:2">
      <c r="A5986" s="1" t="s">
        <v>439</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218</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694</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180</v>
      </c>
      <c r="B6087" t="s">
        <v>10244</v>
      </c>
    </row>
    <row r="6088" spans="1:2">
      <c r="A6088" s="1" t="s">
        <v>6374</v>
      </c>
      <c r="B6088" t="s">
        <v>10296</v>
      </c>
    </row>
    <row r="6089" spans="1:2">
      <c r="A6089" s="1" t="s">
        <v>108</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140</v>
      </c>
      <c r="B6117" t="s">
        <v>10260</v>
      </c>
    </row>
    <row r="6118" spans="1:2">
      <c r="A6118" s="1" t="s">
        <v>6402</v>
      </c>
      <c r="B6118" t="s">
        <v>10288</v>
      </c>
    </row>
    <row r="6119" spans="1:2">
      <c r="A6119" s="1" t="s">
        <v>236</v>
      </c>
      <c r="B6119" t="s">
        <v>10293</v>
      </c>
    </row>
    <row r="6120" spans="1:2">
      <c r="A6120" s="1" t="s">
        <v>6403</v>
      </c>
      <c r="B6120" t="s">
        <v>10329</v>
      </c>
    </row>
    <row r="6121" spans="1:2">
      <c r="A6121" s="1" t="s">
        <v>6404</v>
      </c>
      <c r="B6121" t="s">
        <v>10327</v>
      </c>
    </row>
    <row r="6122" spans="1:2">
      <c r="A6122" s="1" t="s">
        <v>6405</v>
      </c>
      <c r="B6122" t="s">
        <v>10416</v>
      </c>
    </row>
    <row r="6123" spans="1:2">
      <c r="A6123" s="1" t="s">
        <v>99</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44</v>
      </c>
      <c r="B6147" t="s">
        <v>10371</v>
      </c>
    </row>
    <row r="6148" spans="1:2">
      <c r="A6148" s="1" t="s">
        <v>6429</v>
      </c>
      <c r="B6148" t="s">
        <v>10436</v>
      </c>
    </row>
    <row r="6149" spans="1:2">
      <c r="A6149" s="1" t="s">
        <v>322</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47</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138</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708</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623</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424</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508</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176</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376</v>
      </c>
      <c r="B6319" t="s">
        <v>10408</v>
      </c>
    </row>
    <row r="6320" spans="1:2">
      <c r="A6320" s="1" t="s">
        <v>136</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498</v>
      </c>
      <c r="B6365" t="s">
        <v>10289</v>
      </c>
    </row>
    <row r="6366" spans="1:2">
      <c r="A6366" s="1" t="s">
        <v>6634</v>
      </c>
      <c r="B6366" t="s">
        <v>10302</v>
      </c>
    </row>
    <row r="6367" spans="1:2">
      <c r="A6367" s="1" t="s">
        <v>69</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603</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204</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465</v>
      </c>
      <c r="B6429" t="s">
        <v>10273</v>
      </c>
    </row>
    <row r="6430" spans="1:2">
      <c r="A6430" s="1" t="s">
        <v>6693</v>
      </c>
      <c r="B6430" t="s">
        <v>10293</v>
      </c>
    </row>
    <row r="6431" spans="1:2">
      <c r="A6431" s="1" t="s">
        <v>527</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84</v>
      </c>
      <c r="B6451" t="s">
        <v>10287</v>
      </c>
    </row>
    <row r="6452" spans="1:2">
      <c r="A6452" s="1" t="s">
        <v>152</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201</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277</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282</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242</v>
      </c>
      <c r="B9968" t="s">
        <v>10540</v>
      </c>
    </row>
    <row r="9969" spans="1:2">
      <c r="A9969" s="1" t="s">
        <v>10225</v>
      </c>
      <c r="B9969" t="s">
        <v>10541</v>
      </c>
    </row>
    <row r="9970" spans="1:2">
      <c r="A9970" s="1" t="s">
        <v>340</v>
      </c>
      <c r="B9970" t="s">
        <v>10540</v>
      </c>
    </row>
    <row r="9971" spans="1:2">
      <c r="A9971" s="1" t="s">
        <v>356</v>
      </c>
      <c r="B9971" t="s">
        <v>10542</v>
      </c>
    </row>
    <row r="9972" spans="1:2">
      <c r="A9972" s="1" t="s">
        <v>10226</v>
      </c>
      <c r="B9972" t="s">
        <v>10543</v>
      </c>
    </row>
    <row r="9973" spans="1:2">
      <c r="A9973" s="1" t="s">
        <v>174</v>
      </c>
      <c r="B9973" t="s">
        <v>10541</v>
      </c>
    </row>
    <row r="9974" spans="1:2">
      <c r="A9974" s="1" t="s">
        <v>432</v>
      </c>
      <c r="B9974" t="s">
        <v>10544</v>
      </c>
    </row>
    <row r="9975" spans="1:2">
      <c r="A9975" s="1" t="s">
        <v>272</v>
      </c>
      <c r="B9975" t="s">
        <v>10545</v>
      </c>
    </row>
    <row r="9976" spans="1:2">
      <c r="A9976" s="1" t="s">
        <v>321</v>
      </c>
      <c r="B9976" t="s">
        <v>10546</v>
      </c>
    </row>
    <row r="9977" spans="1:2">
      <c r="A9977" s="1" t="s">
        <v>360</v>
      </c>
      <c r="B9977" t="s">
        <v>10547</v>
      </c>
    </row>
    <row r="9978" spans="1:2">
      <c r="A9978" s="1" t="s">
        <v>351</v>
      </c>
      <c r="B9978" t="s">
        <v>10548</v>
      </c>
    </row>
    <row r="9979" spans="1:2">
      <c r="A9979" s="1" t="s">
        <v>415</v>
      </c>
      <c r="B9979" t="s">
        <v>10540</v>
      </c>
    </row>
    <row r="9980" spans="1:2">
      <c r="A9980" s="1" t="s">
        <v>567</v>
      </c>
      <c r="B9980" t="s">
        <v>10548</v>
      </c>
    </row>
    <row r="9981" spans="1:2">
      <c r="A9981" s="1" t="s">
        <v>386</v>
      </c>
      <c r="B9981" t="s">
        <v>10549</v>
      </c>
    </row>
    <row r="9982" spans="1:2">
      <c r="A9982" s="1" t="s">
        <v>10227</v>
      </c>
      <c r="B9982" t="s">
        <v>10550</v>
      </c>
    </row>
    <row r="9983" spans="1:2">
      <c r="A9983" s="1" t="s">
        <v>663</v>
      </c>
      <c r="B9983" t="s">
        <v>10551</v>
      </c>
    </row>
    <row r="9984" spans="1:2">
      <c r="A9984" s="1" t="s">
        <v>710</v>
      </c>
      <c r="B9984" t="s">
        <v>10546</v>
      </c>
    </row>
    <row r="9985" spans="1:2">
      <c r="A9985" s="1" t="s">
        <v>10228</v>
      </c>
      <c r="B9985" t="s">
        <v>10552</v>
      </c>
    </row>
    <row r="9986" spans="1:2">
      <c r="A9986" s="1" t="s">
        <v>514</v>
      </c>
      <c r="B9986" t="s">
        <v>10553</v>
      </c>
    </row>
    <row r="9987" spans="1:2">
      <c r="A9987" s="1" t="s">
        <v>10229</v>
      </c>
      <c r="B9987" t="s">
        <v>10554</v>
      </c>
    </row>
    <row r="9988" spans="1:2">
      <c r="A9988" s="1" t="s">
        <v>545</v>
      </c>
      <c r="B9988" t="s">
        <v>10555</v>
      </c>
    </row>
    <row r="9989" spans="1:2">
      <c r="A9989" s="1" t="s">
        <v>10230</v>
      </c>
      <c r="B9989" t="s">
        <v>10547</v>
      </c>
    </row>
    <row r="9990" spans="1:2">
      <c r="A9990" s="1" t="s">
        <v>680</v>
      </c>
      <c r="B9990" t="s">
        <v>10547</v>
      </c>
    </row>
    <row r="9991" spans="1:2">
      <c r="A9991" s="1" t="s">
        <v>622</v>
      </c>
      <c r="B9991" t="s">
        <v>10556</v>
      </c>
    </row>
    <row r="9992" spans="1:2">
      <c r="A9992" s="1" t="s">
        <v>804</v>
      </c>
      <c r="B9992" t="s">
        <v>10557</v>
      </c>
    </row>
    <row r="9993" spans="1:2">
      <c r="A9993" s="1" t="s">
        <v>768</v>
      </c>
      <c r="B9993" t="s">
        <v>10558</v>
      </c>
    </row>
    <row r="9994" spans="1:2">
      <c r="A9994" s="1" t="s">
        <v>648</v>
      </c>
      <c r="B9994" t="s">
        <v>10559</v>
      </c>
    </row>
    <row r="9995" spans="1:2">
      <c r="A9995" s="1" t="s">
        <v>652</v>
      </c>
      <c r="B9995" t="s">
        <v>10560</v>
      </c>
    </row>
    <row r="9996" spans="1:2">
      <c r="A9996" s="1" t="s">
        <v>625</v>
      </c>
      <c r="B9996" t="s">
        <v>10553</v>
      </c>
    </row>
    <row r="9997" spans="1:2">
      <c r="A9997" s="1" t="s">
        <v>672</v>
      </c>
      <c r="B9997" t="s">
        <v>10561</v>
      </c>
    </row>
    <row r="9998" spans="1:2">
      <c r="A9998" s="1" t="s">
        <v>683</v>
      </c>
      <c r="B9998" t="s">
        <v>10562</v>
      </c>
    </row>
    <row r="9999" spans="1:2">
      <c r="A9999" s="1" t="s">
        <v>748</v>
      </c>
      <c r="B9999" t="s">
        <v>10557</v>
      </c>
    </row>
    <row r="10000" spans="1:2">
      <c r="A10000" s="1" t="s">
        <v>866</v>
      </c>
      <c r="B10000" t="s">
        <v>10563</v>
      </c>
    </row>
    <row r="10001" spans="1:2">
      <c r="A10001" s="1" t="s">
        <v>872</v>
      </c>
      <c r="B10001" t="s">
        <v>10564</v>
      </c>
    </row>
    <row r="10002" spans="1:2">
      <c r="A10002" s="1" t="s">
        <v>779</v>
      </c>
      <c r="B10002" t="s">
        <v>10565</v>
      </c>
    </row>
    <row r="10003" spans="1:2">
      <c r="A10003" s="1" t="s">
        <v>325</v>
      </c>
      <c r="B10003" t="s">
        <v>10566</v>
      </c>
    </row>
    <row r="10004" spans="1:2">
      <c r="A10004" s="1" t="s">
        <v>219</v>
      </c>
      <c r="B10004" t="s">
        <v>10567</v>
      </c>
    </row>
    <row r="10005" spans="1:2">
      <c r="A10005" s="1" t="s">
        <v>359</v>
      </c>
      <c r="B10005" t="s">
        <v>10563</v>
      </c>
    </row>
    <row r="10006" spans="1:2">
      <c r="A10006" s="1" t="s">
        <v>402</v>
      </c>
      <c r="B10006" t="s">
        <v>10542</v>
      </c>
    </row>
    <row r="10007" spans="1:2">
      <c r="A10007" s="1" t="s">
        <v>664</v>
      </c>
      <c r="B10007" t="s">
        <v>10564</v>
      </c>
    </row>
    <row r="10008" spans="1:2">
      <c r="A10008" s="1" t="s">
        <v>613</v>
      </c>
      <c r="B10008" t="s">
        <v>10545</v>
      </c>
    </row>
    <row r="10009" spans="1:2">
      <c r="A10009" s="1" t="s">
        <v>682</v>
      </c>
      <c r="B10009" t="s">
        <v>10568</v>
      </c>
    </row>
    <row r="10010" spans="1:2">
      <c r="A10010" s="1" t="s">
        <v>570</v>
      </c>
      <c r="B10010" t="s">
        <v>10542</v>
      </c>
    </row>
    <row r="10011" spans="1:2">
      <c r="A10011" s="1" t="s">
        <v>842</v>
      </c>
      <c r="B10011" t="s">
        <v>10564</v>
      </c>
    </row>
    <row r="10012" spans="1:2">
      <c r="A10012" s="1" t="s">
        <v>806</v>
      </c>
      <c r="B10012" t="s">
        <v>10564</v>
      </c>
    </row>
    <row r="10013" spans="1:2">
      <c r="A10013" s="1" t="s">
        <v>826</v>
      </c>
      <c r="B10013" t="s">
        <v>10569</v>
      </c>
    </row>
    <row r="10014" spans="1:2">
      <c r="A10014" s="1" t="s">
        <v>794</v>
      </c>
      <c r="B10014" t="s">
        <v>10564</v>
      </c>
    </row>
    <row r="10015" spans="1:2">
      <c r="A10015" s="1" t="s">
        <v>873</v>
      </c>
      <c r="B10015" t="s">
        <v>10552</v>
      </c>
    </row>
    <row r="10016" spans="1:2">
      <c r="A10016" s="1" t="s">
        <v>803</v>
      </c>
      <c r="B10016" t="s">
        <v>10564</v>
      </c>
    </row>
    <row r="10017" spans="1:2">
      <c r="A10017" s="1" t="s">
        <v>618</v>
      </c>
      <c r="B10017" t="s">
        <v>10550</v>
      </c>
    </row>
    <row r="10018" spans="1:2">
      <c r="A10018" s="1" t="s">
        <v>459</v>
      </c>
      <c r="B10018" t="s">
        <v>10541</v>
      </c>
    </row>
    <row r="10019" spans="1:2">
      <c r="A10019" s="1" t="s">
        <v>62</v>
      </c>
      <c r="B10019" t="s">
        <v>10570</v>
      </c>
    </row>
    <row r="10020" spans="1:2">
      <c r="A10020" s="1" t="s">
        <v>81</v>
      </c>
      <c r="B10020" t="s">
        <v>10571</v>
      </c>
    </row>
    <row r="10021" spans="1:2">
      <c r="A10021" s="1" t="s">
        <v>395</v>
      </c>
      <c r="B10021" t="s">
        <v>10572</v>
      </c>
    </row>
    <row r="10022" spans="1:2">
      <c r="A10022" s="1" t="s">
        <v>520</v>
      </c>
      <c r="B10022" t="s">
        <v>10573</v>
      </c>
    </row>
    <row r="10023" spans="1:2">
      <c r="A10023" s="1" t="s">
        <v>262</v>
      </c>
      <c r="B10023" t="s">
        <v>10574</v>
      </c>
    </row>
    <row r="10024" spans="1:2">
      <c r="A10024" s="1" t="s">
        <v>211</v>
      </c>
      <c r="B10024" t="s">
        <v>10575</v>
      </c>
    </row>
    <row r="10025" spans="1:2">
      <c r="A10025" s="1" t="s">
        <v>541</v>
      </c>
      <c r="B10025" t="s">
        <v>10576</v>
      </c>
    </row>
    <row r="10026" spans="1:2">
      <c r="A10026" s="1" t="s">
        <v>566</v>
      </c>
      <c r="B10026" t="s">
        <v>10577</v>
      </c>
    </row>
    <row r="10027" spans="1:2">
      <c r="A10027" s="1" t="s">
        <v>368</v>
      </c>
      <c r="B10027" t="s">
        <v>10578</v>
      </c>
    </row>
    <row r="10028" spans="1:2">
      <c r="A10028" s="1" t="s">
        <v>679</v>
      </c>
      <c r="B10028" t="s">
        <v>10579</v>
      </c>
    </row>
    <row r="10029" spans="1:2">
      <c r="A10029" s="1" t="s">
        <v>397</v>
      </c>
      <c r="B10029" t="s">
        <v>10577</v>
      </c>
    </row>
    <row r="10030" spans="1:2">
      <c r="A10030" s="1" t="s">
        <v>855</v>
      </c>
      <c r="B10030" t="s">
        <v>10580</v>
      </c>
    </row>
    <row r="10031" spans="1:2">
      <c r="A10031" s="1" t="s">
        <v>831</v>
      </c>
      <c r="B10031" t="s">
        <v>10580</v>
      </c>
    </row>
    <row r="10032" spans="1:2">
      <c r="A10032" s="1" t="s">
        <v>198</v>
      </c>
      <c r="B10032" t="s">
        <v>10575</v>
      </c>
    </row>
    <row r="10033" spans="1:2">
      <c r="A10033" s="1" t="s">
        <v>590</v>
      </c>
      <c r="B10033" t="s">
        <v>10575</v>
      </c>
    </row>
    <row r="10034" spans="1:2">
      <c r="A10034" s="1" t="s">
        <v>235</v>
      </c>
      <c r="B10034" t="s">
        <v>10581</v>
      </c>
    </row>
    <row r="10035" spans="1:2">
      <c r="A10035" s="1" t="s">
        <v>132</v>
      </c>
      <c r="B10035" t="s">
        <v>10582</v>
      </c>
    </row>
    <row r="10036" spans="1:2">
      <c r="A10036" s="1" t="s">
        <v>234</v>
      </c>
      <c r="B10036" t="s">
        <v>10575</v>
      </c>
    </row>
    <row r="10037" spans="1:2">
      <c r="A10037" s="1" t="s">
        <v>602</v>
      </c>
      <c r="B10037" t="s">
        <v>10583</v>
      </c>
    </row>
    <row r="10038" spans="1:2">
      <c r="A10038" s="1" t="s">
        <v>735</v>
      </c>
      <c r="B10038" t="s">
        <v>10584</v>
      </c>
    </row>
    <row r="10039" spans="1:2">
      <c r="A10039" s="1" t="s">
        <v>752</v>
      </c>
      <c r="B10039" t="s">
        <v>10585</v>
      </c>
    </row>
    <row r="10040" spans="1:2">
      <c r="A10040" s="1" t="s">
        <v>489</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2023-01-01T07:15:01Z</dcterms:created>
  <dcterms:modified xsi:type="dcterms:W3CDTF">2023-01-01T07:15:01Z</dcterms:modified>
</cp:coreProperties>
</file>