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<sst xmlns="http://schemas.openxmlformats.org/spreadsheetml/2006/main" count="29288" uniqueCount="10622">
  <si>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</si>
  <si>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</si>
  <si>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</si>
  <si>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</si>
  <si>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</si>
  <si>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</si>
  <si>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</si>
  <si>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</si>
  <si>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</si>
  <si>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</si>
  <si>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</si>
  <si>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</si>
  <si>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</si>
  <si>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</si>
  <si>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</si>
  <si>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</si>
  <si>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</si>
  <si>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</si>
  <si>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</si>
  <si>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</si>
  <si>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</si>
  <si>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</si>
  <si>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</si>
  <si>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</si>
  <si>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</si>
  <si>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</si>
  <si>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</si>
  <si>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</si>
  <si>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</si>
  <si>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ADI</t>
  </si>
  <si>
    <t>WSM</t>
  </si>
  <si>
    <t>SWKS</t>
  </si>
  <si>
    <t>LOW</t>
  </si>
  <si>
    <t>FOXA</t>
  </si>
  <si>
    <t>AIZ</t>
  </si>
  <si>
    <t>UGI</t>
  </si>
  <si>
    <t>MMM</t>
  </si>
  <si>
    <t>PNR</t>
  </si>
  <si>
    <t>INTU</t>
  </si>
  <si>
    <t>SYK</t>
  </si>
  <si>
    <t>PII</t>
  </si>
  <si>
    <t>ALB</t>
  </si>
  <si>
    <t>BRC</t>
  </si>
  <si>
    <t>RHI</t>
  </si>
  <si>
    <t>DCI</t>
  </si>
  <si>
    <t>PRI</t>
  </si>
  <si>
    <t>CHRW</t>
  </si>
  <si>
    <t>TCEHY</t>
  </si>
  <si>
    <t>BEN</t>
  </si>
  <si>
    <t>AMAT</t>
  </si>
  <si>
    <t>ANDE</t>
  </si>
  <si>
    <t>LEG</t>
  </si>
  <si>
    <t>FLIC</t>
  </si>
  <si>
    <t>TNC</t>
  </si>
  <si>
    <t>MSFT</t>
  </si>
  <si>
    <t>ABM</t>
  </si>
  <si>
    <t>NKE</t>
  </si>
  <si>
    <t>WBA</t>
  </si>
  <si>
    <t>EXPD</t>
  </si>
  <si>
    <t>CPKF</t>
  </si>
  <si>
    <t>ODFL</t>
  </si>
  <si>
    <t>TMO</t>
  </si>
  <si>
    <t>SLGN</t>
  </si>
  <si>
    <t>AJG</t>
  </si>
  <si>
    <t>EBTC</t>
  </si>
  <si>
    <t>TSN</t>
  </si>
  <si>
    <t>MDT</t>
  </si>
  <si>
    <t>TGT</t>
  </si>
  <si>
    <t>HUM</t>
  </si>
  <si>
    <t>DOV</t>
  </si>
  <si>
    <t>BMY</t>
  </si>
  <si>
    <t>MLI</t>
  </si>
  <si>
    <t>ORCL</t>
  </si>
  <si>
    <t>PH</t>
  </si>
  <si>
    <t>BDX</t>
  </si>
  <si>
    <t>ITT</t>
  </si>
  <si>
    <t>HI</t>
  </si>
  <si>
    <t>WLY</t>
  </si>
  <si>
    <t>CSX</t>
  </si>
  <si>
    <t>FDS</t>
  </si>
  <si>
    <t>SEIC</t>
  </si>
  <si>
    <t>MATW</t>
  </si>
  <si>
    <t>CHD</t>
  </si>
  <si>
    <t>SPGI</t>
  </si>
  <si>
    <t>FMCB</t>
  </si>
  <si>
    <t>GRC</t>
  </si>
  <si>
    <t>BKH</t>
  </si>
  <si>
    <t>PSBQ</t>
  </si>
  <si>
    <t>RHHBY</t>
  </si>
  <si>
    <t>PPG</t>
  </si>
  <si>
    <t>SBSI</t>
  </si>
  <si>
    <t>LECO</t>
  </si>
  <si>
    <t>SYY</t>
  </si>
  <si>
    <t>CP</t>
  </si>
  <si>
    <t>DHR</t>
  </si>
  <si>
    <t>ADP</t>
  </si>
  <si>
    <t>AFG</t>
  </si>
  <si>
    <t>AOS</t>
  </si>
  <si>
    <t>AEL</t>
  </si>
  <si>
    <t>V</t>
  </si>
  <si>
    <t>EMR</t>
  </si>
  <si>
    <t>SCI</t>
  </si>
  <si>
    <t>GGG</t>
  </si>
  <si>
    <t>ADM</t>
  </si>
  <si>
    <t>RJF</t>
  </si>
  <si>
    <t>JBHT</t>
  </si>
  <si>
    <t>JNJ</t>
  </si>
  <si>
    <t>ATO</t>
  </si>
  <si>
    <t>WST</t>
  </si>
  <si>
    <t>COST</t>
  </si>
  <si>
    <t>KO</t>
  </si>
  <si>
    <t>ROP</t>
  </si>
  <si>
    <t>BAM</t>
  </si>
  <si>
    <t>SCL</t>
  </si>
  <si>
    <t>NIDB</t>
  </si>
  <si>
    <t>AXP</t>
  </si>
  <si>
    <t>CTBI</t>
  </si>
  <si>
    <t>EFSI</t>
  </si>
  <si>
    <t>FELE</t>
  </si>
  <si>
    <t>LHX</t>
  </si>
  <si>
    <t>KR</t>
  </si>
  <si>
    <t>SHW</t>
  </si>
  <si>
    <t>GL</t>
  </si>
  <si>
    <t>MORN</t>
  </si>
  <si>
    <t>UNM</t>
  </si>
  <si>
    <t>BRO</t>
  </si>
  <si>
    <t>NWN</t>
  </si>
  <si>
    <t>DG</t>
  </si>
  <si>
    <t>CL</t>
  </si>
  <si>
    <t>ABT</t>
  </si>
  <si>
    <t>AMP</t>
  </si>
  <si>
    <t>FUL</t>
  </si>
  <si>
    <t>OZK</t>
  </si>
  <si>
    <t>CNI</t>
  </si>
  <si>
    <t>WMT</t>
  </si>
  <si>
    <t>LNN</t>
  </si>
  <si>
    <t>ELV</t>
  </si>
  <si>
    <t>ITW</t>
  </si>
  <si>
    <t>AXS</t>
  </si>
  <si>
    <t>HRL</t>
  </si>
  <si>
    <t>ABBV</t>
  </si>
  <si>
    <t>AIT</t>
  </si>
  <si>
    <t>CINF</t>
  </si>
  <si>
    <t>NFG</t>
  </si>
  <si>
    <t>MSA</t>
  </si>
  <si>
    <t>BANF</t>
  </si>
  <si>
    <t>PSX</t>
  </si>
  <si>
    <t>GWW</t>
  </si>
  <si>
    <t>CAT</t>
  </si>
  <si>
    <t>AROW</t>
  </si>
  <si>
    <t>CTAS</t>
  </si>
  <si>
    <t>TRV</t>
  </si>
  <si>
    <t>BOKF</t>
  </si>
  <si>
    <t>RPM</t>
  </si>
  <si>
    <t>LANC</t>
  </si>
  <si>
    <t>PG</t>
  </si>
  <si>
    <t>AAPL</t>
  </si>
  <si>
    <t>NDSN</t>
  </si>
  <si>
    <t>UNF</t>
  </si>
  <si>
    <t>SJW</t>
  </si>
  <si>
    <t>GPC</t>
  </si>
  <si>
    <t>LIN</t>
  </si>
  <si>
    <t>ATR</t>
  </si>
  <si>
    <t>JKHY</t>
  </si>
  <si>
    <t>FFMR</t>
  </si>
  <si>
    <t>CBSH</t>
  </si>
  <si>
    <t>MCK</t>
  </si>
  <si>
    <t>CFR</t>
  </si>
  <si>
    <t>ABC</t>
  </si>
  <si>
    <t>MGEE</t>
  </si>
  <si>
    <t>MSEX</t>
  </si>
  <si>
    <t>CSVI</t>
  </si>
  <si>
    <t>NOC</t>
  </si>
  <si>
    <t>THFF</t>
  </si>
  <si>
    <t>CASY</t>
  </si>
  <si>
    <t>GD</t>
  </si>
  <si>
    <t>MCD</t>
  </si>
  <si>
    <t>BF.B</t>
  </si>
  <si>
    <t>AFL</t>
  </si>
  <si>
    <t>AWR</t>
  </si>
  <si>
    <t>SRCE</t>
  </si>
  <si>
    <t>MGRC</t>
  </si>
  <si>
    <t>CB</t>
  </si>
  <si>
    <t>RNR</t>
  </si>
  <si>
    <t>IMO</t>
  </si>
  <si>
    <t>CWT</t>
  </si>
  <si>
    <t>XOM</t>
  </si>
  <si>
    <t>TR</t>
  </si>
  <si>
    <t>RLI</t>
  </si>
  <si>
    <t>TMP</t>
  </si>
  <si>
    <t>CAH</t>
  </si>
  <si>
    <t>UBSI</t>
  </si>
  <si>
    <t>CVX</t>
  </si>
  <si>
    <t>BMI</t>
  </si>
  <si>
    <t>NUE</t>
  </si>
  <si>
    <t>VFC</t>
  </si>
  <si>
    <t>BAX</t>
  </si>
  <si>
    <t>PNGAY</t>
  </si>
  <si>
    <t>BNS</t>
  </si>
  <si>
    <t>CMCSA</t>
  </si>
  <si>
    <t>VZ</t>
  </si>
  <si>
    <t>RPRX</t>
  </si>
  <si>
    <t>BR</t>
  </si>
  <si>
    <t>CTSH</t>
  </si>
  <si>
    <t>NUS</t>
  </si>
  <si>
    <t>WU</t>
  </si>
  <si>
    <t>GWLIF</t>
  </si>
  <si>
    <t>NTRS</t>
  </si>
  <si>
    <t>LAZ</t>
  </si>
  <si>
    <t>FMS</t>
  </si>
  <si>
    <t>ICE</t>
  </si>
  <si>
    <t>FDX</t>
  </si>
  <si>
    <t>OTTR</t>
  </si>
  <si>
    <t>SLF</t>
  </si>
  <si>
    <t>BMO</t>
  </si>
  <si>
    <t>CM</t>
  </si>
  <si>
    <t>OGN</t>
  </si>
  <si>
    <t>T</t>
  </si>
  <si>
    <t>NTIOF</t>
  </si>
  <si>
    <t>LAD</t>
  </si>
  <si>
    <t>RBGLY</t>
  </si>
  <si>
    <t>AVNT</t>
  </si>
  <si>
    <t>EQIX</t>
  </si>
  <si>
    <t>HD</t>
  </si>
  <si>
    <t>EBAY</t>
  </si>
  <si>
    <t>RY</t>
  </si>
  <si>
    <t>TD</t>
  </si>
  <si>
    <t>EMN</t>
  </si>
  <si>
    <t>MMS</t>
  </si>
  <si>
    <t>UPS</t>
  </si>
  <si>
    <t>OMC</t>
  </si>
  <si>
    <t>UHT</t>
  </si>
  <si>
    <t>PDCO</t>
  </si>
  <si>
    <t>IPG</t>
  </si>
  <si>
    <t>HRB</t>
  </si>
  <si>
    <t>SBAC</t>
  </si>
  <si>
    <t>AAP</t>
  </si>
  <si>
    <t>BIP</t>
  </si>
  <si>
    <t>RDEIY</t>
  </si>
  <si>
    <t>ENB</t>
  </si>
  <si>
    <t>TXN</t>
  </si>
  <si>
    <t>FTS</t>
  </si>
  <si>
    <t>RCI</t>
  </si>
  <si>
    <t>CBOE</t>
  </si>
  <si>
    <t>DPZ</t>
  </si>
  <si>
    <t>BALL</t>
  </si>
  <si>
    <t>SWK</t>
  </si>
  <si>
    <t>EVRG</t>
  </si>
  <si>
    <t>MO</t>
  </si>
  <si>
    <t>YUM</t>
  </si>
  <si>
    <t>NVS</t>
  </si>
  <si>
    <t>AMT</t>
  </si>
  <si>
    <t>ES</t>
  </si>
  <si>
    <t>CSCO</t>
  </si>
  <si>
    <t>WHR</t>
  </si>
  <si>
    <t>IFF</t>
  </si>
  <si>
    <t>RGLD</t>
  </si>
  <si>
    <t>RELX</t>
  </si>
  <si>
    <t>DEO</t>
  </si>
  <si>
    <t>TTE</t>
  </si>
  <si>
    <t>EPD</t>
  </si>
  <si>
    <t>KDP</t>
  </si>
  <si>
    <t>SWX</t>
  </si>
  <si>
    <t>FMC</t>
  </si>
  <si>
    <t>TROW</t>
  </si>
  <si>
    <t>SAP</t>
  </si>
  <si>
    <t>LNT</t>
  </si>
  <si>
    <t>GEF</t>
  </si>
  <si>
    <t>CDUAF</t>
  </si>
  <si>
    <t>R</t>
  </si>
  <si>
    <t>NSC</t>
  </si>
  <si>
    <t>WFG</t>
  </si>
  <si>
    <t>MRK</t>
  </si>
  <si>
    <t>UNP</t>
  </si>
  <si>
    <t>PB</t>
  </si>
  <si>
    <t>CI</t>
  </si>
  <si>
    <t>CMI</t>
  </si>
  <si>
    <t>BLK</t>
  </si>
  <si>
    <t>APH</t>
  </si>
  <si>
    <t>SUN</t>
  </si>
  <si>
    <t>AMGN</t>
  </si>
  <si>
    <t>UNH</t>
  </si>
  <si>
    <t>NJR</t>
  </si>
  <si>
    <t>MDLZ</t>
  </si>
  <si>
    <t>EIX</t>
  </si>
  <si>
    <t>BBY</t>
  </si>
  <si>
    <t>SRE</t>
  </si>
  <si>
    <t>SXT</t>
  </si>
  <si>
    <t>TSCO</t>
  </si>
  <si>
    <t>ESS</t>
  </si>
  <si>
    <t>RBA</t>
  </si>
  <si>
    <t>MCO</t>
  </si>
  <si>
    <t>FNV</t>
  </si>
  <si>
    <t>MURGF</t>
  </si>
  <si>
    <t>RSG</t>
  </si>
  <si>
    <t>TTC</t>
  </si>
  <si>
    <t>ECL</t>
  </si>
  <si>
    <t>NRG</t>
  </si>
  <si>
    <t>INGR</t>
  </si>
  <si>
    <t>ZTS</t>
  </si>
  <si>
    <t>BHB</t>
  </si>
  <si>
    <t>AMX</t>
  </si>
  <si>
    <t>SCHW</t>
  </si>
  <si>
    <t>CVS</t>
  </si>
  <si>
    <t>FAST</t>
  </si>
  <si>
    <t>AWK</t>
  </si>
  <si>
    <t>NEE</t>
  </si>
  <si>
    <t>DTE</t>
  </si>
  <si>
    <t>ORI</t>
  </si>
  <si>
    <t>WABC</t>
  </si>
  <si>
    <t>RMD</t>
  </si>
  <si>
    <t>PRGO</t>
  </si>
  <si>
    <t>WEC</t>
  </si>
  <si>
    <t>MTB</t>
  </si>
  <si>
    <t>SNA</t>
  </si>
  <si>
    <t>MDU</t>
  </si>
  <si>
    <t>UMBF</t>
  </si>
  <si>
    <t>K</t>
  </si>
  <si>
    <t>CARR</t>
  </si>
  <si>
    <t>MWA</t>
  </si>
  <si>
    <t>MKC</t>
  </si>
  <si>
    <t>ARTNA</t>
  </si>
  <si>
    <t>FRT</t>
  </si>
  <si>
    <t>ETR</t>
  </si>
  <si>
    <t>IBM</t>
  </si>
  <si>
    <t>KMB</t>
  </si>
  <si>
    <t>NDAQ</t>
  </si>
  <si>
    <t>RTX</t>
  </si>
  <si>
    <t>HII</t>
  </si>
  <si>
    <t>MET</t>
  </si>
  <si>
    <t>HON</t>
  </si>
  <si>
    <t>XEL</t>
  </si>
  <si>
    <t>WTRG</t>
  </si>
  <si>
    <t>UVV</t>
  </si>
  <si>
    <t>CBU</t>
  </si>
  <si>
    <t>GILD</t>
  </si>
  <si>
    <t>PNM</t>
  </si>
  <si>
    <t>GATX</t>
  </si>
  <si>
    <t>PEP</t>
  </si>
  <si>
    <t>LRLCF</t>
  </si>
  <si>
    <t>BAH</t>
  </si>
  <si>
    <t>DE</t>
  </si>
  <si>
    <t>ROK</t>
  </si>
  <si>
    <t>YORW</t>
  </si>
  <si>
    <t>HUBB</t>
  </si>
  <si>
    <t>ED</t>
  </si>
  <si>
    <t>TRI</t>
  </si>
  <si>
    <t>DDS</t>
  </si>
  <si>
    <t>OTIS</t>
  </si>
  <si>
    <t>LMT</t>
  </si>
  <si>
    <t>RE</t>
  </si>
  <si>
    <t>SJM</t>
  </si>
  <si>
    <t>APD</t>
  </si>
  <si>
    <t>TT</t>
  </si>
  <si>
    <t>CPK</t>
  </si>
  <si>
    <t>SPTN</t>
  </si>
  <si>
    <t>HSY</t>
  </si>
  <si>
    <t>WM</t>
  </si>
  <si>
    <t>NC</t>
  </si>
  <si>
    <t>XYL</t>
  </si>
  <si>
    <t>ERIE</t>
  </si>
  <si>
    <t>LLY</t>
  </si>
  <si>
    <t>CEG</t>
  </si>
  <si>
    <t>BIG</t>
  </si>
  <si>
    <t>HBI</t>
  </si>
  <si>
    <t>EQH</t>
  </si>
  <si>
    <t>OTEX</t>
  </si>
  <si>
    <t>HASI</t>
  </si>
  <si>
    <t>TSM</t>
  </si>
  <si>
    <t>LNC</t>
  </si>
  <si>
    <t>CIO</t>
  </si>
  <si>
    <t>ILPT</t>
  </si>
  <si>
    <t>BASFY</t>
  </si>
  <si>
    <t>MPWR</t>
  </si>
  <si>
    <t>CE</t>
  </si>
  <si>
    <t>SNY</t>
  </si>
  <si>
    <t>MCHP</t>
  </si>
  <si>
    <t>LII</t>
  </si>
  <si>
    <t>KKR</t>
  </si>
  <si>
    <t>CC</t>
  </si>
  <si>
    <t>NXST</t>
  </si>
  <si>
    <t>PFE</t>
  </si>
  <si>
    <t>POOL</t>
  </si>
  <si>
    <t>NTR</t>
  </si>
  <si>
    <t>TRTN</t>
  </si>
  <si>
    <t>ALLY</t>
  </si>
  <si>
    <t>VTRS</t>
  </si>
  <si>
    <t>MGA</t>
  </si>
  <si>
    <t>MAN</t>
  </si>
  <si>
    <t>KLAC</t>
  </si>
  <si>
    <t>STT</t>
  </si>
  <si>
    <t>TRSWF</t>
  </si>
  <si>
    <t>WRK</t>
  </si>
  <si>
    <t>ZION</t>
  </si>
  <si>
    <t>ALE</t>
  </si>
  <si>
    <t>CUBE</t>
  </si>
  <si>
    <t>ACI</t>
  </si>
  <si>
    <t>MA</t>
  </si>
  <si>
    <t>DFS</t>
  </si>
  <si>
    <t>DLR</t>
  </si>
  <si>
    <t>HUN</t>
  </si>
  <si>
    <t>AZN</t>
  </si>
  <si>
    <t>POR</t>
  </si>
  <si>
    <t>BC</t>
  </si>
  <si>
    <t>MMP</t>
  </si>
  <si>
    <t>SAXPY</t>
  </si>
  <si>
    <t>BK</t>
  </si>
  <si>
    <t>EMRAF</t>
  </si>
  <si>
    <t>KEY</t>
  </si>
  <si>
    <t>CMA</t>
  </si>
  <si>
    <t>DLB</t>
  </si>
  <si>
    <t>SKM</t>
  </si>
  <si>
    <t>STN</t>
  </si>
  <si>
    <t>FNF</t>
  </si>
  <si>
    <t>THG</t>
  </si>
  <si>
    <t>HPQ</t>
  </si>
  <si>
    <t>WAFD</t>
  </si>
  <si>
    <t>BWA</t>
  </si>
  <si>
    <t>EQNR</t>
  </si>
  <si>
    <t>NAVI</t>
  </si>
  <si>
    <t>MSM</t>
  </si>
  <si>
    <t>AVB</t>
  </si>
  <si>
    <t>JBL</t>
  </si>
  <si>
    <t>SYF</t>
  </si>
  <si>
    <t>LRCX</t>
  </si>
  <si>
    <t>UL</t>
  </si>
  <si>
    <t>PHM</t>
  </si>
  <si>
    <t>KLIC</t>
  </si>
  <si>
    <t>DOX</t>
  </si>
  <si>
    <t>CCI</t>
  </si>
  <si>
    <t>O</t>
  </si>
  <si>
    <t>AON</t>
  </si>
  <si>
    <t>SAN</t>
  </si>
  <si>
    <t>LEN</t>
  </si>
  <si>
    <t>BTI</t>
  </si>
  <si>
    <t>JPM</t>
  </si>
  <si>
    <t>TEL</t>
  </si>
  <si>
    <t>DHI</t>
  </si>
  <si>
    <t>WGO</t>
  </si>
  <si>
    <t>WOR</t>
  </si>
  <si>
    <t>TX</t>
  </si>
  <si>
    <t>MPLX</t>
  </si>
  <si>
    <t>AVT</t>
  </si>
  <si>
    <t>ESRT</t>
  </si>
  <si>
    <t>WY</t>
  </si>
  <si>
    <t>HOG</t>
  </si>
  <si>
    <t>NWE</t>
  </si>
  <si>
    <t>BAC</t>
  </si>
  <si>
    <t>TYCB</t>
  </si>
  <si>
    <t>HCSG</t>
  </si>
  <si>
    <t>OGS</t>
  </si>
  <si>
    <t>HNI</t>
  </si>
  <si>
    <t>HIG</t>
  </si>
  <si>
    <t>OGE</t>
  </si>
  <si>
    <t>PAYX</t>
  </si>
  <si>
    <t>APOG</t>
  </si>
  <si>
    <t>PSA</t>
  </si>
  <si>
    <t>SBUX</t>
  </si>
  <si>
    <t>BUD</t>
  </si>
  <si>
    <t>BP</t>
  </si>
  <si>
    <t>OKE</t>
  </si>
  <si>
    <t>MDC</t>
  </si>
  <si>
    <t>SHEL</t>
  </si>
  <si>
    <t>FAF</t>
  </si>
  <si>
    <t>UBS</t>
  </si>
  <si>
    <t>HE</t>
  </si>
  <si>
    <t>SXI</t>
  </si>
  <si>
    <t>IDA</t>
  </si>
  <si>
    <t>LYB</t>
  </si>
  <si>
    <t>COF</t>
  </si>
  <si>
    <t>SR</t>
  </si>
  <si>
    <t>SO</t>
  </si>
  <si>
    <t>HPE</t>
  </si>
  <si>
    <t>NNN</t>
  </si>
  <si>
    <t>CLX</t>
  </si>
  <si>
    <t>IEX</t>
  </si>
  <si>
    <t>MMC</t>
  </si>
  <si>
    <t>DKS</t>
  </si>
  <si>
    <t>AEP</t>
  </si>
  <si>
    <t>BG</t>
  </si>
  <si>
    <t>LOGI</t>
  </si>
  <si>
    <t>WPC</t>
  </si>
  <si>
    <t>AGM</t>
  </si>
  <si>
    <t>DUK</t>
  </si>
  <si>
    <t>FLO</t>
  </si>
  <si>
    <t>INTC</t>
  </si>
  <si>
    <t>M</t>
  </si>
  <si>
    <t>SONY</t>
  </si>
  <si>
    <t>TKR</t>
  </si>
  <si>
    <t>GE</t>
  </si>
  <si>
    <t>GNTX</t>
  </si>
  <si>
    <t>GS</t>
  </si>
  <si>
    <t>AVY</t>
  </si>
  <si>
    <t>ABB</t>
  </si>
  <si>
    <t>RGA</t>
  </si>
  <si>
    <t>SU</t>
  </si>
  <si>
    <t>CTRA</t>
  </si>
  <si>
    <t>PEG</t>
  </si>
  <si>
    <t>CPB</t>
  </si>
  <si>
    <t>NSRGY</t>
  </si>
  <si>
    <t>RS</t>
  </si>
  <si>
    <t>STZ</t>
  </si>
  <si>
    <t>GIS</t>
  </si>
  <si>
    <t>DGX</t>
  </si>
  <si>
    <t>MLM</t>
  </si>
  <si>
    <t>NEP</t>
  </si>
  <si>
    <t>THO</t>
  </si>
  <si>
    <t>SJI</t>
  </si>
  <si>
    <t>CMS</t>
  </si>
  <si>
    <t>OLN</t>
  </si>
  <si>
    <t>AVA</t>
  </si>
  <si>
    <t>HAL</t>
  </si>
  <si>
    <t>INFY</t>
  </si>
  <si>
    <t>AUY</t>
  </si>
  <si>
    <t>TRGP</t>
  </si>
  <si>
    <t>NEU</t>
  </si>
  <si>
    <t>NLSN</t>
  </si>
  <si>
    <t>FCX</t>
  </si>
  <si>
    <t>NVDA</t>
  </si>
  <si>
    <t>ERF</t>
  </si>
  <si>
    <t>NVO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</si>
  <si>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</si>
  <si>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</si>
  <si>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</si>
  <si>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</si>
  <si>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</si>
  <si>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</si>
  <si>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</si>
  <si>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</si>
  <si>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</si>
  <si>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</si>
  <si>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</si>
  <si>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</si>
  <si>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</si>
  <si>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</si>
  <si>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JHG</t>
  </si>
  <si>
    <t>SLG</t>
  </si>
  <si>
    <t>OPI</t>
  </si>
  <si>
    <t>SAFE</t>
  </si>
  <si>
    <t>MED</t>
  </si>
  <si>
    <t>ERIC</t>
  </si>
  <si>
    <t>PDM</t>
  </si>
  <si>
    <t>BXP</t>
  </si>
  <si>
    <t>WSO</t>
  </si>
  <si>
    <t>PBR</t>
  </si>
  <si>
    <t>SMG</t>
  </si>
  <si>
    <t>SNV</t>
  </si>
  <si>
    <t>NXRT</t>
  </si>
  <si>
    <t>NWL</t>
  </si>
  <si>
    <t>TPR</t>
  </si>
  <si>
    <t>DEA</t>
  </si>
  <si>
    <t>HIW</t>
  </si>
  <si>
    <t>PGRE</t>
  </si>
  <si>
    <t>AAT</t>
  </si>
  <si>
    <t>IVZ</t>
  </si>
  <si>
    <t>NYCB</t>
  </si>
  <si>
    <t>YUMC</t>
  </si>
  <si>
    <t>CUZ</t>
  </si>
  <si>
    <t>PLYM</t>
  </si>
  <si>
    <t>IRT</t>
  </si>
  <si>
    <t>PINC</t>
  </si>
  <si>
    <t>TFC</t>
  </si>
  <si>
    <t>BMWYY</t>
  </si>
  <si>
    <t>ARLP</t>
  </si>
  <si>
    <t>PKG</t>
  </si>
  <si>
    <t>ASML</t>
  </si>
  <si>
    <t>WSR</t>
  </si>
  <si>
    <t>RL</t>
  </si>
  <si>
    <t>C</t>
  </si>
  <si>
    <t>GSK</t>
  </si>
  <si>
    <t>MFC</t>
  </si>
  <si>
    <t>MKTX</t>
  </si>
  <si>
    <t>KRC</t>
  </si>
  <si>
    <t>PARA</t>
  </si>
  <si>
    <t>SPH</t>
  </si>
  <si>
    <t>AY</t>
  </si>
  <si>
    <t>JACK</t>
  </si>
  <si>
    <t>SMFG</t>
  </si>
  <si>
    <t>MAC</t>
  </si>
  <si>
    <t>HEP</t>
  </si>
  <si>
    <t>WASH</t>
  </si>
  <si>
    <t>PNC</t>
  </si>
  <si>
    <t>MBGAF</t>
  </si>
  <si>
    <t>AVGO</t>
  </si>
  <si>
    <t>NTAP</t>
  </si>
  <si>
    <t>ASB</t>
  </si>
  <si>
    <t>D</t>
  </si>
  <si>
    <t>USB</t>
  </si>
  <si>
    <t>PAA</t>
  </si>
  <si>
    <t>IP</t>
  </si>
  <si>
    <t>CRI</t>
  </si>
  <si>
    <t>GROW</t>
  </si>
  <si>
    <t>KTB</t>
  </si>
  <si>
    <t>UE</t>
  </si>
  <si>
    <t>WPP</t>
  </si>
  <si>
    <t>JWN</t>
  </si>
  <si>
    <t>AEG</t>
  </si>
  <si>
    <t>NGG</t>
  </si>
  <si>
    <t>VST</t>
  </si>
  <si>
    <t>RF</t>
  </si>
  <si>
    <t>AEE</t>
  </si>
  <si>
    <t>GEL</t>
  </si>
  <si>
    <t>CFG</t>
  </si>
  <si>
    <t>RPT</t>
  </si>
  <si>
    <t>TRST</t>
  </si>
  <si>
    <t>DTEGY</t>
  </si>
  <si>
    <t>CWH</t>
  </si>
  <si>
    <t>FL</t>
  </si>
  <si>
    <t>CODI</t>
  </si>
  <si>
    <t>ROST</t>
  </si>
  <si>
    <t>DD</t>
  </si>
  <si>
    <t>HMC</t>
  </si>
  <si>
    <t>ETD</t>
  </si>
  <si>
    <t>E</t>
  </si>
  <si>
    <t>WEYS</t>
  </si>
  <si>
    <t>BAYRY</t>
  </si>
  <si>
    <t>BRX</t>
  </si>
  <si>
    <t>PKX</t>
  </si>
  <si>
    <t>KMI</t>
  </si>
  <si>
    <t>OFC</t>
  </si>
  <si>
    <t>PACW</t>
  </si>
  <si>
    <t>NHI</t>
  </si>
  <si>
    <t>MS</t>
  </si>
  <si>
    <t>KRG</t>
  </si>
  <si>
    <t>DOC</t>
  </si>
  <si>
    <t>NSP</t>
  </si>
  <si>
    <t>DOW</t>
  </si>
  <si>
    <t>GLW</t>
  </si>
  <si>
    <t>ARE</t>
  </si>
  <si>
    <t>TS</t>
  </si>
  <si>
    <t>CAJ</t>
  </si>
  <si>
    <t>MAA</t>
  </si>
  <si>
    <t>GOLD</t>
  </si>
  <si>
    <t>SUUIF</t>
  </si>
  <si>
    <t>VALE</t>
  </si>
  <si>
    <t>TAP</t>
  </si>
  <si>
    <t>PM</t>
  </si>
  <si>
    <t>F</t>
  </si>
  <si>
    <t>BBD</t>
  </si>
  <si>
    <t>WFC</t>
  </si>
  <si>
    <t>ITUB</t>
  </si>
  <si>
    <t>ET</t>
  </si>
  <si>
    <t>JNPR</t>
  </si>
  <si>
    <t>CPT</t>
  </si>
  <si>
    <t>TU</t>
  </si>
  <si>
    <t>PLD</t>
  </si>
  <si>
    <t>EOG</t>
  </si>
  <si>
    <t>HBAN</t>
  </si>
  <si>
    <t>IMBBY</t>
  </si>
  <si>
    <t>FRFHF</t>
  </si>
  <si>
    <t>MCY</t>
  </si>
  <si>
    <t>ELS</t>
  </si>
  <si>
    <t>PCAR</t>
  </si>
  <si>
    <t>TJX</t>
  </si>
  <si>
    <t>AMH</t>
  </si>
  <si>
    <t>WMB</t>
  </si>
  <si>
    <t>FITB</t>
  </si>
  <si>
    <t>ACN</t>
  </si>
  <si>
    <t>PNW</t>
  </si>
  <si>
    <t>APO</t>
  </si>
  <si>
    <t>FR</t>
  </si>
  <si>
    <t>SIEGY</t>
  </si>
  <si>
    <t>ING</t>
  </si>
  <si>
    <t>CAG</t>
  </si>
  <si>
    <t>CNA</t>
  </si>
  <si>
    <t>SKT</t>
  </si>
  <si>
    <t>PECO</t>
  </si>
  <si>
    <t>WSBC</t>
  </si>
  <si>
    <t>CAKE</t>
  </si>
  <si>
    <t>CNP</t>
  </si>
  <si>
    <t>PFG</t>
  </si>
  <si>
    <t>WDFC</t>
  </si>
  <si>
    <t>WPM</t>
  </si>
  <si>
    <t>JCI</t>
  </si>
  <si>
    <t>CME</t>
  </si>
  <si>
    <t>PRU</t>
  </si>
  <si>
    <t>DRE</t>
  </si>
  <si>
    <t>AES</t>
  </si>
  <si>
    <t>EXPO</t>
  </si>
  <si>
    <t>SBS</t>
  </si>
  <si>
    <t>CWEN</t>
  </si>
  <si>
    <t>RACE</t>
  </si>
  <si>
    <t>SCHL</t>
  </si>
  <si>
    <t>ETN</t>
  </si>
  <si>
    <t>SLB</t>
  </si>
  <si>
    <t>CMP</t>
  </si>
  <si>
    <t>CWCO</t>
  </si>
  <si>
    <t>MLR</t>
  </si>
  <si>
    <t>COLD</t>
  </si>
  <si>
    <t>TM</t>
  </si>
  <si>
    <t>PSO</t>
  </si>
  <si>
    <t>RYN</t>
  </si>
  <si>
    <t>TRN</t>
  </si>
  <si>
    <t>OSK</t>
  </si>
  <si>
    <t>KALU</t>
  </si>
  <si>
    <t>PGR</t>
  </si>
  <si>
    <t>ALL</t>
  </si>
  <si>
    <t>VLO</t>
  </si>
  <si>
    <t>HLI</t>
  </si>
  <si>
    <t>APA</t>
  </si>
  <si>
    <t>MPW</t>
  </si>
  <si>
    <t>AGNC</t>
  </si>
  <si>
    <t>CIM</t>
  </si>
  <si>
    <t>LUMN</t>
  </si>
  <si>
    <t>PHG</t>
  </si>
  <si>
    <t>IIPR</t>
  </si>
  <si>
    <t>NSA</t>
  </si>
  <si>
    <t>BDN</t>
  </si>
  <si>
    <t>GECC</t>
  </si>
  <si>
    <t>NLY</t>
  </si>
  <si>
    <t>TWO</t>
  </si>
  <si>
    <t>DEI</t>
  </si>
  <si>
    <t>ARR</t>
  </si>
  <si>
    <t>SBLK</t>
  </si>
  <si>
    <t>CLPR</t>
  </si>
  <si>
    <t>NEWT</t>
  </si>
  <si>
    <t>SACH</t>
  </si>
  <si>
    <t>OWL</t>
  </si>
  <si>
    <t>ORAN</t>
  </si>
  <si>
    <t>HAS</t>
  </si>
  <si>
    <t>TDS</t>
  </si>
  <si>
    <t>HR</t>
  </si>
  <si>
    <t>HSBC</t>
  </si>
  <si>
    <t>GMRE</t>
  </si>
  <si>
    <t>UMH</t>
  </si>
  <si>
    <t>AQN</t>
  </si>
  <si>
    <t>EPR</t>
  </si>
  <si>
    <t>BRMK</t>
  </si>
  <si>
    <t>VTR</t>
  </si>
  <si>
    <t>CCOI</t>
  </si>
  <si>
    <t>EARN</t>
  </si>
  <si>
    <t>ALV</t>
  </si>
  <si>
    <t>EFC</t>
  </si>
  <si>
    <t>LSI</t>
  </si>
  <si>
    <t>VNO</t>
  </si>
  <si>
    <t>GRMN</t>
  </si>
  <si>
    <t>RITM</t>
  </si>
  <si>
    <t>EQR</t>
  </si>
  <si>
    <t>VIA</t>
  </si>
  <si>
    <t>AKR</t>
  </si>
  <si>
    <t>ACRE</t>
  </si>
  <si>
    <t>CSWC</t>
  </si>
  <si>
    <t>DX</t>
  </si>
  <si>
    <t>NTST</t>
  </si>
  <si>
    <t>IPAR</t>
  </si>
  <si>
    <t>MRCC</t>
  </si>
  <si>
    <t>EXR</t>
  </si>
  <si>
    <t>PRT</t>
  </si>
  <si>
    <t>GNL</t>
  </si>
  <si>
    <t>TPVG</t>
  </si>
  <si>
    <t>BGS</t>
  </si>
  <si>
    <t>KSS</t>
  </si>
  <si>
    <t>RTL</t>
  </si>
  <si>
    <t>SRC</t>
  </si>
  <si>
    <t>SFL</t>
  </si>
  <si>
    <t>EPRT</t>
  </si>
  <si>
    <t>UDR</t>
  </si>
  <si>
    <t>NEM</t>
  </si>
  <si>
    <t>TRP</t>
  </si>
  <si>
    <t>KNOP</t>
  </si>
  <si>
    <t>PEAK</t>
  </si>
  <si>
    <t>DREUF</t>
  </si>
  <si>
    <t>CHCT</t>
  </si>
  <si>
    <t>CORR</t>
  </si>
  <si>
    <t>BX</t>
  </si>
  <si>
    <t>APAM</t>
  </si>
  <si>
    <t>SBRA</t>
  </si>
  <si>
    <t>IEP</t>
  </si>
  <si>
    <t>VGR</t>
  </si>
  <si>
    <t>KREF</t>
  </si>
  <si>
    <t>GSBD</t>
  </si>
  <si>
    <t>RIO</t>
  </si>
  <si>
    <t>MAIN</t>
  </si>
  <si>
    <t>CTRE</t>
  </si>
  <si>
    <t>QSR</t>
  </si>
  <si>
    <t>BFS</t>
  </si>
  <si>
    <t>AM</t>
  </si>
  <si>
    <t>LWSCF</t>
  </si>
  <si>
    <t>BXMT</t>
  </si>
  <si>
    <t>ORCC</t>
  </si>
  <si>
    <t>STAG</t>
  </si>
  <si>
    <t>BCE</t>
  </si>
  <si>
    <t>SPG</t>
  </si>
  <si>
    <t>STWD</t>
  </si>
  <si>
    <t>CTO</t>
  </si>
  <si>
    <t>BEP</t>
  </si>
  <si>
    <t>CBRL</t>
  </si>
  <si>
    <t>OLP</t>
  </si>
  <si>
    <t>DANOY</t>
  </si>
  <si>
    <t>FCPT</t>
  </si>
  <si>
    <t>ARI</t>
  </si>
  <si>
    <t>AB</t>
  </si>
  <si>
    <t>HRZN</t>
  </si>
  <si>
    <t>AMCR</t>
  </si>
  <si>
    <t>PFLT</t>
  </si>
  <si>
    <t>STOR</t>
  </si>
  <si>
    <t>WEN</t>
  </si>
  <si>
    <t>NWBI</t>
  </si>
  <si>
    <t>GOOD</t>
  </si>
  <si>
    <t>OXSQ</t>
  </si>
  <si>
    <t>FE</t>
  </si>
  <si>
    <t>EGP</t>
  </si>
  <si>
    <t>GBDC</t>
  </si>
  <si>
    <t>DRETF</t>
  </si>
  <si>
    <t>EIFZF</t>
  </si>
  <si>
    <t>SLRC</t>
  </si>
  <si>
    <t>VICI</t>
  </si>
  <si>
    <t>FTCO</t>
  </si>
  <si>
    <t>OHI</t>
  </si>
  <si>
    <t>ADC</t>
  </si>
  <si>
    <t>WELL</t>
  </si>
  <si>
    <t>LTC</t>
  </si>
  <si>
    <t>GLPI</t>
  </si>
  <si>
    <t>USAC</t>
  </si>
  <si>
    <t>ABEV</t>
  </si>
  <si>
    <t>INVH</t>
  </si>
  <si>
    <t>NMFC</t>
  </si>
  <si>
    <t>VOD</t>
  </si>
  <si>
    <t>ABR</t>
  </si>
  <si>
    <t>TSLX</t>
  </si>
  <si>
    <t>BKR</t>
  </si>
  <si>
    <t>PINE</t>
  </si>
  <si>
    <t>GLAD</t>
  </si>
  <si>
    <t>NYMT</t>
  </si>
  <si>
    <t>LADR</t>
  </si>
  <si>
    <t>REG</t>
  </si>
  <si>
    <t>SSREY</t>
  </si>
  <si>
    <t>BHP</t>
  </si>
  <si>
    <t>HTGC</t>
  </si>
  <si>
    <t>IDEXY</t>
  </si>
  <si>
    <t>LAMR</t>
  </si>
  <si>
    <t>GWRS</t>
  </si>
  <si>
    <t>TEF</t>
  </si>
  <si>
    <t>SCCO</t>
  </si>
  <si>
    <t>ARCC</t>
  </si>
  <si>
    <t>SHLX</t>
  </si>
  <si>
    <t>PSEC</t>
  </si>
  <si>
    <t>FDUS</t>
  </si>
  <si>
    <t>PXD</t>
  </si>
  <si>
    <t>DRI</t>
  </si>
  <si>
    <t>SCM</t>
  </si>
  <si>
    <t>LXP</t>
  </si>
  <si>
    <t>CQP</t>
  </si>
  <si>
    <t>LAND</t>
  </si>
  <si>
    <t>EVA</t>
  </si>
  <si>
    <t>GAIN</t>
  </si>
  <si>
    <t>JJSF</t>
  </si>
  <si>
    <t>XRX</t>
  </si>
  <si>
    <t>KHC</t>
  </si>
  <si>
    <t>SJR</t>
  </si>
  <si>
    <t>MU</t>
  </si>
  <si>
    <t>IRM</t>
  </si>
  <si>
    <t>PETS</t>
  </si>
  <si>
    <t>PBA</t>
  </si>
  <si>
    <t>PPRQF</t>
  </si>
  <si>
    <t>PMT</t>
  </si>
  <si>
    <t>GIPR</t>
  </si>
  <si>
    <t>KIM</t>
  </si>
  <si>
    <t>UBA</t>
  </si>
  <si>
    <t>EXC</t>
  </si>
  <si>
    <t>SJT</t>
  </si>
  <si>
    <t>STX</t>
  </si>
  <si>
    <t>DVN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</si>
  <si>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</si>
  <si>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</si>
  <si>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</si>
  <si>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</si>
  <si>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</si>
  <si>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</si>
  <si>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</si>
  <si>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</si>
  <si>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</si>
  <si>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</si>
  <si>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</si>
  <si>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</si>
  <si>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</si>
  <si>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2022-08-17</t>
  </si>
  <si>
    <t>2022-08-29</t>
  </si>
  <si>
    <t>2022-10-20</t>
  </si>
  <si>
    <t>2022-08-24</t>
  </si>
  <si>
    <t>2022-10-18</t>
  </si>
  <si>
    <t>2022-08-30</t>
  </si>
  <si>
    <t>2022-08-26</t>
  </si>
  <si>
    <t>2022-09-14</t>
  </si>
  <si>
    <t>2022-08-19</t>
  </si>
  <si>
    <t>2022-10-06</t>
  </si>
  <si>
    <t>2022-09-29</t>
  </si>
  <si>
    <t>2022-09-15</t>
  </si>
  <si>
    <t>2022-08-15</t>
  </si>
  <si>
    <t>2022-09-01</t>
  </si>
  <si>
    <t>2022-05-19</t>
  </si>
  <si>
    <t>2022-09-30</t>
  </si>
  <si>
    <t>2022-10-11</t>
  </si>
  <si>
    <t>2022-10-05</t>
  </si>
  <si>
    <t>2022-09-02</t>
  </si>
  <si>
    <t>2022-08-18</t>
  </si>
  <si>
    <t>2022-05-31</t>
  </si>
  <si>
    <t>2022-09-06</t>
  </si>
  <si>
    <t>2022-08-10</t>
  </si>
  <si>
    <t>2022-09-22</t>
  </si>
  <si>
    <t>2022-08-16</t>
  </si>
  <si>
    <t>2022-09-08</t>
  </si>
  <si>
    <t>2022-10-07</t>
  </si>
  <si>
    <t>2022-06-10</t>
  </si>
  <si>
    <t>2022-08-05</t>
  </si>
  <si>
    <t>2022-08-12</t>
  </si>
  <si>
    <t>2022-08-25</t>
  </si>
  <si>
    <t>2022-06-09</t>
  </si>
  <si>
    <t>2022-07-14</t>
  </si>
  <si>
    <t>2022-03-17</t>
  </si>
  <si>
    <t>2022-10-13</t>
  </si>
  <si>
    <t>2022-10-28</t>
  </si>
  <si>
    <t>2021-11-26</t>
  </si>
  <si>
    <t>2022-08-11</t>
  </si>
  <si>
    <t>2022-10-14</t>
  </si>
  <si>
    <t>2022-11-03</t>
  </si>
  <si>
    <t>2022-08-22</t>
  </si>
  <si>
    <t>2022-07-19</t>
  </si>
  <si>
    <t>2022-10-27</t>
  </si>
  <si>
    <t>2022-11-04</t>
  </si>
  <si>
    <t>2022-11-02</t>
  </si>
  <si>
    <t>2022-10-17</t>
  </si>
  <si>
    <t>2022-11-01</t>
  </si>
  <si>
    <t>2022-10-03</t>
  </si>
  <si>
    <t>2022-10-19</t>
  </si>
  <si>
    <t>2022-09-07</t>
  </si>
  <si>
    <t>2022-10-21</t>
  </si>
  <si>
    <t>2022-09-16</t>
  </si>
  <si>
    <t>2022-10-25</t>
  </si>
  <si>
    <t>2022-06-16</t>
  </si>
  <si>
    <t>2022-10-31</t>
  </si>
  <si>
    <t>2022-08-23</t>
  </si>
  <si>
    <t>2022-08-01</t>
  </si>
  <si>
    <t>2022-09-09</t>
  </si>
  <si>
    <t>2022-09-19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</si>
  <si>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</si>
  <si>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</si>
  <si>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</si>
  <si>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</si>
  <si>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</si>
  <si>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</si>
  <si>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</si>
  <si>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2022-08-04</t>
  </si>
  <si>
    <t>2022-09-21</t>
  </si>
  <si>
    <t>2022-04-29</t>
  </si>
  <si>
    <t>2022-10-26</t>
  </si>
  <si>
    <t>2022-08-08</t>
  </si>
  <si>
    <t>2022-04-27</t>
  </si>
  <si>
    <t>2022-05-02</t>
  </si>
  <si>
    <t>2022-05-04</t>
  </si>
  <si>
    <t>2022-09-28</t>
  </si>
  <si>
    <t>2022-09-13</t>
  </si>
  <si>
    <t>2022-07-11</t>
  </si>
  <si>
    <t>2022-10-12</t>
  </si>
  <si>
    <t>2022-08-03</t>
  </si>
  <si>
    <t>2022-05-05</t>
  </si>
  <si>
    <t>2022-10-24</t>
  </si>
  <si>
    <t>2022-05-03</t>
  </si>
  <si>
    <t>2022-04-12</t>
  </si>
  <si>
    <t>2022-09-26</t>
  </si>
  <si>
    <t>2022-03-29</t>
  </si>
  <si>
    <t>2022-03-28</t>
  </si>
  <si>
    <t>2022-04-11</t>
  </si>
  <si>
    <t>2022-07-21</t>
  </si>
  <si>
    <t>2022-05-12</t>
  </si>
  <si>
    <t>2022-06-03</t>
  </si>
  <si>
    <t>2022-04-08</t>
  </si>
  <si>
    <t>2022-07-28</t>
  </si>
  <si>
    <t>2022-05-23</t>
  </si>
  <si>
    <t>2022-06-28</t>
  </si>
  <si>
    <t>2022-01-19</t>
  </si>
  <si>
    <t>2022-02-11</t>
  </si>
  <si>
    <t>2022-04-19</t>
  </si>
  <si>
    <t>2022-03-14</t>
  </si>
  <si>
    <t>2022-05-06</t>
  </si>
  <si>
    <t>2022-04-14</t>
  </si>
  <si>
    <t>2021-12-20</t>
  </si>
  <si>
    <t>2022-06-01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</si>
  <si>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</si>
  <si>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</si>
  <si>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</si>
  <si>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</si>
  <si>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</si>
  <si>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</si>
  <si>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</si>
  <si>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Communication Services</t>
  </si>
  <si>
    <t>Financials</t>
  </si>
  <si>
    <t>Utilities</t>
  </si>
  <si>
    <t>Health Care</t>
  </si>
  <si>
    <t>Materials</t>
  </si>
  <si>
    <t>Consumer Staples</t>
  </si>
  <si>
    <t>Energy</t>
  </si>
  <si>
    <t>Real Estate</t>
  </si>
  <si>
    <t>Nathan Parsh</t>
  </si>
  <si>
    <t>Jonathan Weber</t>
  </si>
  <si>
    <t>Thomas Richmond</t>
  </si>
  <si>
    <t>Aristofanis Papadatos</t>
  </si>
  <si>
    <t>Felix Martinez</t>
  </si>
  <si>
    <t>Quinn Mohammed</t>
  </si>
  <si>
    <t>Samuel Smith</t>
  </si>
  <si>
    <t>Nikos Sismanis</t>
  </si>
  <si>
    <t>Josh Arnold</t>
  </si>
  <si>
    <t>Patrick Neuwirth</t>
  </si>
  <si>
    <t>Yiannis Zourmpanos</t>
  </si>
  <si>
    <t>Derek English</t>
  </si>
  <si>
    <t>Kay Ng</t>
  </si>
  <si>
    <t>Tiago Dias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</si>
  <si>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</si>
  <si>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</si>
  <si>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</si>
  <si>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</si>
  <si>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</si>
  <si>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</si>
  <si>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</si>
  <si>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</si>
  <si>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</si>
  <si>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</si>
  <si>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</si>
  <si>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</si>
  <si>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</si>
  <si>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</si>
  <si>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</si>
  <si>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</si>
  <si>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</si>
  <si>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</si>
  <si>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</si>
  <si>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</si>
  <si>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</si>
  <si>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</si>
  <si>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</si>
  <si>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</si>
  <si>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</si>
  <si>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</si>
  <si>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</si>
  <si>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</si>
  <si>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</si>
  <si>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</si>
  <si>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</si>
  <si>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</si>
  <si>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</si>
  <si>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</si>
  <si>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</si>
  <si>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</si>
  <si>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</si>
  <si>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</si>
  <si>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</si>
  <si>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</si>
  <si>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</si>
  <si>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</si>
  <si>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</si>
  <si>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</si>
  <si>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</si>
  <si>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</si>
  <si>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</si>
  <si>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</si>
  <si>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</si>
  <si>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</si>
  <si>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</si>
  <si>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</si>
  <si>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</si>
  <si>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</si>
  <si>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</si>
  <si>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</si>
  <si>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</si>
  <si>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</si>
  <si>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</si>
  <si>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</si>
  <si>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</si>
  <si>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</si>
  <si>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</si>
  <si>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</si>
  <si>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</si>
  <si>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</si>
  <si>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</si>
  <si>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</si>
  <si>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</si>
  <si>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</si>
  <si>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</si>
  <si>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</si>
  <si>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</si>
  <si>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</si>
  <si>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</si>
  <si>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</si>
  <si>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</si>
  <si>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</si>
  <si>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</si>
  <si>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</si>
  <si>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</si>
  <si>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</si>
  <si>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</si>
  <si>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</si>
  <si>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</si>
  <si>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</si>
  <si>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</si>
  <si>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</si>
  <si>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</si>
  <si>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</si>
  <si>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</si>
  <si>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</si>
  <si>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</si>
  <si>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</si>
  <si>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</si>
  <si>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</si>
  <si>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</si>
  <si>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</si>
  <si>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</si>
  <si>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</si>
  <si>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</si>
  <si>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</si>
  <si>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</si>
  <si>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</si>
  <si>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</si>
  <si>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</si>
  <si>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</si>
  <si>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</si>
  <si>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</si>
  <si>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</si>
  <si>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</si>
  <si>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</si>
  <si>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</si>
  <si>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</si>
  <si>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</si>
  <si>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</si>
  <si>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</si>
  <si>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</si>
  <si>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</si>
  <si>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</si>
  <si>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</si>
  <si>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</si>
  <si>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</si>
  <si>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</si>
  <si>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</si>
  <si>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</si>
  <si>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</si>
  <si>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</si>
  <si>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</si>
  <si>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</si>
  <si>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</si>
  <si>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</si>
  <si>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</si>
  <si>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</si>
  <si>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</si>
  <si>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</si>
  <si>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</si>
  <si>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</si>
  <si>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</si>
  <si>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</si>
  <si>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</si>
  <si>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</si>
  <si>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</si>
  <si>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</si>
  <si>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</si>
  <si>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</si>
  <si>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</si>
  <si>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</si>
  <si>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</si>
  <si>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</si>
  <si>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</si>
  <si>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</si>
  <si>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</si>
  <si>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</si>
  <si>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</si>
  <si>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</si>
  <si>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</si>
  <si>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</si>
  <si>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</si>
  <si>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</si>
  <si>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</si>
  <si>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</si>
  <si>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</si>
  <si>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</si>
  <si>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</si>
  <si>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</si>
  <si>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</si>
  <si>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</si>
  <si>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</si>
  <si>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</si>
  <si>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</si>
  <si>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</si>
  <si>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</si>
  <si>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</si>
  <si>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</si>
  <si>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</si>
  <si>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</si>
  <si>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</si>
  <si>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</si>
  <si>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</si>
  <si>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</si>
  <si>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</si>
  <si>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</si>
  <si>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</si>
  <si>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</si>
  <si>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</si>
  <si>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</si>
  <si>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</si>
  <si>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</si>
  <si>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</si>
  <si>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</si>
  <si>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</si>
  <si>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</si>
  <si>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</si>
  <si>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</si>
  <si>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</si>
  <si>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</si>
  <si>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</si>
  <si>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</si>
  <si>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</si>
  <si>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</si>
  <si>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</si>
  <si>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</si>
  <si>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</si>
  <si>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</si>
  <si>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</si>
  <si>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</si>
  <si>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</si>
  <si>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</si>
  <si>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</si>
  <si>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</si>
  <si>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</si>
  <si>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</si>
  <si>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</si>
  <si>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</si>
  <si>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</si>
  <si>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</si>
  <si>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</si>
  <si>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</si>
  <si>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</si>
  <si>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</si>
  <si>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</si>
  <si>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</si>
  <si>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</si>
  <si>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</si>
  <si>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</si>
  <si>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</si>
  <si>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</si>
  <si>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</si>
  <si>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</si>
  <si>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</si>
  <si>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</si>
  <si>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</si>
  <si>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</si>
  <si>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</si>
  <si>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</si>
  <si>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</si>
  <si>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</si>
  <si>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</si>
  <si>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</si>
  <si>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</si>
  <si>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</si>
  <si>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</si>
  <si>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</si>
  <si>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</si>
  <si>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</si>
  <si>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</si>
  <si>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</si>
  <si>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</si>
  <si>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</si>
  <si>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</si>
  <si>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</si>
  <si>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</si>
  <si>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</si>
  <si>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</si>
  <si>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</si>
  <si>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</si>
  <si>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</si>
  <si>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</si>
  <si>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</si>
  <si>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</si>
  <si>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</si>
  <si>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</si>
  <si>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</si>
  <si>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</si>
  <si>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</si>
  <si>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</si>
  <si>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</si>
  <si>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</si>
  <si>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</si>
  <si>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</si>
  <si>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</si>
  <si>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</si>
  <si>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</si>
  <si>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</si>
  <si>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</si>
  <si>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</si>
  <si>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</si>
  <si>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</si>
  <si>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</si>
  <si>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</si>
  <si>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</si>
  <si>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</si>
  <si>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</si>
  <si>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</si>
  <si>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</si>
  <si>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</si>
  <si>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</si>
  <si>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</si>
  <si>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</si>
  <si>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</si>
  <si>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</si>
  <si>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</si>
  <si>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</si>
  <si>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</si>
  <si>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</si>
  <si>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</si>
  <si>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</si>
  <si>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</si>
  <si>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</si>
  <si>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</si>
  <si>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</si>
  <si>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</si>
  <si>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</si>
  <si>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</si>
  <si>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</si>
  <si>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</si>
  <si>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</si>
  <si>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</si>
  <si>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</si>
  <si>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</si>
  <si>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</si>
  <si>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</si>
  <si>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</si>
  <si>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</si>
  <si>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</si>
  <si>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</si>
  <si>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</si>
  <si>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</si>
  <si>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</si>
  <si>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</si>
  <si>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</si>
  <si>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</si>
  <si>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</si>
  <si>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</si>
  <si>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</si>
  <si>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</si>
  <si>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</si>
  <si>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</si>
  <si>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</si>
  <si>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</si>
  <si>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</si>
  <si>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</si>
  <si>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</si>
  <si>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</si>
  <si>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</si>
  <si>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</si>
  <si>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</si>
  <si>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</si>
  <si>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</si>
  <si>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</si>
  <si>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</si>
  <si>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</si>
  <si>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</si>
  <si>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</si>
  <si>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</si>
  <si>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</si>
  <si>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</si>
  <si>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</si>
  <si>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</si>
  <si>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</si>
  <si>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</si>
  <si>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</si>
  <si>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</si>
  <si>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</si>
  <si>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</si>
  <si>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</si>
  <si>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</si>
  <si>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</si>
  <si>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</si>
  <si>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</si>
  <si>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</si>
  <si>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</si>
  <si>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</si>
  <si>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</si>
  <si>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</si>
  <si>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</si>
  <si>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</si>
  <si>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</si>
  <si>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</si>
  <si>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</si>
  <si>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</si>
  <si>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</si>
  <si>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</si>
  <si>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</si>
  <si>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</si>
  <si>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</si>
  <si>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</si>
  <si>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</si>
  <si>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</si>
  <si>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</si>
  <si>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</si>
  <si>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</si>
  <si>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</si>
  <si>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</si>
  <si>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</si>
  <si>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</si>
  <si>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</si>
  <si>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</si>
  <si>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</si>
  <si>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</si>
  <si>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</si>
  <si>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</si>
  <si>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</si>
  <si>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</si>
  <si>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</si>
  <si>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</si>
  <si>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</si>
  <si>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</si>
  <si>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</si>
  <si>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</si>
  <si>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</si>
  <si>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</si>
  <si>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</si>
  <si>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</si>
  <si>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</si>
  <si>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</si>
  <si>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</si>
  <si>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</si>
  <si>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</si>
  <si>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</si>
  <si>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</si>
  <si>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</si>
  <si>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</si>
  <si>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</si>
  <si>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</si>
  <si>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</si>
  <si>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</si>
  <si>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</si>
  <si>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</si>
  <si>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</si>
  <si>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</si>
  <si>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</si>
  <si>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</si>
  <si>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</si>
  <si>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</si>
  <si>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</si>
  <si>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</si>
  <si>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</si>
  <si>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</si>
  <si>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</si>
  <si>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</si>
  <si>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</si>
  <si>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</si>
  <si>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</si>
  <si>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</si>
  <si>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</si>
  <si>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</si>
  <si>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</si>
  <si>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</si>
  <si>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</si>
  <si>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</si>
  <si>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</si>
  <si>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</si>
  <si>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</si>
  <si>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</si>
  <si>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</si>
  <si>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</si>
  <si>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</si>
  <si>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</si>
  <si>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</si>
  <si>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</si>
  <si>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</si>
  <si>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</si>
  <si>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</si>
  <si>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</si>
  <si>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</si>
  <si>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</si>
  <si>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</si>
  <si>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</si>
  <si>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</si>
  <si>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</si>
  <si>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</si>
  <si>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</si>
  <si>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</si>
  <si>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</si>
  <si>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</si>
  <si>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</si>
  <si>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</si>
  <si>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</si>
  <si>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</si>
  <si>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</si>
  <si>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</si>
  <si>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</si>
  <si>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</si>
  <si>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</si>
  <si>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</si>
  <si>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</si>
  <si>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</si>
  <si>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</si>
  <si>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</si>
  <si>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</si>
  <si>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</si>
  <si>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</si>
  <si>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</si>
  <si>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</si>
  <si>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</si>
  <si>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</si>
  <si>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</si>
  <si>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</si>
  <si>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</si>
  <si>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</si>
  <si>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</si>
  <si>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</si>
  <si>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</si>
  <si>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</si>
  <si>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</si>
  <si>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</si>
  <si>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</si>
  <si>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</si>
  <si>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</si>
  <si>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</si>
  <si>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</si>
  <si>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</si>
  <si>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</si>
  <si>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</si>
  <si>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</si>
  <si>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</si>
  <si>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</si>
  <si>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</si>
  <si>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</si>
  <si>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</si>
  <si>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</si>
  <si>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</si>
  <si>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</si>
  <si>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</si>
  <si>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</si>
  <si>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</si>
  <si>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</si>
  <si>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</si>
  <si>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</si>
  <si>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</si>
  <si>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</si>
  <si>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</si>
  <si>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</si>
  <si>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</si>
  <si>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</si>
  <si>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</si>
  <si>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</si>
  <si>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</si>
  <si>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</si>
  <si>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</si>
  <si>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</si>
  <si>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</si>
  <si>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</si>
  <si>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</si>
  <si>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</si>
  <si>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</si>
  <si>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</si>
  <si>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</si>
  <si>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</si>
  <si>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</si>
  <si>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</si>
  <si>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</si>
  <si>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</si>
  <si>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</si>
  <si>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</si>
  <si>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</si>
  <si>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</si>
  <si>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</si>
  <si>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</si>
  <si>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</si>
  <si>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</si>
  <si>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</si>
  <si>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</si>
  <si>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</si>
  <si>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</si>
  <si>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</si>
  <si>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</si>
  <si>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</si>
  <si>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</si>
  <si>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</si>
  <si>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</si>
  <si>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</si>
  <si>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</si>
  <si>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</si>
  <si>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</si>
  <si>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</si>
  <si>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</si>
  <si>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</si>
  <si>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</si>
  <si>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</si>
  <si>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</si>
  <si>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</si>
  <si>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</si>
  <si>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</si>
  <si>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</si>
  <si>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</si>
  <si>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</si>
  <si>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</si>
  <si>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</si>
  <si>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</si>
  <si>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</si>
  <si>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</si>
  <si>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</si>
  <si>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</si>
  <si>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</si>
  <si>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</si>
  <si>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</si>
  <si>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</si>
  <si>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</si>
  <si>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</si>
  <si>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</si>
  <si>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</si>
  <si>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</si>
  <si>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</si>
  <si>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</si>
  <si>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</si>
  <si>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</si>
  <si>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</si>
  <si>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</si>
  <si>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</si>
  <si>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</si>
  <si>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</si>
  <si>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</si>
  <si>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</si>
  <si>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</si>
  <si>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</si>
  <si>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</si>
  <si>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</si>
  <si>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</si>
  <si>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</si>
  <si>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</si>
  <si>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</si>
  <si>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</si>
  <si>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</si>
  <si>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</si>
  <si>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</si>
  <si>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</si>
  <si>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</si>
  <si>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</si>
  <si>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</si>
  <si>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</si>
  <si>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</si>
  <si>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</si>
  <si>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</si>
  <si>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</si>
  <si>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</si>
  <si>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</si>
  <si>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</si>
  <si>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</si>
  <si>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</si>
  <si>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</si>
  <si>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</si>
  <si>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</si>
  <si>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</si>
  <si>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</si>
  <si>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</si>
  <si>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</si>
  <si>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</si>
  <si>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</si>
  <si>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</si>
  <si>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</si>
  <si>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</si>
  <si>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</si>
  <si>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</si>
  <si>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</si>
  <si>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</si>
  <si>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</si>
  <si>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</si>
  <si>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</si>
  <si>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</si>
  <si>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</si>
  <si>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</si>
  <si>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</si>
  <si>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</si>
  <si>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</si>
  <si>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</si>
  <si>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</si>
  <si>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</si>
  <si>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</si>
  <si>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</si>
  <si>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</si>
  <si>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</si>
  <si>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</si>
  <si>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</si>
  <si>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</si>
  <si>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</si>
  <si>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</si>
  <si>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</si>
  <si>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</si>
  <si>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</si>
  <si>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</si>
  <si>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</si>
  <si>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</si>
  <si>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</si>
  <si>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</si>
  <si>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</si>
  <si>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</si>
  <si>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</si>
  <si>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</si>
  <si>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</si>
  <si>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</si>
  <si>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</si>
  <si>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</si>
  <si>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</si>
  <si>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</si>
  <si>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</si>
  <si>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</si>
  <si>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</si>
  <si>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</si>
  <si>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</si>
  <si>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</si>
  <si>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</si>
  <si>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</si>
  <si>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</si>
  <si>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</si>
  <si>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</si>
  <si>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</si>
  <si>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</si>
  <si>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</si>
  <si>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</si>
  <si>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</si>
  <si>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</si>
  <si>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</si>
  <si>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</si>
  <si>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</si>
  <si>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</si>
  <si>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</si>
  <si>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</si>
  <si>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</si>
  <si>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</si>
  <si>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</si>
  <si>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</si>
  <si>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</si>
  <si>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</si>
  <si>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</si>
  <si>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</si>
  <si>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</si>
  <si>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</si>
  <si>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</si>
  <si>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</si>
  <si>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</si>
  <si>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</si>
  <si>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</si>
  <si>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</si>
  <si>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</si>
  <si>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</si>
  <si>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</si>
  <si>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</si>
  <si>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</si>
  <si>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</si>
  <si>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</si>
  <si>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</si>
  <si>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</si>
  <si>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</si>
  <si>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</si>
  <si>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</si>
  <si>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</si>
  <si>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</si>
  <si>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</si>
  <si>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</si>
  <si>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</si>
  <si>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</si>
  <si>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</si>
  <si>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</si>
  <si>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</si>
  <si>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</si>
  <si>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</si>
  <si>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</si>
  <si>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</si>
  <si>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</si>
  <si>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</si>
  <si>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</si>
  <si>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</si>
  <si>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</si>
  <si>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</si>
  <si>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</si>
  <si>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</si>
  <si>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</si>
  <si>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</si>
  <si>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</si>
  <si>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</si>
  <si>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</si>
  <si>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</si>
  <si>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</si>
  <si>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</si>
  <si>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</si>
  <si>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</si>
  <si>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</si>
  <si>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</si>
  <si>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</si>
  <si>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</si>
  <si>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</si>
  <si>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</si>
  <si>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</si>
  <si>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</si>
  <si>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</si>
  <si>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</si>
  <si>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</si>
  <si>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</si>
  <si>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</si>
  <si>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</si>
  <si>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</si>
  <si>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</si>
  <si>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</si>
  <si>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</si>
  <si>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</si>
  <si>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</si>
  <si>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</si>
  <si>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</si>
  <si>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</si>
  <si>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</si>
  <si>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</si>
  <si>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</si>
  <si>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</si>
  <si>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</si>
  <si>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</si>
  <si>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</si>
  <si>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</si>
  <si>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</si>
  <si>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</si>
  <si>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</si>
  <si>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</si>
  <si>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</si>
  <si>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</si>
  <si>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</si>
  <si>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</si>
  <si>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</si>
  <si>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</si>
  <si>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</si>
  <si>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</si>
  <si>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</si>
  <si>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</si>
  <si>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</si>
  <si>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</si>
  <si>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</si>
  <si>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</si>
  <si>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</si>
  <si>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</si>
  <si>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</si>
  <si>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</si>
  <si>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</si>
  <si>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</si>
  <si>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</si>
  <si>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</si>
  <si>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</si>
  <si>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</si>
  <si>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</si>
  <si>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</si>
  <si>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</si>
  <si>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</si>
  <si>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</si>
  <si>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</si>
  <si>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</si>
  <si>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</si>
  <si>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</si>
  <si>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</si>
  <si>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</si>
  <si>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</si>
  <si>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</si>
  <si>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</si>
  <si>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</si>
  <si>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</si>
  <si>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</si>
  <si>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</si>
  <si>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</si>
  <si>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</si>
  <si>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</si>
  <si>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</si>
  <si>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</si>
  <si>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</si>
  <si>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</si>
  <si>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</si>
  <si>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</si>
  <si>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</si>
  <si>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</si>
  <si>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</si>
  <si>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</si>
  <si>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</si>
  <si>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</si>
  <si>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</si>
  <si>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</si>
  <si>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</si>
  <si>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</si>
  <si>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</si>
  <si>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</si>
  <si>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</si>
  <si>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</si>
  <si>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</si>
  <si>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</si>
  <si>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</si>
  <si>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</si>
  <si>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</si>
  <si>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</si>
  <si>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</si>
  <si>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</si>
  <si>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</si>
  <si>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</si>
  <si>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</si>
  <si>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</si>
  <si>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</si>
  <si>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</si>
  <si>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</si>
  <si>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</si>
  <si>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</si>
  <si>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</si>
  <si>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</si>
  <si>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</si>
  <si>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</si>
  <si>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</si>
  <si>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</si>
  <si>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</si>
  <si>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</si>
  <si>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</si>
  <si>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</si>
  <si>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</si>
  <si>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</si>
  <si>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</si>
  <si>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</si>
  <si>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</si>
  <si>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</si>
  <si>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</si>
  <si>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</si>
  <si>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</si>
  <si>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</si>
  <si>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</si>
  <si>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</si>
  <si>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</si>
  <si>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</si>
  <si>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</si>
  <si>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</si>
  <si>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</si>
  <si>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</si>
  <si>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</si>
  <si>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</si>
  <si>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</si>
  <si>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</si>
  <si>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</si>
  <si>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</si>
  <si>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</si>
  <si>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</si>
  <si>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</si>
  <si>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</si>
  <si>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</si>
  <si>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</si>
  <si>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</si>
  <si>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</si>
  <si>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</si>
  <si>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</si>
  <si>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</si>
  <si>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</si>
  <si>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</si>
  <si>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</si>
  <si>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</si>
  <si>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</si>
  <si>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</si>
  <si>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</si>
  <si>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</si>
  <si>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</si>
  <si>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</si>
  <si>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</si>
  <si>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</si>
  <si>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</si>
  <si>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</si>
  <si>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</si>
  <si>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</si>
  <si>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</si>
  <si>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</si>
  <si>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</si>
  <si>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</si>
  <si>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</si>
  <si>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</si>
  <si>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</si>
  <si>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</si>
  <si>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</si>
  <si>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</si>
  <si>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</si>
  <si>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</si>
  <si>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</si>
  <si>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</si>
  <si>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</si>
  <si>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</si>
  <si>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</si>
  <si>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</si>
  <si>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</si>
  <si>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</si>
  <si>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</si>
  <si>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</si>
  <si>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</si>
  <si>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</si>
  <si>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</si>
  <si>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</si>
  <si>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</si>
  <si>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</si>
  <si>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</si>
  <si>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</si>
  <si>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</si>
  <si>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</si>
  <si>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</si>
  <si>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</si>
  <si>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</si>
  <si>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</si>
  <si>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</si>
  <si>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</si>
  <si>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</si>
  <si>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</si>
  <si>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</si>
  <si>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</si>
  <si>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</si>
  <si>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</si>
  <si>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</si>
  <si>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</si>
  <si>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</si>
  <si>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</si>
  <si>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</si>
  <si>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</si>
  <si>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</si>
  <si>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</si>
  <si>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</si>
  <si>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</si>
  <si>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</si>
  <si>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</si>
  <si>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</si>
  <si>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</si>
  <si>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</si>
  <si>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</si>
  <si>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</si>
  <si>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</si>
  <si>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</si>
  <si>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</si>
  <si>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</si>
  <si>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</si>
  <si>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</si>
  <si>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</si>
  <si>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</si>
  <si>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</si>
  <si>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</si>
  <si>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</si>
  <si>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</si>
  <si>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</si>
  <si>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</si>
  <si>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</si>
  <si>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</si>
  <si>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</si>
  <si>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</si>
  <si>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</si>
  <si>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</si>
  <si>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</si>
  <si>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</si>
  <si>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</si>
  <si>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</si>
  <si>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</si>
  <si>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</si>
  <si>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</si>
  <si>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</si>
  <si>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</si>
  <si>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</si>
  <si>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</si>
  <si>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</si>
  <si>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</si>
  <si>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</si>
  <si>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</si>
  <si>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</si>
  <si>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</si>
  <si>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</si>
  <si>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</si>
  <si>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</si>
  <si>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</si>
  <si>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</si>
  <si>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</si>
  <si>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</si>
  <si>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</si>
  <si>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</si>
  <si>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</si>
  <si>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</si>
  <si>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</si>
  <si>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</si>
  <si>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</si>
  <si>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</si>
  <si>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</si>
  <si>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</si>
  <si>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</si>
  <si>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</si>
  <si>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</si>
  <si>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</si>
  <si>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</si>
  <si>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</si>
  <si>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</si>
  <si>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</si>
  <si>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</si>
  <si>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</si>
  <si>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</si>
  <si>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</si>
  <si>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</si>
  <si>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</si>
  <si>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</si>
  <si>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</si>
  <si>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</si>
  <si>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</si>
  <si>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</si>
  <si>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</si>
  <si>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</si>
  <si>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</si>
  <si>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</si>
  <si>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</si>
  <si>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</si>
  <si>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</si>
  <si>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</si>
  <si>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</si>
  <si>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</si>
  <si>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</si>
  <si>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</si>
  <si>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</si>
  <si>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</si>
  <si>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</si>
  <si>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</si>
  <si>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</si>
  <si>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</si>
  <si>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</si>
  <si>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</si>
  <si>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</si>
  <si>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</si>
  <si>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</si>
  <si>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</si>
  <si>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</si>
  <si>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</si>
  <si>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</si>
  <si>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</si>
  <si>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</si>
  <si>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</si>
  <si>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</si>
  <si>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</si>
  <si>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</si>
  <si>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</si>
  <si>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</si>
  <si>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</si>
  <si>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</si>
  <si>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</si>
  <si>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</si>
  <si>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</si>
  <si>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</si>
  <si>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</si>
  <si>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</si>
  <si>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</si>
  <si>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</si>
  <si>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</si>
  <si>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</si>
  <si>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</si>
  <si>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</si>
  <si>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</si>
  <si>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</si>
  <si>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</si>
  <si>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</si>
  <si>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</si>
  <si>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</si>
  <si>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</si>
  <si>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</si>
  <si>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</si>
  <si>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</si>
  <si>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</si>
  <si>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</si>
  <si>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</si>
  <si>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</si>
  <si>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</si>
  <si>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</si>
  <si>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</si>
  <si>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</si>
  <si>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</si>
  <si>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</si>
  <si>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</si>
  <si>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</si>
  <si>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</si>
  <si>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</si>
  <si>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</si>
  <si>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</si>
  <si>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</si>
  <si>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</si>
  <si>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</si>
  <si>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</si>
  <si>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</si>
  <si>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</si>
  <si>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</si>
  <si>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</si>
  <si>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</si>
  <si>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</si>
  <si>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</si>
  <si>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</si>
  <si>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</si>
  <si>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</si>
  <si>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</si>
  <si>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</si>
  <si>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</si>
  <si>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</si>
  <si>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</si>
  <si>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</si>
  <si>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</si>
  <si>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</si>
  <si>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</si>
  <si>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</si>
  <si>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</si>
  <si>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</si>
  <si>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</si>
  <si>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</si>
  <si>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</si>
  <si>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</si>
  <si>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</si>
  <si>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</si>
  <si>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</si>
  <si>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</si>
  <si>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</si>
  <si>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</si>
  <si>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</si>
  <si>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</si>
  <si>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</si>
  <si>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</si>
  <si>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</si>
  <si>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</si>
  <si>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</si>
  <si>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</si>
  <si>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</si>
  <si>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</si>
  <si>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</si>
  <si>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</si>
  <si>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</si>
  <si>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</si>
  <si>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</si>
  <si>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</si>
  <si>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</si>
  <si>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</si>
  <si>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</si>
  <si>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</si>
  <si>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</si>
  <si>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</si>
  <si>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</si>
  <si>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</si>
  <si>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</si>
  <si>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</si>
  <si>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</si>
  <si>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</si>
  <si>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</si>
  <si>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</si>
  <si>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</si>
  <si>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</si>
  <si>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</si>
  <si>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</si>
  <si>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</si>
  <si>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</si>
  <si>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</si>
  <si>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</si>
  <si>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</si>
  <si>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</si>
  <si>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</si>
  <si>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</si>
  <si>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</si>
  <si>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</si>
  <si>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</si>
  <si>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</si>
  <si>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</si>
  <si>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</si>
  <si>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</si>
  <si>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</si>
  <si>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</si>
  <si>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</si>
  <si>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</si>
  <si>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</si>
  <si>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</si>
  <si>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</si>
  <si>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</si>
  <si>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</si>
  <si>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</si>
  <si>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</si>
  <si>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</si>
  <si>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</si>
  <si>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</si>
  <si>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</si>
  <si>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</si>
  <si>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</si>
  <si>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</si>
  <si>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</si>
  <si>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</si>
  <si>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</si>
  <si>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</si>
  <si>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</si>
  <si>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</si>
  <si>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</si>
  <si>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</si>
  <si>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</si>
  <si>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</si>
  <si>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</si>
  <si>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</si>
  <si>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</si>
  <si>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</si>
  <si>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</si>
  <si>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</si>
  <si>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</si>
  <si>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</si>
  <si>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</si>
  <si>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</si>
  <si>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</si>
  <si>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</si>
  <si>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</si>
  <si>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</si>
  <si>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</si>
  <si>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</si>
  <si>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</si>
  <si>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</si>
  <si>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</si>
  <si>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</si>
  <si>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</si>
  <si>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</si>
  <si>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</si>
  <si>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</si>
  <si>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</si>
  <si>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</si>
  <si>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</si>
  <si>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</si>
  <si>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</si>
  <si>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</si>
  <si>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</si>
  <si>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</si>
  <si>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</si>
  <si>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</si>
  <si>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</si>
  <si>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</si>
  <si>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</si>
  <si>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</si>
  <si>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</si>
  <si>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</si>
  <si>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</si>
  <si>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</si>
  <si>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</si>
  <si>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</si>
  <si>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</si>
  <si>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</si>
  <si>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</si>
  <si>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</si>
  <si>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</si>
  <si>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</si>
  <si>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</si>
  <si>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</si>
  <si>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</si>
  <si>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</si>
  <si>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</si>
  <si>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</si>
  <si>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</si>
  <si>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</si>
  <si>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</si>
  <si>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</si>
  <si>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</si>
  <si>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</si>
  <si>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</si>
  <si>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</si>
  <si>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</si>
  <si>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</si>
  <si>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</si>
  <si>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</si>
  <si>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</si>
  <si>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</si>
  <si>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</si>
  <si>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</si>
  <si>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</si>
  <si>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</si>
  <si>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</si>
  <si>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</si>
  <si>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</si>
  <si>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</si>
  <si>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</si>
  <si>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</si>
  <si>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</si>
  <si>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</si>
  <si>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</si>
  <si>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</si>
  <si>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</si>
  <si>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</si>
  <si>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</si>
  <si>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</si>
  <si>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</si>
  <si>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</si>
  <si>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</si>
  <si>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</si>
  <si>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</si>
  <si>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</si>
  <si>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</si>
  <si>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</si>
  <si>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</si>
  <si>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</si>
  <si>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</si>
  <si>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</si>
  <si>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</si>
  <si>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</si>
  <si>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</si>
  <si>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</si>
  <si>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</si>
  <si>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</si>
  <si>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</si>
  <si>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</si>
  <si>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</si>
  <si>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</si>
  <si>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</si>
  <si>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</si>
  <si>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</si>
  <si>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</si>
  <si>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</si>
  <si>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</si>
  <si>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</si>
  <si>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</si>
  <si>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</si>
  <si>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</si>
  <si>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</si>
  <si>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</si>
  <si>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</si>
  <si>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</si>
  <si>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</si>
  <si>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</si>
  <si>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</si>
  <si>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</si>
  <si>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</si>
  <si>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</si>
  <si>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</si>
  <si>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</si>
  <si>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</si>
  <si>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</si>
  <si>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</si>
  <si>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</si>
  <si>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</si>
  <si>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</si>
  <si>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</si>
  <si>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</si>
  <si>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</si>
  <si>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</si>
  <si>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</si>
  <si>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</si>
  <si>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</si>
  <si>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</si>
  <si>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</si>
  <si>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</si>
  <si>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</si>
  <si>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</si>
  <si>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</si>
  <si>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</si>
  <si>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</si>
  <si>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</si>
  <si>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</si>
  <si>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</si>
  <si>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</si>
  <si>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</si>
  <si>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</si>
  <si>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</si>
  <si>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</si>
  <si>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</si>
  <si>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</si>
  <si>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</si>
  <si>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</si>
  <si>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</si>
  <si>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</si>
  <si>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</si>
  <si>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</si>
  <si>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</si>
  <si>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</si>
  <si>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</si>
  <si>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</si>
  <si>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</si>
  <si>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</si>
  <si>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</si>
  <si>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</si>
  <si>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</si>
  <si>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</si>
  <si>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</si>
  <si>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</si>
  <si>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</si>
  <si>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</si>
  <si>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</si>
  <si>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</si>
  <si>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</si>
  <si>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</si>
  <si>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</si>
  <si>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</si>
  <si>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</si>
  <si>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</si>
  <si>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</si>
  <si>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</si>
  <si>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</si>
  <si>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</si>
  <si>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</si>
  <si>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</si>
  <si>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</si>
  <si>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</si>
  <si>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</si>
  <si>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</si>
  <si>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</si>
  <si>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</si>
  <si>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</si>
  <si>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</si>
  <si>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</si>
  <si>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</si>
  <si>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</si>
  <si>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</si>
  <si>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</si>
  <si>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</si>
  <si>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</si>
  <si>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</si>
  <si>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</si>
  <si>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</si>
  <si>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</si>
  <si>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</si>
  <si>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</si>
  <si>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</si>
  <si>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</si>
  <si>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</si>
  <si>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</si>
  <si>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</si>
  <si>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</si>
  <si>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</si>
  <si>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</si>
  <si>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</si>
  <si>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</si>
  <si>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</si>
  <si>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</si>
  <si>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</si>
  <si>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</si>
  <si>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</si>
  <si>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</si>
  <si>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</si>
  <si>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</si>
  <si>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</si>
  <si>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</si>
  <si>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</si>
  <si>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</si>
  <si>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</si>
  <si>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</si>
  <si>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</si>
  <si>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</si>
  <si>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</si>
  <si>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</si>
  <si>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</si>
  <si>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</si>
  <si>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</si>
  <si>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</si>
  <si>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</si>
  <si>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</si>
  <si>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</si>
  <si>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</si>
  <si>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</si>
  <si>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</si>
  <si>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</si>
  <si>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</si>
  <si>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</si>
  <si>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</si>
  <si>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</si>
  <si>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</si>
  <si>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</si>
  <si>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</si>
  <si>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</si>
  <si>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</si>
  <si>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</si>
  <si>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</si>
  <si>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</si>
  <si>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</si>
  <si>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</si>
  <si>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</si>
  <si>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</si>
  <si>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</si>
  <si>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</si>
  <si>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</si>
  <si>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</si>
  <si>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</si>
  <si>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</si>
  <si>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</si>
  <si>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</si>
  <si>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</si>
  <si>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</si>
  <si>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</si>
  <si>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</si>
  <si>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</si>
  <si>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</si>
  <si>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</si>
  <si>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</si>
  <si>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</si>
  <si>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</si>
  <si>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</si>
  <si>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</si>
  <si>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</si>
  <si>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</si>
  <si>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</si>
  <si>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</si>
  <si>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</si>
  <si>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</si>
  <si>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</si>
  <si>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</si>
  <si>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</si>
  <si>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</si>
  <si>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</si>
  <si>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</si>
  <si>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</si>
  <si>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</si>
  <si>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</si>
  <si>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</si>
  <si>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</si>
  <si>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</si>
  <si>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</si>
  <si>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</si>
  <si>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</si>
  <si>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</si>
  <si>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</si>
  <si>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</si>
  <si>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</si>
  <si>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</si>
  <si>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</si>
  <si>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</si>
  <si>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</si>
  <si>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</si>
  <si>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</si>
  <si>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</si>
  <si>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</si>
  <si>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</si>
  <si>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</si>
  <si>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</si>
  <si>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</si>
  <si>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</si>
  <si>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</si>
  <si>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</si>
  <si>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</si>
  <si>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</si>
  <si>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</si>
  <si>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</si>
  <si>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</si>
  <si>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</si>
  <si>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</si>
  <si>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</si>
  <si>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</si>
  <si>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</si>
  <si>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</si>
  <si>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</si>
  <si>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</si>
  <si>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</si>
  <si>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</si>
  <si>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</si>
  <si>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</si>
  <si>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</si>
  <si>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</si>
  <si>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</si>
  <si>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</si>
  <si>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</si>
  <si>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</si>
  <si>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</si>
  <si>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</si>
  <si>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</si>
  <si>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</si>
  <si>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</si>
  <si>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</si>
  <si>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</si>
  <si>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</si>
  <si>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</si>
  <si>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</si>
  <si>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</si>
  <si>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</si>
  <si>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</si>
  <si>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</si>
  <si>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</si>
  <si>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</si>
  <si>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</si>
  <si>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</si>
  <si>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</si>
  <si>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</si>
  <si>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</si>
  <si>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</si>
  <si>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</si>
  <si>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</si>
  <si>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</si>
  <si>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</si>
  <si>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</si>
  <si>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</si>
  <si>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</si>
  <si>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</si>
  <si>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</si>
  <si>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</si>
  <si>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</si>
  <si>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</si>
  <si>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</si>
  <si>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</si>
  <si>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</si>
  <si>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</si>
  <si>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</si>
  <si>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</si>
  <si>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</si>
  <si>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</si>
  <si>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</si>
  <si>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</si>
  <si>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</si>
  <si>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</si>
  <si>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</si>
  <si>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</si>
  <si>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</si>
  <si>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</si>
  <si>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</si>
  <si>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</si>
  <si>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</si>
  <si>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</si>
  <si>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</si>
  <si>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</si>
  <si>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</si>
  <si>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</si>
  <si>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</si>
  <si>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</si>
  <si>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</si>
  <si>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</si>
  <si>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</si>
  <si>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</si>
  <si>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</si>
  <si>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</si>
  <si>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</si>
  <si>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</si>
  <si>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</si>
  <si>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</si>
  <si>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</si>
  <si>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</si>
  <si>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</si>
  <si>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</si>
  <si>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</si>
  <si>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</si>
  <si>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</si>
  <si>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</si>
  <si>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</si>
  <si>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</si>
  <si>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</si>
  <si>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</si>
  <si>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</si>
  <si>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</si>
  <si>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</si>
  <si>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</si>
  <si>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</si>
  <si>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</si>
  <si>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</si>
  <si>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</si>
  <si>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</si>
  <si>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</si>
  <si>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</si>
  <si>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</si>
  <si>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</si>
  <si>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</si>
  <si>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</si>
  <si>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</si>
  <si>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</si>
  <si>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</si>
  <si>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</si>
  <si>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</si>
  <si>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</si>
  <si>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</si>
  <si>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</si>
  <si>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</si>
  <si>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</si>
  <si>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</si>
  <si>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</si>
  <si>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</si>
  <si>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</si>
  <si>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</si>
  <si>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</si>
  <si>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</si>
  <si>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</si>
  <si>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</si>
  <si>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</si>
  <si>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</si>
  <si>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</si>
  <si>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</si>
  <si>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</si>
  <si>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</si>
  <si>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</si>
  <si>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</si>
  <si>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</si>
  <si>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</si>
  <si>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</si>
  <si>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</si>
  <si>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</si>
  <si>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</si>
  <si>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</si>
  <si>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</si>
  <si>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</si>
  <si>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</si>
  <si>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</si>
  <si>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</si>
  <si>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</si>
  <si>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</si>
  <si>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</si>
  <si>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</si>
  <si>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</si>
  <si>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</si>
  <si>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</si>
  <si>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</si>
  <si>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</si>
  <si>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</si>
  <si>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</si>
  <si>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</si>
  <si>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</si>
  <si>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</si>
  <si>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</si>
  <si>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</si>
  <si>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</si>
  <si>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</si>
  <si>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</si>
  <si>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</si>
  <si>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</si>
  <si>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</si>
  <si>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</si>
  <si>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</si>
  <si>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</si>
  <si>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</si>
  <si>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</si>
  <si>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</si>
  <si>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</si>
  <si>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</si>
  <si>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</si>
  <si>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</si>
  <si>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</si>
  <si>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</si>
  <si>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</si>
  <si>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</si>
  <si>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</si>
  <si>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</si>
  <si>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</si>
  <si>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</si>
  <si>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</si>
  <si>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</si>
  <si>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</si>
  <si>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</si>
  <si>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</si>
  <si>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</si>
  <si>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</si>
  <si>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</si>
  <si>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</si>
  <si>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</si>
  <si>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</si>
  <si>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</si>
  <si>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</si>
  <si>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</si>
  <si>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</si>
  <si>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</si>
  <si>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</si>
  <si>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</si>
  <si>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</si>
  <si>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</si>
  <si>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</si>
  <si>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</si>
  <si>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</si>
  <si>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</si>
  <si>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</si>
  <si>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</si>
  <si>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</si>
  <si>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</si>
  <si>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</si>
  <si>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</si>
  <si>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</si>
  <si>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</si>
  <si>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</si>
  <si>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</si>
  <si>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</si>
  <si>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</si>
  <si>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</si>
  <si>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</si>
  <si>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</si>
  <si>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</si>
  <si>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</si>
  <si>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</si>
  <si>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</si>
  <si>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</si>
  <si>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</si>
  <si>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</si>
  <si>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</si>
  <si>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</si>
  <si>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</si>
  <si>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</si>
  <si>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</si>
  <si>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</si>
  <si>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</si>
  <si>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</si>
  <si>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</si>
  <si>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</si>
  <si>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</si>
  <si>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</si>
  <si>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</si>
  <si>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</si>
  <si>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</si>
  <si>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</si>
  <si>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</si>
  <si>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</si>
  <si>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</si>
  <si>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</si>
  <si>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</si>
  <si>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</si>
  <si>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</si>
  <si>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</si>
  <si>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</si>
  <si>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</si>
  <si>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</si>
  <si>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</si>
  <si>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</si>
  <si>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</si>
  <si>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</si>
  <si>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</si>
  <si>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</si>
  <si>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</si>
  <si>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</si>
  <si>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</si>
  <si>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</si>
  <si>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</si>
  <si>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</si>
  <si>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</si>
  <si>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</si>
  <si>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</si>
  <si>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</si>
  <si>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</si>
  <si>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</si>
  <si>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</si>
  <si>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</si>
  <si>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</si>
  <si>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</si>
  <si>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</si>
  <si>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</si>
  <si>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</si>
  <si>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</si>
  <si>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</si>
  <si>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</si>
  <si>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</si>
  <si>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</si>
  <si>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</si>
  <si>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</si>
  <si>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</si>
  <si>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</si>
  <si>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</si>
  <si>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</si>
  <si>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</si>
  <si>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</si>
  <si>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</si>
  <si>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</si>
  <si>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</si>
  <si>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</si>
  <si>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</si>
  <si>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</si>
  <si>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</si>
  <si>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</si>
  <si>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</si>
  <si>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</si>
  <si>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</si>
  <si>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</si>
  <si>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</si>
  <si>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</si>
  <si>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</si>
  <si>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</si>
  <si>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</si>
  <si>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</si>
  <si>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</si>
  <si>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</si>
  <si>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</si>
  <si>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</si>
  <si>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</si>
  <si>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</si>
  <si>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</si>
  <si>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</si>
  <si>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</si>
  <si>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</si>
  <si>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</si>
  <si>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</si>
  <si>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</si>
  <si>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</si>
  <si>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</si>
  <si>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</si>
  <si>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</si>
  <si>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</si>
  <si>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</si>
  <si>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</si>
  <si>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</si>
  <si>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</si>
  <si>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</si>
  <si>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</si>
  <si>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</si>
  <si>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</si>
  <si>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</si>
  <si>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</si>
  <si>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</si>
  <si>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</si>
  <si>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</si>
  <si>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</si>
  <si>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</si>
  <si>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</si>
  <si>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</si>
  <si>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</si>
  <si>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</si>
  <si>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</si>
  <si>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</si>
  <si>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</si>
  <si>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</si>
  <si>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</si>
  <si>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</si>
  <si>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</si>
  <si>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</si>
  <si>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</si>
  <si>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</si>
  <si>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</si>
  <si>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</si>
  <si>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</si>
  <si>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</si>
  <si>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</si>
  <si>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</si>
  <si>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</si>
  <si>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</si>
  <si>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</si>
  <si>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</si>
  <si>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</si>
  <si>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</si>
  <si>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</si>
  <si>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</si>
  <si>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</si>
  <si>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</si>
  <si>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</si>
  <si>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</si>
  <si>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</si>
  <si>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</si>
  <si>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</si>
  <si>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</si>
  <si>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</si>
  <si>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</si>
  <si>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</si>
  <si>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</si>
  <si>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</si>
  <si>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</si>
  <si>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</si>
  <si>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</si>
  <si>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</si>
  <si>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</si>
  <si>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</si>
  <si>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</si>
  <si>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</si>
  <si>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</si>
  <si>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</si>
  <si>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</si>
  <si>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</si>
  <si>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</si>
  <si>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</si>
  <si>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</si>
  <si>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</si>
  <si>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</si>
  <si>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</si>
  <si>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</si>
  <si>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</si>
  <si>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</si>
  <si>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</si>
  <si>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</si>
  <si>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</si>
  <si>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</si>
  <si>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</si>
  <si>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</si>
  <si>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</si>
  <si>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</si>
  <si>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</si>
  <si>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</si>
  <si>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</si>
  <si>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</si>
  <si>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</si>
  <si>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</si>
  <si>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</si>
  <si>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</si>
  <si>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</si>
  <si>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</si>
  <si>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</si>
  <si>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</si>
  <si>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</si>
  <si>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</si>
  <si>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</si>
  <si>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</si>
  <si>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</si>
  <si>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</si>
  <si>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</si>
  <si>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</si>
  <si>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</si>
  <si>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</si>
  <si>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</si>
  <si>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</si>
  <si>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</si>
  <si>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</si>
  <si>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</si>
  <si>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</si>
  <si>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</si>
  <si>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</si>
  <si>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</si>
  <si>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</si>
  <si>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</si>
  <si>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</si>
  <si>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</si>
  <si>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</si>
  <si>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</si>
  <si>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</si>
  <si>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</si>
  <si>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</si>
  <si>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</si>
  <si>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</si>
  <si>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</si>
  <si>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</si>
  <si>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</si>
  <si>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</si>
  <si>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</si>
  <si>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</si>
  <si>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</si>
  <si>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</si>
  <si>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</si>
  <si>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</si>
  <si>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</si>
  <si>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</si>
  <si>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</si>
  <si>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</si>
  <si>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</si>
  <si>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</si>
  <si>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</si>
  <si>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</si>
  <si>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</si>
  <si>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</si>
  <si>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</si>
  <si>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</si>
  <si>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</si>
  <si>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</si>
  <si>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</si>
  <si>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</si>
  <si>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</si>
  <si>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</si>
  <si>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</si>
  <si>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</si>
  <si>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</si>
  <si>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</si>
  <si>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</si>
  <si>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</si>
  <si>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</si>
  <si>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</si>
  <si>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</si>
  <si>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</si>
  <si>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</si>
  <si>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</si>
  <si>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</si>
  <si>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</si>
  <si>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</si>
  <si>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</si>
  <si>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</si>
  <si>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</si>
  <si>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</si>
  <si>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</si>
  <si>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</si>
  <si>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</si>
  <si>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</si>
  <si>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</si>
  <si>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</si>
  <si>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</si>
  <si>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</si>
  <si>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</si>
  <si>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</si>
  <si>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</si>
  <si>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</si>
  <si>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</si>
  <si>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</si>
  <si>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</si>
  <si>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</si>
  <si>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</si>
  <si>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</si>
  <si>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</si>
  <si>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</si>
  <si>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</si>
  <si>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</si>
  <si>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</si>
  <si>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</si>
  <si>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</si>
  <si>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</si>
  <si>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</si>
  <si>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</si>
  <si>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</si>
  <si>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</si>
  <si>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</si>
  <si>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</si>
  <si>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</si>
  <si>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</si>
  <si>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</si>
  <si>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</si>
  <si>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</si>
  <si>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</si>
  <si>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</si>
  <si>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</si>
  <si>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</si>
  <si>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</si>
  <si>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</si>
  <si>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</si>
  <si>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</si>
  <si>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</si>
  <si>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</si>
  <si>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</si>
  <si>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</si>
  <si>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</si>
  <si>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</si>
  <si>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</si>
  <si>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</si>
  <si>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</si>
  <si>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</si>
  <si>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</si>
  <si>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</si>
  <si>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</si>
  <si>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</si>
  <si>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</si>
  <si>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</si>
  <si>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</si>
  <si>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</si>
  <si>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</si>
  <si>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</si>
  <si>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</si>
  <si>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</si>
  <si>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</si>
  <si>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</si>
  <si>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</si>
  <si>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</si>
  <si>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</si>
  <si>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</si>
  <si>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</si>
  <si>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</si>
  <si>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</si>
  <si>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</si>
  <si>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</si>
  <si>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</si>
  <si>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</si>
  <si>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</si>
  <si>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</si>
  <si>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</si>
  <si>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</si>
  <si>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</si>
  <si>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</si>
  <si>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</si>
  <si>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</si>
  <si>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</si>
  <si>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</si>
  <si>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</si>
  <si>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</si>
  <si>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</si>
  <si>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</si>
  <si>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</si>
  <si>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</si>
  <si>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</si>
  <si>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</si>
  <si>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</si>
  <si>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</si>
  <si>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</si>
  <si>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</si>
  <si>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</si>
  <si>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</si>
  <si>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</si>
  <si>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</si>
  <si>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</si>
  <si>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</si>
  <si>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</si>
  <si>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</si>
  <si>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</si>
  <si>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</si>
  <si>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</si>
  <si>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</si>
  <si>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</si>
  <si>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</si>
  <si>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</si>
  <si>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</si>
  <si>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</si>
  <si>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</si>
  <si>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</si>
  <si>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</si>
  <si>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</si>
  <si>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</si>
  <si>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</si>
  <si>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</si>
  <si>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</si>
  <si>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</si>
  <si>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</si>
  <si>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</si>
  <si>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</si>
  <si>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</si>
  <si>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</si>
  <si>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</si>
  <si>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</si>
  <si>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</si>
  <si>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</si>
  <si>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</si>
  <si>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</si>
  <si>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</si>
  <si>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</si>
  <si>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</si>
  <si>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</si>
  <si>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</si>
  <si>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</si>
  <si>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</si>
  <si>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</si>
  <si>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</si>
  <si>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</si>
  <si>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</si>
  <si>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</si>
  <si>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</si>
  <si>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</si>
  <si>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</si>
  <si>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</si>
  <si>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</si>
  <si>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</si>
  <si>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</si>
  <si>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</si>
  <si>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</si>
  <si>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</si>
  <si>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</si>
  <si>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</si>
  <si>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</si>
  <si>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</si>
  <si>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</si>
  <si>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</si>
  <si>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</si>
  <si>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</si>
  <si>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</si>
  <si>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</si>
  <si>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</si>
  <si>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</si>
  <si>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</si>
  <si>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</si>
  <si>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</si>
  <si>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</si>
  <si>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</si>
  <si>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</si>
  <si>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</si>
  <si>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</si>
  <si>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</si>
  <si>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</si>
  <si>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</si>
  <si>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</si>
  <si>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</si>
  <si>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</si>
  <si>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</si>
  <si>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</si>
  <si>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</si>
  <si>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</si>
  <si>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</si>
  <si>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</si>
  <si>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</si>
  <si>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</si>
  <si>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</si>
  <si>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</si>
  <si>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</si>
  <si>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</si>
  <si>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</si>
  <si>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</si>
  <si>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</si>
  <si>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</si>
  <si>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</si>
  <si>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</si>
  <si>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</si>
  <si>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</si>
  <si>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</si>
  <si>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</si>
  <si>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</si>
  <si>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</si>
  <si>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</si>
  <si>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</si>
  <si>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</si>
  <si>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</si>
  <si>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</si>
  <si>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</si>
  <si>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</si>
  <si>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</si>
  <si>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</si>
  <si>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</si>
  <si>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</si>
  <si>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</si>
  <si>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</si>
  <si>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</si>
  <si>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</si>
  <si>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</si>
  <si>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</si>
  <si>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</si>
  <si>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</si>
  <si>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</si>
  <si>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</si>
  <si>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</si>
  <si>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</si>
  <si>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</si>
  <si>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</si>
  <si>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</si>
  <si>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</si>
  <si>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</si>
  <si>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</si>
  <si>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</si>
  <si>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</si>
  <si>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</si>
  <si>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</si>
  <si>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</si>
  <si>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</si>
  <si>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</si>
  <si>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</si>
  <si>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</si>
  <si>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</si>
  <si>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</si>
  <si>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</si>
  <si>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</si>
  <si>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</si>
  <si>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</si>
  <si>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</si>
  <si>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</si>
  <si>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</si>
  <si>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</si>
  <si>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</si>
  <si>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</si>
  <si>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</si>
  <si>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</si>
  <si>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</si>
  <si>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</si>
  <si>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</si>
  <si>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</si>
  <si>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</si>
  <si>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</si>
  <si>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</si>
  <si>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</si>
  <si>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</si>
  <si>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</si>
  <si>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</si>
  <si>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</si>
  <si>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</si>
  <si>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</si>
  <si>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</si>
  <si>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</si>
  <si>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</si>
  <si>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</si>
  <si>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</si>
  <si>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</si>
  <si>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</si>
  <si>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</si>
  <si>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</si>
  <si>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</si>
  <si>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</si>
  <si>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</si>
  <si>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</si>
  <si>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</si>
  <si>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</si>
  <si>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</si>
  <si>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</si>
  <si>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</si>
  <si>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</si>
  <si>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</si>
  <si>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</si>
  <si>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</si>
  <si>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</si>
  <si>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</si>
  <si>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</si>
  <si>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</si>
  <si>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</si>
  <si>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</si>
  <si>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</si>
  <si>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</si>
  <si>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</si>
  <si>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</si>
  <si>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</si>
  <si>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</si>
  <si>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</si>
  <si>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</si>
  <si>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</si>
  <si>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</si>
  <si>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</si>
  <si>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</si>
  <si>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</si>
  <si>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</si>
  <si>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</si>
  <si>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</si>
  <si>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</si>
  <si>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</si>
  <si>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</si>
  <si>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</si>
  <si>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</si>
  <si>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</si>
  <si>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</si>
  <si>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</si>
  <si>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</si>
  <si>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</si>
  <si>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</si>
  <si>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</si>
  <si>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</si>
  <si>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</si>
  <si>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</si>
  <si>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</si>
  <si>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</si>
  <si>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</si>
  <si>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</si>
  <si>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</si>
  <si>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</si>
  <si>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</si>
  <si>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</si>
  <si>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</si>
  <si>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</si>
  <si>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</si>
  <si>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</si>
  <si>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</si>
  <si>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</si>
  <si>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</si>
  <si>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</si>
  <si>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</si>
  <si>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</si>
  <si>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</si>
  <si>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</si>
  <si>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</si>
  <si>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</si>
  <si>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</si>
  <si>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</si>
  <si>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</si>
  <si>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</si>
  <si>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</si>
  <si>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</si>
  <si>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</si>
  <si>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</si>
  <si>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</si>
  <si>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</si>
  <si>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</si>
  <si>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</si>
  <si>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</si>
  <si>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</si>
  <si>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</si>
  <si>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</si>
  <si>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</si>
  <si>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</si>
  <si>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</si>
  <si>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</si>
  <si>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</si>
  <si>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</si>
  <si>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</si>
  <si>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</si>
  <si>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</si>
  <si>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</si>
  <si>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</si>
  <si>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</si>
  <si>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</si>
  <si>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</si>
  <si>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</si>
  <si>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</si>
  <si>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</si>
  <si>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</si>
  <si>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</si>
  <si>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</si>
  <si>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</si>
  <si>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</si>
  <si>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</si>
  <si>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</si>
  <si>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</si>
  <si>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</si>
  <si>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</si>
  <si>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</si>
  <si>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</si>
  <si>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</si>
  <si>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</si>
  <si>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</si>
  <si>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</si>
  <si>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</si>
  <si>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</si>
  <si>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</si>
  <si>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</si>
  <si>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</si>
  <si>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</si>
  <si>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</si>
  <si>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</si>
  <si>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</si>
  <si>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</si>
  <si>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</si>
  <si>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</si>
  <si>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</si>
  <si>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</si>
  <si>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</si>
  <si>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</si>
  <si>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</si>
  <si>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</si>
  <si>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</si>
  <si>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</si>
  <si>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</si>
  <si>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</si>
  <si>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</si>
  <si>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</si>
  <si>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</si>
  <si>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</si>
  <si>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</si>
  <si>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</si>
  <si>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</si>
  <si>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</si>
  <si>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</si>
  <si>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</si>
  <si>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</si>
  <si>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</si>
  <si>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</si>
  <si>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</si>
  <si>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</si>
  <si>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</si>
  <si>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</si>
  <si>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</si>
  <si>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</si>
  <si>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</si>
  <si>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</si>
  <si>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</si>
  <si>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</si>
  <si>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</si>
  <si>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</si>
  <si>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</si>
  <si>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</si>
  <si>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</si>
  <si>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</si>
  <si>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</si>
  <si>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</si>
  <si>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</si>
  <si>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</si>
  <si>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</si>
  <si>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</si>
  <si>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</si>
  <si>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</si>
  <si>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</si>
  <si>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</si>
  <si>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</si>
  <si>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</si>
  <si>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</si>
  <si>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</si>
  <si>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</si>
  <si>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</si>
  <si>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</si>
  <si>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</si>
  <si>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</si>
  <si>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</si>
  <si>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</si>
  <si>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</si>
  <si>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</si>
  <si>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</si>
  <si>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</si>
  <si>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</si>
  <si>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</si>
  <si>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</si>
  <si>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</si>
  <si>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</si>
  <si>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</si>
  <si>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</si>
  <si>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</si>
  <si>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</si>
  <si>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</si>
  <si>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</si>
  <si>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</si>
  <si>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</si>
  <si>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</si>
  <si>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</si>
  <si>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</si>
  <si>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</si>
  <si>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</si>
  <si>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</si>
  <si>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</si>
  <si>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</si>
  <si>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</si>
  <si>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</si>
  <si>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</si>
  <si>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</si>
  <si>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</si>
  <si>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</si>
  <si>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</si>
  <si>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</si>
  <si>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</si>
  <si>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</si>
  <si>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</si>
  <si>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</si>
  <si>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</si>
  <si>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</si>
  <si>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</si>
  <si>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</si>
  <si>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</si>
  <si>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</si>
  <si>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</si>
  <si>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</si>
  <si>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</si>
  <si>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</si>
  <si>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</si>
  <si>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</si>
  <si>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</si>
  <si>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</si>
  <si>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</si>
  <si>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</si>
  <si>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</si>
  <si>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</si>
  <si>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</si>
  <si>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</si>
  <si>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</si>
  <si>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</si>
  <si>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</si>
  <si>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</si>
  <si>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</si>
  <si>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</si>
  <si>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</si>
  <si>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</si>
  <si>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</si>
  <si>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</si>
  <si>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</si>
  <si>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</si>
  <si>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</si>
  <si>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</si>
  <si>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</si>
  <si>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</si>
  <si>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</si>
  <si>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</si>
  <si>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</si>
  <si>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</si>
  <si>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</si>
  <si>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</si>
  <si>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</si>
  <si>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</si>
  <si>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</si>
  <si>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</si>
  <si>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</si>
  <si>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</si>
  <si>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</si>
  <si>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</si>
  <si>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</si>
  <si>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</si>
  <si>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</si>
  <si>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</si>
  <si>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</si>
  <si>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</si>
  <si>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</si>
  <si>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</si>
  <si>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</si>
  <si>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</si>
  <si>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</si>
  <si>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</si>
  <si>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</si>
  <si>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</si>
  <si>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</si>
  <si>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</si>
  <si>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</si>
  <si>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</si>
  <si>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</si>
  <si>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</si>
  <si>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</si>
  <si>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</si>
  <si>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</si>
  <si>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</si>
  <si>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</si>
  <si>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</si>
  <si>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</si>
  <si>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</si>
  <si>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</si>
  <si>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</si>
  <si>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</si>
  <si>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</si>
  <si>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</si>
  <si>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</si>
  <si>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</si>
  <si>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</si>
  <si>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</si>
  <si>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</si>
  <si>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</si>
  <si>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</si>
  <si>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</si>
  <si>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</si>
  <si>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</si>
  <si>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</si>
  <si>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</si>
  <si>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</si>
  <si>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</si>
  <si>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</si>
  <si>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</si>
  <si>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</si>
  <si>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</si>
  <si>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</si>
  <si>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</si>
  <si>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</si>
  <si>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</si>
  <si>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</si>
  <si>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</si>
  <si>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</si>
  <si>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</si>
  <si>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</si>
  <si>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</si>
  <si>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</si>
  <si>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</si>
  <si>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</si>
  <si>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</si>
  <si>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</si>
  <si>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</si>
  <si>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</si>
  <si>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</si>
  <si>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</si>
  <si>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</si>
  <si>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</si>
  <si>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</si>
  <si>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</si>
  <si>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</si>
  <si>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</si>
  <si>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</si>
  <si>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</si>
  <si>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</si>
  <si>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</si>
  <si>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</si>
  <si>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</si>
  <si>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</si>
  <si>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</si>
  <si>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</si>
  <si>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</si>
  <si>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</si>
  <si>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</si>
  <si>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</si>
  <si>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</si>
  <si>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</si>
  <si>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</si>
  <si>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</si>
  <si>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</si>
  <si>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</si>
  <si>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</si>
  <si>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</si>
  <si>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</si>
  <si>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</si>
  <si>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</si>
  <si>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</si>
  <si>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</si>
  <si>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</si>
  <si>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</si>
  <si>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</si>
  <si>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</si>
  <si>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</si>
  <si>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</si>
  <si>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</si>
  <si>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</si>
  <si>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</si>
  <si>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</si>
  <si>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</si>
  <si>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</si>
  <si>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</si>
  <si>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</si>
  <si>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</si>
  <si>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</si>
  <si>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</si>
  <si>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</si>
  <si>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</si>
  <si>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</si>
  <si>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</si>
  <si>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</si>
  <si>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</si>
  <si>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</si>
  <si>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</si>
  <si>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</si>
  <si>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</si>
  <si>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</si>
  <si>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</si>
  <si>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</si>
  <si>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</si>
  <si>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</si>
  <si>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</si>
  <si>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</si>
  <si>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</si>
  <si>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</si>
  <si>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</si>
  <si>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</si>
  <si>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</si>
  <si>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</si>
  <si>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</si>
  <si>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</si>
  <si>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</si>
  <si>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</si>
  <si>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</si>
  <si>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</si>
  <si>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</si>
  <si>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</si>
  <si>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</si>
  <si>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</si>
  <si>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</si>
  <si>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</si>
  <si>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</si>
  <si>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</si>
  <si>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</si>
  <si>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</si>
  <si>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</si>
  <si>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</si>
  <si>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</si>
  <si>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</si>
  <si>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</si>
  <si>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</si>
  <si>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</si>
  <si>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</si>
  <si>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</si>
  <si>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</si>
  <si>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</si>
  <si>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</si>
  <si>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</si>
  <si>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</si>
  <si>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</si>
  <si>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</si>
  <si>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</si>
  <si>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</si>
  <si>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</si>
  <si>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</si>
  <si>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</si>
  <si>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</si>
  <si>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</si>
  <si>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</si>
  <si>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</si>
  <si>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</si>
  <si>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</si>
  <si>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</si>
  <si>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</si>
  <si>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</si>
  <si>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</si>
  <si>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</si>
  <si>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</si>
  <si>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</si>
  <si>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</si>
  <si>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</si>
  <si>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</si>
  <si>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</si>
  <si>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</si>
  <si>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</si>
  <si>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</si>
  <si>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</si>
  <si>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</si>
  <si>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</si>
  <si>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</si>
  <si>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</si>
  <si>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</si>
  <si>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</si>
  <si>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</si>
  <si>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</si>
  <si>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</si>
  <si>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</si>
  <si>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</si>
  <si>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</si>
  <si>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</si>
  <si>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</si>
  <si>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</si>
  <si>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</si>
  <si>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</si>
  <si>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</si>
  <si>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</si>
  <si>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</si>
  <si>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</si>
  <si>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</si>
  <si>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</si>
  <si>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</si>
  <si>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</si>
  <si>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</si>
  <si>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</si>
  <si>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</si>
  <si>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</si>
  <si>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</si>
  <si>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</si>
  <si>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</si>
  <si>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</si>
  <si>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</si>
  <si>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</si>
  <si>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</si>
  <si>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</si>
  <si>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</si>
  <si>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</si>
  <si>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</si>
  <si>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</si>
  <si>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</si>
  <si>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</si>
  <si>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</si>
  <si>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</si>
  <si>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</si>
  <si>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</si>
  <si>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</si>
  <si>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</si>
  <si>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</si>
  <si>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</si>
  <si>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</si>
  <si>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</si>
  <si>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</si>
  <si>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</si>
  <si>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</si>
  <si>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</si>
  <si>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</si>
  <si>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</si>
  <si>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</si>
  <si>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</si>
  <si>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</si>
  <si>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</si>
  <si>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</si>
  <si>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</si>
  <si>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</si>
  <si>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</si>
  <si>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</si>
  <si>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</si>
  <si>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</si>
  <si>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</si>
  <si>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</si>
  <si>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</si>
  <si>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</si>
  <si>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</si>
  <si>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</si>
  <si>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</si>
  <si>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</si>
  <si>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</si>
  <si>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</si>
  <si>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</si>
  <si>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</si>
  <si>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</si>
  <si>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</si>
  <si>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</si>
  <si>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</si>
  <si>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</si>
  <si>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</si>
  <si>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</si>
  <si>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</si>
  <si>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</si>
  <si>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</si>
  <si>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</si>
  <si>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</si>
  <si>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</si>
  <si>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</si>
  <si>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</si>
  <si>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</si>
  <si>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</si>
  <si>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</si>
  <si>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</si>
  <si>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</si>
  <si>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</si>
  <si>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</si>
  <si>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</si>
  <si>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</si>
  <si>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</si>
  <si>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</si>
  <si>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</si>
  <si>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</si>
  <si>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</si>
  <si>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</si>
  <si>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</si>
  <si>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</si>
  <si>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</si>
  <si>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</si>
  <si>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</si>
  <si>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</si>
  <si>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</si>
  <si>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</si>
  <si>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</si>
  <si>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</si>
  <si>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</si>
  <si>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</si>
  <si>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</si>
  <si>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</si>
  <si>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</si>
  <si>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</si>
  <si>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</si>
  <si>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</si>
  <si>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</si>
  <si>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</si>
  <si>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</si>
  <si>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</si>
  <si>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</si>
  <si>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</si>
  <si>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</si>
  <si>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</si>
  <si>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</si>
  <si>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</si>
  <si>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</si>
  <si>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</si>
  <si>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</si>
  <si>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</si>
  <si>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</si>
  <si>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</si>
  <si>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</si>
  <si>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</si>
  <si>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</si>
  <si>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</si>
  <si>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</si>
  <si>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</si>
  <si>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</si>
  <si>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</si>
  <si>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</si>
  <si>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</si>
  <si>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</si>
  <si>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</si>
  <si>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</si>
  <si>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</si>
  <si>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</si>
  <si>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</si>
  <si>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</si>
  <si>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</si>
  <si>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</si>
  <si>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</si>
  <si>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</si>
  <si>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</si>
  <si>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</si>
  <si>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</si>
  <si>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</si>
  <si>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</si>
  <si>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</si>
  <si>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</si>
  <si>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</si>
  <si>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</si>
  <si>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</si>
  <si>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</si>
  <si>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</si>
  <si>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</si>
  <si>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</si>
  <si>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</si>
  <si>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</si>
  <si>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</si>
  <si>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</si>
  <si>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</si>
  <si>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</si>
  <si>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</si>
  <si>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</si>
  <si>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</si>
  <si>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</si>
  <si>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</si>
  <si>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</si>
  <si>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</si>
  <si>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</si>
  <si>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</si>
  <si>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</si>
  <si>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</si>
  <si>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</si>
  <si>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</si>
  <si>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</si>
  <si>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</si>
  <si>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</si>
  <si>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</si>
  <si>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</si>
  <si>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</si>
  <si>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</si>
  <si>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</si>
  <si>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</si>
  <si>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</si>
  <si>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</si>
  <si>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</si>
  <si>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</si>
  <si>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</si>
  <si>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</si>
  <si>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</si>
  <si>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</si>
  <si>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</si>
  <si>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</si>
  <si>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</si>
  <si>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</si>
  <si>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</si>
  <si>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</si>
  <si>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</si>
  <si>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</si>
  <si>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</si>
  <si>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</si>
  <si>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</si>
  <si>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</si>
  <si>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</si>
  <si>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</si>
  <si>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</si>
  <si>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</si>
  <si>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</si>
  <si>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</si>
  <si>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</si>
  <si>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</si>
  <si>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</si>
  <si>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</si>
  <si>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</si>
  <si>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</si>
  <si>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</si>
  <si>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</si>
  <si>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</si>
  <si>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</si>
  <si>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</si>
  <si>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</si>
  <si>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</si>
  <si>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</si>
  <si>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</si>
  <si>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</si>
  <si>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</si>
  <si>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</si>
  <si>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</si>
  <si>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</si>
  <si>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</si>
  <si>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</si>
  <si>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</si>
  <si>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</si>
  <si>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</si>
  <si>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</si>
  <si>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</si>
  <si>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</si>
  <si>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</si>
  <si>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</si>
  <si>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</si>
  <si>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</si>
  <si>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</si>
  <si>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</si>
  <si>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</si>
  <si>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</si>
  <si>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</si>
  <si>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</si>
  <si>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</si>
  <si>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</si>
  <si>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</si>
  <si>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</si>
  <si>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</si>
  <si>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</si>
  <si>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</si>
  <si>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</si>
  <si>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</si>
  <si>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</si>
  <si>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</si>
  <si>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</si>
  <si>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</si>
  <si>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</si>
  <si>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</si>
  <si>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</si>
  <si>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</si>
  <si>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</si>
  <si>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</si>
  <si>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</si>
  <si>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</si>
  <si>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</si>
  <si>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</si>
  <si>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</si>
  <si>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</si>
  <si>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</si>
  <si>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</si>
  <si>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</si>
  <si>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</si>
  <si>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</si>
  <si>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</si>
  <si>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</si>
  <si>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</si>
  <si>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</si>
  <si>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</si>
  <si>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</si>
  <si>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</si>
  <si>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</si>
  <si>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</si>
  <si>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</si>
  <si>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</si>
  <si>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</si>
  <si>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</si>
  <si>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</si>
  <si>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</si>
  <si>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</si>
  <si>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</si>
  <si>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</si>
  <si>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</si>
  <si>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</si>
  <si>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</si>
  <si>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</si>
  <si>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</si>
  <si>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</si>
  <si>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</si>
  <si>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</si>
  <si>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</si>
  <si>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</si>
  <si>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</si>
  <si>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</si>
  <si>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</si>
  <si>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</si>
  <si>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</si>
  <si>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</si>
  <si>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</si>
  <si>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</si>
  <si>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</si>
  <si>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</si>
  <si>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</si>
  <si>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</si>
  <si>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</si>
  <si>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</si>
  <si>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</si>
  <si>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</si>
  <si>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</si>
  <si>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</si>
  <si>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</si>
  <si>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</si>
  <si>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</si>
  <si>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</si>
  <si>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</si>
  <si>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</si>
  <si>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</si>
  <si>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</si>
  <si>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</si>
  <si>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</si>
  <si>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</si>
  <si>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</si>
  <si>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</si>
  <si>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</si>
  <si>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</si>
  <si>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</si>
  <si>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</si>
  <si>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</si>
  <si>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</si>
  <si>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</si>
  <si>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</si>
  <si>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</si>
  <si>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</si>
  <si>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</si>
  <si>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</si>
  <si>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</si>
  <si>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</si>
  <si>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</si>
  <si>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</si>
  <si>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</si>
  <si>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</si>
  <si>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</si>
  <si>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</si>
  <si>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</si>
  <si>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</si>
  <si>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</si>
  <si>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</si>
  <si>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</si>
  <si>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</si>
  <si>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</si>
  <si>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</si>
  <si>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</si>
  <si>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</si>
  <si>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</si>
  <si>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</si>
  <si>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</si>
  <si>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</si>
  <si>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</si>
  <si>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</si>
  <si>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</si>
  <si>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</si>
  <si>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</si>
  <si>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</si>
  <si>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</si>
  <si>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</si>
  <si>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</si>
  <si>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</si>
  <si>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</si>
  <si>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</si>
  <si>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</si>
  <si>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</si>
  <si>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</si>
  <si>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</si>
  <si>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</si>
  <si>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</si>
  <si>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</si>
  <si>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</si>
  <si>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</si>
  <si>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</si>
  <si>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</si>
  <si>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</si>
  <si>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</si>
  <si>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</si>
  <si>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</si>
  <si>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</si>
  <si>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</si>
  <si>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</si>
  <si>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</si>
  <si>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</si>
  <si>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</si>
  <si>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</si>
  <si>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</si>
  <si>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</si>
  <si>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</si>
  <si>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</si>
  <si>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</si>
  <si>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</si>
  <si>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</si>
  <si>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</si>
  <si>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</si>
  <si>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</si>
  <si>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</si>
  <si>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</si>
  <si>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</si>
  <si>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</si>
  <si>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</si>
  <si>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</si>
  <si>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</si>
  <si>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</si>
  <si>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</si>
  <si>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</si>
  <si>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</si>
  <si>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</si>
  <si>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</si>
  <si>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</si>
  <si>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</si>
  <si>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</si>
  <si>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</si>
  <si>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</si>
  <si>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</si>
  <si>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</si>
  <si>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</si>
  <si>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</si>
  <si>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</si>
  <si>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</si>
  <si>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</si>
  <si>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</si>
  <si>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</si>
  <si>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</si>
  <si>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</si>
  <si>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</si>
  <si>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</si>
  <si>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</si>
  <si>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</si>
  <si>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</si>
  <si>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</si>
  <si>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</si>
  <si>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</si>
  <si>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</si>
  <si>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</si>
  <si>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</si>
  <si>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</si>
  <si>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</si>
  <si>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</si>
  <si>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</si>
  <si>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</si>
  <si>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</si>
  <si>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</si>
  <si>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</si>
  <si>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</si>
  <si>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</si>
  <si>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</si>
  <si>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</si>
  <si>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</si>
  <si>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</si>
  <si>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</si>
  <si>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</si>
  <si>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</si>
  <si>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</si>
  <si>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</si>
  <si>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</si>
  <si>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</si>
  <si>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</si>
  <si>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</si>
  <si>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</si>
  <si>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</si>
  <si>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</si>
  <si>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</si>
  <si>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</si>
  <si>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</si>
  <si>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</si>
  <si>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</si>
  <si>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</si>
  <si>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</si>
  <si>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</si>
  <si>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</si>
  <si>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</si>
  <si>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</si>
  <si>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</si>
  <si>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</si>
  <si>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</si>
  <si>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</si>
  <si>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</si>
  <si>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</si>
  <si>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</si>
  <si>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</si>
  <si>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</si>
  <si>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</si>
  <si>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</si>
  <si>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</si>
  <si>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</si>
  <si>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</si>
  <si>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</si>
  <si>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</si>
  <si>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</si>
  <si>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</si>
  <si>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</si>
  <si>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</si>
  <si>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</si>
  <si>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</si>
  <si>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</si>
  <si>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</si>
  <si>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</si>
  <si>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</si>
  <si>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</si>
  <si>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</si>
  <si>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</si>
  <si>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</si>
  <si>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</si>
  <si>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</si>
  <si>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</si>
  <si>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</si>
  <si>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</si>
  <si>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</si>
  <si>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</si>
  <si>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</si>
  <si>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</si>
  <si>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</si>
  <si>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</si>
  <si>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</si>
  <si>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</si>
  <si>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</si>
  <si>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</si>
  <si>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</si>
  <si>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</si>
  <si>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</si>
  <si>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</si>
  <si>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</si>
  <si>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</si>
  <si>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</si>
  <si>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</si>
  <si>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</si>
  <si>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</si>
  <si>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</si>
  <si>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</si>
  <si>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</si>
  <si>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</si>
  <si>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</si>
  <si>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</si>
  <si>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</si>
  <si>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</si>
  <si>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</si>
  <si>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</si>
  <si>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</si>
  <si>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</si>
  <si>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</si>
  <si>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</si>
  <si>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</si>
  <si>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</si>
  <si>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</si>
  <si>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</si>
  <si>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</si>
  <si>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</si>
  <si>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</si>
  <si>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</si>
  <si>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</si>
  <si>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</si>
  <si>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</si>
  <si>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</si>
  <si>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</si>
  <si>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</si>
  <si>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</si>
  <si>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</si>
  <si>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</si>
  <si>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</si>
  <si>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</si>
  <si>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</si>
  <si>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</si>
  <si>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</si>
  <si>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</si>
  <si>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</si>
  <si>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</si>
  <si>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</si>
  <si>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</si>
  <si>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</si>
  <si>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</si>
  <si>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</si>
  <si>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</si>
  <si>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</si>
  <si>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</si>
  <si>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</si>
  <si>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</si>
  <si>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</si>
  <si>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</si>
  <si>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</si>
  <si>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</si>
  <si>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</si>
  <si>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</si>
  <si>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</si>
  <si>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</si>
  <si>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</si>
  <si>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</si>
  <si>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</si>
  <si>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</si>
  <si>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</si>
  <si>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</si>
  <si>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</si>
  <si>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</si>
  <si>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</si>
  <si>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</si>
  <si>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</si>
  <si>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</si>
  <si>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</si>
  <si>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</si>
  <si>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</si>
  <si>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</si>
  <si>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</si>
  <si>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</si>
  <si>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</si>
  <si>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</si>
  <si>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</si>
  <si>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</si>
  <si>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</si>
  <si>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</si>
  <si>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</si>
  <si>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</si>
  <si>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</si>
  <si>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</si>
  <si>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</si>
  <si>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</si>
  <si>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</si>
  <si>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</si>
  <si>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</si>
  <si>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</si>
  <si>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</si>
  <si>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</si>
  <si>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</si>
  <si>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</si>
  <si>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</si>
  <si>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</si>
  <si>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</si>
  <si>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</si>
  <si>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</si>
  <si>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</si>
  <si>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</si>
  <si>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</si>
  <si>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</si>
  <si>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</si>
  <si>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</si>
  <si>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</si>
  <si>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</si>
  <si>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</si>
  <si>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</si>
  <si>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</si>
  <si>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</si>
  <si>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</si>
  <si>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</si>
  <si>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</si>
  <si>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</si>
  <si>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</si>
  <si>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</si>
  <si>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</si>
  <si>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</si>
  <si>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</si>
  <si>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</si>
  <si>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</si>
  <si>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</si>
  <si>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</si>
  <si>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</si>
  <si>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</si>
  <si>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</si>
  <si>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</si>
  <si>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</si>
  <si>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</si>
  <si>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</si>
  <si>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</si>
  <si>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</si>
  <si>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</si>
  <si>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</si>
  <si>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</si>
  <si>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</si>
  <si>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</si>
  <si>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</si>
  <si>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</si>
  <si>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</si>
  <si>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</si>
  <si>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</si>
  <si>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</si>
  <si>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</si>
  <si>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</si>
  <si>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</si>
  <si>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</si>
  <si>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</si>
  <si>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</si>
  <si>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</si>
  <si>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</si>
  <si>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</si>
  <si>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</si>
  <si>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</si>
  <si>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</si>
  <si>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</si>
  <si>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</si>
  <si>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</si>
  <si>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</si>
  <si>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</si>
  <si>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</si>
  <si>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</si>
  <si>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</si>
  <si>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</si>
  <si>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</si>
  <si>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</si>
  <si>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</si>
  <si>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</si>
  <si>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</si>
  <si>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</si>
  <si>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</si>
  <si>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</si>
  <si>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</si>
  <si>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</si>
  <si>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</si>
  <si>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</si>
  <si>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</si>
  <si>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</si>
  <si>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</si>
  <si>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</si>
  <si>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</si>
  <si>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</si>
  <si>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</si>
  <si>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</si>
  <si>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</si>
  <si>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</si>
  <si>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</si>
  <si>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</si>
  <si>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</si>
  <si>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</si>
  <si>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</si>
  <si>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</si>
  <si>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</si>
  <si>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</si>
  <si>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</si>
  <si>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</si>
  <si>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</si>
  <si>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</si>
  <si>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</si>
  <si>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</si>
  <si>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</si>
  <si>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</si>
  <si>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</si>
  <si>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</si>
  <si>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</si>
  <si>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</si>
  <si>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</si>
  <si>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</si>
  <si>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</si>
  <si>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</si>
  <si>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</si>
  <si>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</si>
  <si>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</si>
  <si>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</si>
  <si>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</si>
  <si>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</si>
  <si>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</si>
  <si>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</si>
  <si>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</si>
  <si>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</si>
  <si>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</si>
  <si>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</si>
  <si>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</si>
  <si>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</si>
  <si>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</si>
  <si>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</si>
  <si>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</si>
  <si>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</si>
  <si>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</si>
  <si>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</si>
  <si>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</si>
  <si>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</si>
  <si>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</si>
  <si>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</si>
  <si>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</si>
  <si>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</si>
  <si>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</si>
  <si>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</si>
  <si>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</si>
  <si>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</si>
  <si>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</si>
  <si>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</si>
  <si>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</si>
  <si>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</si>
  <si>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</si>
  <si>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</si>
  <si>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</si>
  <si>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</si>
  <si>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</si>
  <si>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</si>
  <si>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</si>
  <si>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</si>
  <si>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</si>
  <si>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</si>
  <si>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</si>
  <si>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</si>
  <si>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</si>
  <si>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</si>
  <si>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</si>
  <si>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</si>
  <si>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</si>
  <si>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</si>
  <si>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</si>
  <si>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</si>
  <si>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</si>
  <si>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</si>
  <si>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</si>
  <si>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</si>
  <si>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</si>
  <si>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</si>
  <si>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</si>
  <si>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</si>
  <si>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</si>
  <si>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</si>
  <si>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</si>
  <si>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</si>
  <si>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</si>
  <si>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</si>
  <si>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</si>
  <si>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</si>
  <si>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</si>
  <si>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</si>
  <si>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</si>
  <si>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</si>
  <si>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</si>
  <si>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</si>
  <si>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</si>
  <si>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</si>
  <si>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</si>
  <si>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</si>
  <si>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</si>
  <si>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</si>
  <si>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</si>
  <si>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</si>
  <si>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</si>
  <si>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</si>
  <si>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</si>
  <si>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</si>
  <si>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</si>
  <si>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</si>
  <si>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</si>
  <si>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</si>
  <si>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</si>
  <si>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</si>
  <si>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</si>
  <si>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</si>
  <si>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</si>
  <si>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</si>
  <si>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</si>
  <si>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</si>
  <si>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</si>
  <si>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</si>
  <si>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</si>
  <si>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</si>
  <si>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</si>
  <si>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</si>
  <si>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</si>
  <si>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</si>
  <si>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</si>
  <si>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</si>
  <si>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</si>
  <si>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</si>
  <si>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</si>
  <si>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</si>
  <si>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</si>
  <si>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</si>
  <si>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</si>
  <si>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</si>
  <si>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</si>
  <si>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</si>
  <si>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</si>
  <si>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</si>
  <si>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</si>
  <si>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</si>
  <si>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</si>
  <si>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</si>
  <si>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</si>
  <si>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</si>
  <si>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</si>
  <si>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</si>
  <si>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</si>
  <si>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</si>
  <si>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</si>
  <si>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</si>
  <si>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</si>
  <si>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</si>
  <si>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</si>
  <si>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</si>
  <si>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</si>
  <si>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</si>
  <si>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</si>
  <si>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</si>
  <si>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</si>
  <si>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</si>
  <si>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</si>
  <si>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</si>
  <si>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</si>
  <si>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</si>
  <si>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</si>
  <si>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</si>
  <si>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</si>
  <si>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</si>
  <si>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</si>
  <si>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</si>
  <si>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</si>
  <si>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</si>
  <si>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</si>
  <si>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</si>
  <si>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</si>
  <si>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</si>
  <si>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</si>
  <si>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</si>
  <si>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</si>
  <si>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</si>
  <si>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</si>
  <si>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</si>
  <si>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</si>
  <si>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</si>
  <si>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</si>
  <si>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</si>
  <si>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</si>
  <si>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</si>
  <si>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</si>
  <si>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</si>
  <si>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</si>
  <si>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</si>
  <si>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</si>
  <si>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</si>
  <si>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</si>
  <si>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</si>
  <si>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</si>
  <si>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</si>
  <si>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</si>
  <si>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</si>
  <si>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</si>
  <si>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</si>
  <si>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</si>
  <si>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</si>
  <si>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</si>
  <si>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</si>
  <si>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</si>
  <si>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</si>
  <si>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</si>
  <si>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</si>
  <si>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</si>
  <si>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</si>
  <si>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</si>
  <si>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</si>
  <si>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</si>
  <si>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</si>
  <si>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</si>
  <si>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</si>
  <si>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</si>
  <si>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</si>
  <si>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</si>
  <si>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</si>
  <si>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</si>
  <si>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</si>
  <si>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</si>
  <si>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</si>
  <si>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</si>
  <si>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</si>
  <si>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</si>
  <si>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</si>
  <si>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</si>
  <si>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</si>
  <si>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</si>
  <si>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</si>
  <si>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</si>
  <si>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</si>
  <si>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</si>
  <si>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</si>
  <si>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</si>
  <si>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</si>
  <si>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</si>
  <si>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</si>
  <si>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</si>
  <si>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</si>
  <si>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</si>
  <si>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</si>
  <si>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</si>
  <si>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</si>
  <si>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</si>
  <si>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</si>
  <si>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</si>
  <si>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</si>
  <si>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</si>
  <si>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</si>
  <si>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</si>
  <si>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</si>
  <si>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</si>
  <si>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</si>
  <si>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</si>
  <si>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</si>
  <si>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</si>
  <si>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</si>
  <si>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</si>
  <si>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</si>
  <si>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</si>
  <si>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</si>
  <si>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</si>
  <si>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</si>
  <si>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</si>
  <si>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</si>
  <si>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</si>
  <si>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</si>
  <si>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</si>
  <si>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</si>
  <si>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</si>
  <si>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</si>
  <si>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</si>
  <si>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</si>
  <si>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</si>
  <si>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</si>
  <si>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</si>
  <si>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</si>
  <si>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</si>
  <si>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</si>
  <si>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</si>
  <si>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</si>
  <si>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</si>
  <si>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</si>
  <si>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</si>
  <si>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</si>
  <si>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</si>
  <si>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</si>
  <si>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</si>
  <si>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</si>
  <si>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</si>
  <si>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</si>
  <si>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</si>
  <si>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</si>
  <si>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</si>
  <si>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</si>
  <si>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</si>
  <si>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</si>
  <si>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</si>
  <si>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</si>
  <si>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</si>
  <si>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</si>
  <si>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</si>
  <si>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</si>
  <si>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</si>
  <si>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</si>
  <si>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</si>
  <si>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</si>
  <si>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</si>
  <si>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</si>
  <si>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</si>
  <si>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</si>
  <si>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</si>
  <si>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</si>
  <si>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</si>
  <si>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</si>
  <si>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</si>
  <si>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</si>
  <si>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</si>
  <si>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</si>
  <si>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</si>
  <si>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</si>
  <si>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</si>
  <si>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</si>
  <si>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</si>
  <si>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</si>
  <si>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</si>
  <si>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</si>
  <si>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</si>
  <si>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</si>
  <si>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</si>
  <si>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</si>
  <si>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</si>
  <si>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</si>
  <si>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</si>
  <si>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</si>
  <si>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</si>
  <si>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</si>
  <si>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</si>
  <si>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</si>
  <si>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</si>
  <si>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</si>
  <si>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</si>
  <si>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</si>
  <si>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</si>
  <si>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</si>
  <si>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</si>
  <si>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</si>
  <si>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</si>
  <si>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</si>
  <si>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</si>
  <si>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</si>
  <si>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</si>
  <si>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</si>
  <si>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</si>
  <si>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</si>
  <si>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</si>
  <si>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</si>
  <si>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</si>
  <si>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</si>
  <si>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</si>
  <si>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</si>
  <si>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</si>
  <si>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</si>
  <si>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</si>
  <si>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</si>
  <si>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</si>
  <si>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</si>
  <si>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</si>
  <si>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</si>
  <si>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</si>
  <si>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</si>
  <si>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</si>
  <si>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</si>
  <si>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</si>
  <si>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</si>
  <si>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</si>
  <si>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</si>
  <si>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</si>
  <si>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</si>
  <si>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</si>
  <si>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</si>
  <si>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</si>
  <si>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</si>
  <si>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</si>
  <si>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</si>
  <si>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</si>
  <si>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</si>
  <si>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</si>
  <si>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</si>
  <si>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</si>
  <si>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</si>
  <si>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</si>
  <si>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</si>
  <si>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</si>
  <si>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</si>
  <si>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</si>
  <si>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</si>
  <si>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</si>
  <si>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</si>
  <si>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</si>
  <si>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</si>
  <si>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</si>
  <si>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</si>
  <si>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</si>
  <si>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</si>
  <si>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</si>
  <si>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</si>
  <si>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</si>
  <si>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</si>
  <si>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</si>
  <si>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</si>
  <si>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</si>
  <si>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</si>
  <si>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</si>
  <si>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</si>
  <si>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</si>
  <si>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</si>
  <si>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</si>
  <si>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</si>
  <si>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</si>
  <si>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</si>
  <si>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</si>
  <si>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</si>
  <si>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</si>
  <si>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</si>
  <si>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</si>
  <si>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</si>
  <si>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</si>
  <si>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</si>
  <si>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</si>
  <si>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</si>
  <si>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</si>
  <si>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</si>
  <si>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</si>
  <si>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</si>
  <si>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</si>
  <si>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</si>
  <si>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</si>
  <si>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</si>
  <si>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</si>
  <si>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</si>
  <si>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</si>
  <si>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</si>
  <si>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</si>
  <si>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</si>
  <si>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</si>
  <si>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</si>
  <si>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</si>
  <si>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</si>
  <si>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</si>
  <si>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</si>
  <si>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</si>
  <si>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</si>
  <si>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</si>
  <si>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</si>
  <si>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</si>
  <si>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</si>
  <si>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</si>
  <si>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</si>
  <si>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</si>
  <si>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</si>
  <si>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</si>
  <si>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</si>
  <si>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</si>
  <si>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</si>
  <si>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</si>
  <si>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</si>
  <si>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</si>
  <si>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</si>
  <si>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</si>
  <si>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</si>
  <si>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</si>
  <si>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</si>
  <si>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</si>
  <si>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</si>
  <si>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</si>
  <si>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</si>
  <si>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</si>
  <si>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</si>
  <si>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</si>
  <si>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</si>
  <si>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</si>
  <si>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</si>
  <si>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</si>
  <si>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</si>
  <si>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</si>
  <si>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</si>
  <si>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</si>
  <si>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</si>
  <si>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</si>
  <si>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</si>
  <si>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</si>
  <si>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</si>
  <si>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</si>
  <si>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</si>
  <si>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</si>
  <si>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</si>
  <si>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</si>
  <si>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</si>
  <si>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</si>
  <si>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</si>
  <si>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</si>
  <si>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</si>
  <si>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</si>
  <si>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</si>
  <si>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</si>
  <si>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</si>
  <si>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</si>
  <si>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</si>
  <si>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</si>
  <si>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</si>
  <si>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</si>
  <si>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</si>
  <si>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</si>
  <si>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</si>
  <si>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</si>
  <si>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</si>
  <si>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</si>
  <si>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</si>
  <si>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</si>
  <si>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</si>
  <si>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</si>
  <si>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</si>
  <si>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</si>
  <si>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</si>
  <si>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</si>
  <si>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</si>
  <si>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</si>
  <si>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</si>
  <si>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</si>
  <si>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</si>
  <si>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</si>
  <si>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</si>
  <si>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</si>
  <si>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</si>
  <si>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</si>
  <si>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</si>
  <si>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</si>
  <si>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</si>
  <si>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</si>
  <si>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</si>
  <si>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</si>
  <si>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</si>
  <si>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</si>
  <si>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</si>
  <si>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</si>
  <si>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</si>
  <si>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</si>
  <si>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</si>
  <si>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</si>
  <si>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</si>
  <si>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</si>
  <si>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</si>
  <si>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</si>
  <si>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</si>
  <si>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</si>
  <si>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</si>
  <si>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</si>
  <si>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</si>
  <si>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</si>
  <si>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</si>
  <si>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</si>
  <si>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</si>
  <si>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</si>
  <si>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</si>
  <si>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</si>
  <si>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</si>
  <si>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</si>
  <si>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</si>
  <si>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</si>
  <si>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</si>
  <si>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</si>
  <si>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</si>
  <si>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</si>
  <si>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</si>
  <si>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</si>
  <si>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</si>
  <si>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</si>
  <si>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</si>
  <si>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</si>
  <si>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</si>
  <si>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</si>
  <si>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</si>
  <si>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</si>
  <si>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</si>
  <si>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</si>
  <si>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</si>
  <si>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</si>
  <si>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</si>
  <si>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</si>
  <si>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</si>
  <si>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</si>
  <si>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</si>
  <si>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</si>
  <si>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</si>
  <si>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</si>
  <si>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</si>
  <si>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</si>
  <si>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</si>
  <si>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</si>
  <si>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</si>
  <si>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</si>
  <si>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</si>
  <si>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</si>
  <si>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</si>
  <si>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</si>
  <si>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</si>
  <si>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</si>
  <si>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</si>
  <si>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</si>
  <si>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</si>
  <si>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</si>
  <si>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</si>
  <si>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</si>
  <si>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</si>
  <si>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</si>
  <si>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</si>
  <si>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</si>
  <si>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</si>
  <si>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</si>
  <si>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</si>
  <si>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</si>
  <si>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</si>
  <si>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</si>
  <si>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</si>
  <si>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</si>
  <si>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</si>
  <si>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</si>
  <si>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</si>
  <si>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</si>
  <si>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</si>
  <si>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</si>
  <si>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</si>
  <si>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</si>
  <si>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</si>
  <si>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</si>
  <si>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</si>
  <si>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</si>
  <si>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</si>
  <si>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</si>
  <si>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</si>
  <si>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</si>
  <si>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</si>
  <si>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</si>
  <si>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</si>
  <si>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</si>
  <si>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</si>
  <si>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</si>
  <si>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</si>
  <si>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</si>
  <si>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</si>
  <si>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</si>
  <si>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</si>
  <si>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</si>
  <si>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</si>
  <si>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</si>
  <si>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</si>
  <si>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</si>
  <si>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</si>
  <si>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</si>
  <si>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</si>
  <si>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</si>
  <si>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</si>
  <si>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</si>
  <si>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</si>
  <si>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</si>
  <si>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</si>
  <si>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</si>
  <si>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</si>
  <si>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</si>
  <si>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</si>
  <si>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</si>
  <si>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</si>
  <si>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</si>
  <si>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</si>
  <si>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</si>
  <si>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</si>
  <si>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</si>
  <si>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</si>
  <si>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</si>
  <si>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</si>
  <si>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</si>
  <si>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</si>
  <si>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</si>
  <si>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</si>
  <si>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</si>
  <si>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</si>
  <si>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</si>
  <si>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</si>
  <si>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</si>
  <si>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</si>
  <si>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</si>
  <si>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</si>
  <si>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</si>
  <si>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</si>
  <si>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</si>
  <si>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</si>
  <si>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</si>
  <si>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</si>
  <si>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</si>
  <si>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</si>
  <si>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</si>
  <si>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</si>
  <si>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</si>
  <si>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</si>
  <si>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</si>
  <si>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</si>
  <si>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</si>
  <si>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</si>
  <si>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</si>
  <si>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</si>
  <si>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</si>
  <si>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</si>
  <si>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</si>
  <si>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</si>
  <si>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</si>
  <si>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</si>
  <si>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</si>
  <si>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</si>
  <si>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</si>
  <si>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</si>
  <si>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</si>
  <si>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</si>
  <si>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</si>
  <si>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</si>
  <si>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</si>
  <si>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</si>
  <si>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</si>
  <si>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</si>
  <si>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</si>
  <si>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</si>
  <si>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</si>
  <si>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</si>
  <si>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</si>
  <si>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</si>
  <si>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</si>
  <si>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</si>
  <si>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</si>
  <si>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</si>
  <si>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</si>
  <si>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</si>
  <si>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</si>
  <si>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</si>
  <si>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</si>
  <si>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</si>
  <si>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</si>
  <si>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</si>
  <si>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</si>
  <si>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</si>
  <si>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</si>
  <si>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</si>
  <si>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</si>
  <si>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</si>
  <si>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</si>
  <si>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</si>
  <si>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</si>
  <si>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</si>
  <si>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</si>
  <si>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</si>
  <si>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</si>
  <si>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</si>
  <si>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</si>
  <si>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</si>
  <si>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</si>
  <si>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</si>
  <si>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</si>
  <si>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</si>
  <si>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</si>
  <si>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</si>
  <si>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</si>
  <si>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</si>
  <si>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</si>
  <si>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</si>
  <si>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</si>
  <si>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</si>
  <si>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</si>
  <si>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</si>
  <si>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</si>
  <si>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</si>
  <si>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</si>
  <si>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</si>
  <si>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</si>
  <si>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</si>
  <si>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</si>
  <si>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</si>
  <si>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</si>
  <si>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</si>
  <si>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</si>
  <si>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</si>
  <si>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</si>
  <si>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</si>
  <si>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</si>
  <si>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</si>
  <si>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</si>
  <si>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</si>
  <si>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</si>
  <si>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</si>
  <si>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</si>
  <si>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</si>
  <si>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</si>
  <si>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</si>
  <si>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</si>
  <si>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</si>
  <si>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</si>
  <si>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</si>
  <si>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</si>
  <si>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</si>
  <si>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</si>
  <si>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</si>
  <si>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</si>
  <si>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</si>
  <si>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</si>
  <si>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</si>
  <si>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</si>
  <si>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</si>
  <si>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</si>
  <si>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</si>
  <si>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</si>
  <si>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</si>
  <si>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</si>
  <si>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</si>
  <si>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</si>
  <si>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</si>
  <si>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</si>
  <si>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</si>
  <si>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</si>
  <si>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</si>
  <si>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</si>
  <si>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</si>
  <si>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</si>
  <si>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</si>
  <si>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</si>
  <si>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</si>
  <si>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</si>
  <si>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</si>
  <si>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</si>
  <si>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</si>
  <si>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</si>
  <si>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</si>
  <si>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</si>
  <si>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</si>
  <si>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</si>
  <si>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</si>
  <si>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</si>
  <si>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</si>
  <si>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</si>
  <si>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</si>
  <si>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</si>
  <si>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</si>
  <si>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</si>
  <si>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</si>
  <si>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</si>
  <si>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</si>
  <si>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</si>
  <si>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</si>
  <si>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</si>
  <si>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</si>
  <si>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</si>
  <si>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</si>
  <si>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</si>
  <si>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</si>
  <si>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</si>
  <si>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</si>
  <si>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</si>
  <si>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</si>
  <si>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</si>
  <si>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</si>
  <si>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</si>
  <si>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</si>
  <si>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</si>
  <si>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</si>
  <si>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</si>
  <si>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</si>
  <si>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</si>
  <si>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</si>
  <si>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</si>
  <si>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</si>
  <si>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</si>
  <si>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</si>
  <si>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</si>
  <si>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</si>
  <si>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</si>
  <si>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</si>
  <si>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</si>
  <si>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</si>
  <si>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</si>
  <si>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</si>
  <si>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</si>
  <si>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</si>
  <si>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</si>
  <si>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</si>
  <si>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</si>
  <si>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</si>
  <si>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</si>
  <si>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</si>
  <si>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</si>
  <si>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</si>
  <si>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</si>
  <si>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</si>
  <si>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</si>
  <si>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</si>
  <si>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</si>
  <si>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</si>
  <si>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</si>
  <si>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</si>
  <si>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</si>
  <si>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</si>
  <si>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</si>
  <si>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</si>
  <si>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</si>
  <si>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</si>
  <si>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</si>
  <si>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</si>
  <si>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</si>
  <si>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</si>
  <si>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</si>
  <si>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</si>
  <si>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</si>
  <si>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</si>
  <si>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</si>
  <si>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</si>
  <si>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</si>
  <si>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</si>
  <si>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</si>
  <si>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</si>
  <si>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</si>
  <si>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</si>
  <si>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</si>
  <si>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</si>
  <si>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</si>
  <si>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</si>
  <si>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</si>
  <si>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</si>
  <si>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</si>
  <si>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</si>
  <si>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</si>
  <si>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</si>
  <si>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</si>
  <si>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</si>
  <si>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</si>
  <si>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</si>
  <si>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</si>
  <si>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</si>
  <si>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</si>
  <si>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</si>
  <si>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</si>
  <si>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</si>
  <si>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</si>
  <si>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</si>
  <si>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</si>
  <si>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</si>
  <si>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</si>
  <si>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</si>
  <si>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</si>
  <si>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</si>
  <si>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</si>
  <si>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</si>
  <si>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</si>
  <si>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</si>
  <si>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</si>
  <si>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</si>
  <si>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</si>
  <si>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</si>
  <si>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</si>
  <si>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</si>
  <si>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</si>
  <si>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</si>
  <si>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</si>
  <si>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</si>
  <si>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</si>
  <si>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</si>
  <si>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</si>
  <si>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</si>
  <si>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</si>
  <si>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</si>
  <si>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</si>
  <si>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</si>
  <si>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</si>
  <si>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</si>
  <si>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</si>
  <si>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</si>
  <si>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</si>
  <si>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</si>
  <si>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</si>
  <si>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</si>
  <si>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</si>
  <si>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</si>
  <si>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</si>
  <si>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</si>
  <si>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</si>
  <si>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</si>
  <si>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</si>
  <si>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</si>
  <si>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</si>
  <si>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</si>
  <si>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</si>
  <si>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</si>
  <si>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</si>
  <si>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</si>
  <si>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</si>
  <si>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</si>
  <si>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</si>
  <si>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</si>
  <si>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</si>
  <si>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</si>
  <si>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</si>
  <si>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</si>
  <si>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</si>
  <si>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</si>
  <si>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</si>
  <si>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</si>
  <si>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</si>
  <si>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</si>
  <si>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</si>
  <si>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</si>
  <si>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</si>
  <si>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</si>
  <si>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</si>
  <si>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</si>
  <si>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</si>
  <si>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</si>
  <si>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</si>
  <si>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</si>
  <si>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</si>
  <si>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</si>
  <si>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</si>
  <si>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</si>
  <si>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</si>
  <si>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</si>
  <si>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</si>
  <si>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</si>
  <si>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</si>
  <si>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</si>
  <si>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</si>
  <si>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</si>
  <si>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</si>
  <si>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</si>
  <si>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</si>
  <si>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</si>
  <si>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</si>
  <si>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</si>
  <si>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</si>
  <si>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</si>
  <si>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</si>
  <si>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</si>
  <si>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</si>
  <si>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</si>
  <si>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</si>
  <si>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</si>
  <si>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</si>
  <si>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</si>
  <si>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</si>
  <si>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</si>
  <si>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</si>
  <si>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</si>
  <si>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</si>
  <si>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</si>
  <si>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</si>
  <si>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</si>
  <si>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</si>
  <si>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</si>
  <si>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</si>
  <si>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</si>
  <si>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</si>
  <si>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</si>
  <si>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</si>
  <si>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</si>
  <si>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</si>
  <si>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</si>
  <si>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</si>
  <si>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</si>
  <si>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</si>
  <si>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</si>
  <si>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</si>
  <si>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</si>
  <si>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</si>
  <si>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</si>
  <si>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</si>
  <si>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</si>
  <si>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</si>
  <si>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</si>
  <si>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</si>
  <si>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</si>
  <si>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</si>
  <si>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</si>
  <si>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</si>
  <si>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</si>
  <si>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</si>
  <si>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</si>
  <si>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</si>
  <si>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</si>
  <si>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</si>
  <si>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</si>
  <si>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</si>
  <si>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</si>
  <si>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</si>
  <si>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</si>
  <si>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</si>
  <si>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</si>
  <si>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</si>
  <si>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</si>
  <si>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</si>
  <si>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</si>
  <si>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</si>
  <si>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</si>
  <si>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</si>
  <si>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</si>
  <si>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</si>
  <si>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</si>
  <si>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</si>
  <si>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</si>
  <si>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</si>
  <si>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</si>
  <si>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</si>
  <si>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</si>
  <si>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</si>
  <si>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</si>
  <si>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</si>
  <si>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</si>
  <si>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</si>
  <si>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</si>
  <si>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</si>
  <si>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</si>
  <si>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</si>
  <si>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</si>
  <si>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</si>
  <si>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</si>
  <si>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</si>
  <si>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</si>
  <si>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</si>
  <si>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</si>
  <si>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</si>
  <si>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</si>
  <si>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</si>
  <si>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</si>
  <si>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</si>
  <si>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</si>
  <si>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</si>
  <si>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</si>
  <si>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</si>
  <si>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</si>
  <si>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</si>
  <si>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</si>
  <si>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</si>
  <si>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</si>
  <si>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</si>
  <si>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</si>
  <si>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</si>
  <si>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</si>
  <si>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</si>
  <si>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</si>
  <si>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</si>
  <si>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</si>
  <si>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</si>
  <si>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</si>
  <si>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</si>
  <si>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</si>
  <si>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</si>
  <si>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</si>
  <si>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</si>
  <si>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</si>
  <si>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</si>
  <si>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</si>
  <si>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</si>
  <si>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</si>
  <si>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</si>
  <si>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</si>
  <si>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</si>
  <si>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</si>
  <si>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</si>
  <si>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</si>
  <si>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</si>
  <si>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</si>
  <si>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</si>
  <si>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</si>
  <si>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</si>
  <si>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</si>
  <si>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</si>
  <si>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</si>
  <si>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</si>
  <si>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</si>
  <si>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</si>
  <si>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</si>
  <si>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</si>
  <si>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</si>
  <si>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</si>
  <si>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</si>
  <si>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</si>
  <si>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</si>
  <si>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</si>
  <si>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</si>
  <si>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</si>
  <si>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</si>
  <si>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</si>
  <si>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</si>
  <si>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</si>
  <si>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</si>
  <si>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</si>
  <si>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</si>
  <si>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</si>
  <si>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</si>
  <si>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</si>
  <si>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</si>
  <si>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</si>
  <si>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</si>
  <si>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</si>
  <si>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</si>
  <si>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</si>
  <si>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</si>
  <si>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</si>
  <si>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</si>
  <si>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</si>
  <si>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</si>
  <si>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</si>
  <si>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</si>
  <si>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</si>
  <si>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</si>
  <si>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</si>
  <si>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</si>
  <si>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</si>
  <si>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</si>
  <si>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</si>
  <si>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</si>
  <si>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</si>
  <si>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</si>
  <si>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</si>
  <si>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</si>
  <si>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</si>
  <si>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</si>
  <si>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</si>
  <si>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</si>
  <si>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</si>
  <si>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</si>
  <si>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</si>
  <si>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</si>
  <si>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</si>
  <si>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</si>
  <si>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</si>
  <si>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</si>
  <si>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</si>
  <si>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</si>
  <si>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</si>
  <si>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</si>
  <si>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</si>
  <si>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</si>
  <si>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</si>
  <si>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</si>
  <si>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</si>
  <si>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</si>
  <si>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</si>
  <si>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</si>
  <si>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</si>
  <si>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</si>
  <si>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</si>
  <si>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</si>
  <si>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</si>
  <si>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</si>
  <si>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</si>
  <si>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</si>
  <si>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</si>
  <si>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</si>
  <si>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</si>
  <si>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</si>
  <si>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</si>
  <si>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</si>
  <si>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</si>
  <si>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</si>
  <si>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</si>
  <si>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</si>
  <si>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</si>
  <si>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</si>
  <si>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</si>
  <si>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</si>
  <si>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</si>
  <si>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</si>
  <si>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</si>
  <si>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</si>
  <si>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</si>
  <si>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</si>
  <si>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</si>
  <si>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</si>
  <si>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</si>
  <si>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</si>
  <si>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</si>
  <si>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</si>
  <si>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</si>
  <si>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</si>
  <si>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</si>
  <si>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</si>
  <si>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</si>
  <si>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</si>
  <si>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</si>
  <si>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</si>
  <si>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</si>
  <si>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</si>
  <si>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</si>
  <si>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</si>
  <si>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</si>
  <si>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</si>
  <si>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</si>
  <si>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</si>
  <si>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</si>
  <si>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</si>
  <si>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</si>
  <si>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</si>
  <si>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</si>
  <si>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</si>
  <si>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</si>
  <si>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</si>
  <si>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</si>
  <si>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</si>
  <si>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</si>
  <si>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</si>
  <si>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</si>
  <si>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</si>
  <si>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</si>
  <si>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</si>
  <si>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</si>
  <si>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</si>
  <si>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</si>
  <si>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</si>
  <si>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</si>
  <si>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</si>
  <si>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</si>
  <si>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</si>
  <si>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</si>
  <si>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</si>
  <si>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</si>
  <si>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</si>
  <si>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</si>
  <si>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</si>
  <si>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</si>
  <si>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</si>
  <si>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</si>
  <si>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</si>
  <si>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</si>
  <si>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</si>
  <si>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</si>
  <si>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</si>
  <si>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</si>
  <si>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</si>
  <si>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</si>
  <si>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</si>
  <si>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</si>
  <si>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</si>
  <si>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</si>
  <si>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</si>
  <si>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</si>
  <si>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</si>
  <si>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</si>
  <si>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</si>
  <si>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</si>
  <si>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</si>
  <si>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</si>
  <si>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</si>
  <si>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</si>
  <si>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</si>
  <si>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</si>
  <si>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</si>
  <si>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</si>
  <si>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</si>
  <si>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</si>
  <si>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</si>
  <si>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</si>
  <si>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</si>
  <si>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</si>
  <si>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</si>
  <si>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</si>
  <si>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</si>
  <si>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</si>
  <si>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</si>
  <si>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</si>
  <si>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</si>
  <si>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</si>
  <si>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</si>
  <si>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</si>
  <si>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</si>
  <si>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</si>
  <si>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</si>
  <si>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</si>
  <si>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</si>
  <si>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</si>
  <si>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</si>
  <si>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</si>
  <si>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</si>
  <si>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</si>
  <si>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</si>
  <si>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</si>
  <si>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</si>
  <si>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</si>
  <si>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</si>
  <si>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</si>
  <si>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</si>
  <si>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</si>
  <si>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</si>
  <si>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</si>
  <si>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</si>
  <si>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</si>
  <si>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</si>
  <si>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</si>
  <si>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</si>
  <si>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</si>
  <si>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</si>
  <si>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</si>
  <si>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</si>
  <si>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</si>
  <si>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</si>
  <si>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</si>
  <si>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</si>
  <si>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</si>
  <si>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</si>
  <si>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</si>
  <si>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</si>
  <si>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</si>
  <si>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</si>
  <si>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</si>
  <si>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</si>
  <si>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</si>
  <si>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</si>
  <si>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</si>
  <si>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</si>
  <si>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</si>
  <si>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</si>
  <si>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</si>
  <si>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</si>
  <si>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</si>
  <si>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</si>
  <si>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</si>
  <si>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</si>
  <si>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</si>
  <si>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</si>
  <si>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</si>
  <si>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</si>
  <si>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</si>
  <si>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</si>
  <si>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</si>
  <si>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</si>
  <si>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</si>
  <si>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</si>
  <si>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</si>
  <si>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</si>
  <si>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</si>
  <si>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</si>
  <si>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</si>
  <si>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</si>
  <si>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</si>
  <si>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</si>
  <si>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</si>
  <si>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</si>
  <si>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</si>
  <si>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</si>
  <si>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</si>
  <si>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</si>
  <si>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</si>
  <si>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</si>
  <si>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</si>
  <si>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</si>
  <si>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</si>
  <si>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</si>
  <si>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</si>
  <si>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</si>
  <si>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</si>
  <si>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</si>
  <si>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</si>
  <si>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</si>
  <si>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</si>
  <si>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</si>
  <si>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</si>
  <si>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</si>
  <si>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</si>
  <si>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</si>
  <si>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</si>
  <si>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</si>
  <si>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</si>
  <si>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</si>
  <si>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</si>
  <si>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</si>
  <si>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</si>
  <si>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</si>
  <si>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</si>
  <si>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</si>
  <si>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</si>
  <si>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</si>
  <si>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</si>
  <si>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</si>
  <si>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</si>
  <si>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</si>
  <si>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</si>
  <si>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</si>
  <si>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</si>
  <si>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</si>
  <si>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</si>
  <si>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</si>
  <si>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</si>
  <si>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</si>
  <si>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</si>
  <si>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</si>
  <si>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</si>
  <si>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</si>
  <si>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</si>
  <si>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</si>
  <si>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</si>
  <si>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</si>
  <si>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</si>
  <si>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</si>
  <si>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</si>
  <si>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</si>
  <si>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</si>
  <si>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</si>
  <si>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</si>
  <si>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</si>
  <si>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</si>
  <si>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</si>
  <si>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</si>
  <si>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</si>
  <si>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</si>
  <si>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</si>
  <si>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</si>
  <si>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</si>
  <si>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</si>
  <si>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</si>
  <si>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</si>
  <si>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</si>
  <si>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</si>
  <si>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</si>
  <si>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</si>
  <si>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</si>
  <si>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</si>
  <si>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</si>
  <si>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</si>
  <si>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</si>
  <si>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</si>
  <si>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</si>
  <si>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</si>
  <si>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</si>
  <si>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</si>
  <si>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</si>
  <si>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</si>
  <si>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</si>
  <si>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</si>
  <si>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</si>
  <si>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</si>
  <si>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</si>
  <si>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</si>
  <si>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</si>
  <si>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</si>
  <si>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</si>
  <si>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</si>
  <si>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</si>
  <si>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</si>
  <si>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</si>
  <si>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</si>
  <si>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</si>
  <si>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</si>
  <si>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</si>
  <si>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</si>
  <si>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</si>
  <si>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</si>
  <si>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</si>
  <si>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</si>
  <si>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</si>
  <si>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</si>
  <si>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</si>
  <si>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</si>
  <si>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</si>
  <si>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</si>
  <si>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</si>
  <si>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</si>
  <si>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</si>
  <si>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</si>
  <si>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</si>
  <si>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</si>
  <si>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</si>
  <si>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</si>
  <si>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</si>
  <si>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</si>
  <si>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</si>
  <si>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</si>
  <si>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</si>
  <si>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</si>
  <si>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</si>
  <si>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</si>
  <si>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</si>
  <si>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</si>
  <si>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</si>
  <si>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</si>
  <si>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</si>
  <si>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</si>
  <si>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</si>
  <si>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</si>
  <si>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</si>
  <si>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</si>
  <si>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</si>
  <si>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</si>
  <si>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</si>
  <si>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</si>
  <si>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</si>
  <si>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</si>
  <si>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</si>
  <si>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</si>
  <si>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</si>
  <si>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</si>
  <si>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</si>
  <si>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</si>
  <si>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</si>
  <si>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</si>
  <si>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</si>
  <si>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</si>
  <si>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</si>
  <si>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</si>
  <si>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</si>
  <si>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</si>
  <si>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</si>
  <si>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</si>
  <si>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</si>
  <si>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</si>
  <si>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</si>
  <si>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</si>
  <si>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</si>
  <si>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</si>
  <si>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</si>
  <si>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</si>
  <si>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</si>
  <si>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</si>
  <si>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</si>
  <si>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</si>
  <si>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</si>
  <si>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</si>
  <si>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</si>
  <si>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</si>
  <si>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</si>
  <si>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</si>
  <si>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</si>
  <si>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</si>
  <si>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</si>
  <si>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</si>
  <si>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</si>
  <si>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</si>
  <si>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</si>
  <si>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</si>
  <si>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</si>
  <si>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</si>
  <si>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</si>
  <si>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</si>
  <si>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</si>
  <si>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</si>
  <si>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</si>
  <si>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</si>
  <si>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</si>
  <si>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</si>
  <si>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</si>
  <si>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</si>
  <si>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</si>
  <si>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</si>
  <si>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</si>
  <si>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</si>
  <si>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</si>
  <si>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</si>
  <si>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</si>
  <si>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</si>
  <si>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</si>
  <si>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</si>
  <si>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</si>
  <si>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</si>
  <si>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</si>
  <si>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</si>
  <si>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</si>
  <si>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</si>
  <si>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</si>
  <si>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</si>
  <si>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</si>
  <si>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</si>
  <si>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</si>
  <si>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</si>
  <si>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</si>
  <si>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</si>
  <si>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</si>
  <si>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</si>
  <si>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</si>
  <si>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</si>
  <si>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</si>
  <si>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</si>
  <si>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</si>
  <si>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</si>
  <si>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</si>
  <si>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</si>
  <si>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</si>
  <si>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</si>
  <si>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</si>
  <si>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</si>
  <si>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</si>
  <si>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</si>
  <si>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</si>
  <si>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</si>
  <si>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</si>
  <si>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</si>
  <si>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</si>
  <si>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</si>
  <si>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</si>
  <si>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</si>
  <si>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</si>
  <si>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</si>
  <si>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</si>
  <si>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</si>
  <si>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</si>
  <si>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</si>
  <si>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</si>
  <si>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</si>
  <si>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</si>
  <si>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</si>
  <si>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</si>
  <si>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</si>
  <si>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</si>
  <si>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</si>
  <si>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</si>
  <si>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</si>
  <si>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</si>
  <si>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</si>
  <si>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</si>
  <si>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</si>
  <si>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</si>
  <si>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</si>
  <si>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</si>
  <si>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</si>
  <si>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</si>
  <si>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</si>
  <si>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</si>
  <si>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</si>
  <si>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</si>
  <si>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</si>
  <si>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</si>
  <si>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</si>
  <si>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</si>
  <si>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</si>
  <si>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</si>
  <si>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</si>
  <si>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</si>
  <si>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</si>
  <si>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</si>
  <si>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</si>
  <si>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</si>
  <si>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</si>
  <si>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</si>
  <si>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</si>
  <si>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</si>
  <si>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</si>
  <si>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</si>
  <si>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</si>
  <si>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</si>
  <si>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</si>
  <si>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</si>
  <si>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</si>
  <si>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</si>
  <si>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</si>
  <si>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</si>
  <si>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</si>
  <si>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</si>
  <si>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</si>
  <si>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</si>
  <si>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</si>
  <si>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</si>
  <si>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</si>
  <si>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</si>
  <si>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</si>
  <si>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</si>
  <si>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</si>
  <si>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</si>
  <si>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</si>
  <si>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</si>
  <si>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</si>
  <si>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</si>
  <si>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</si>
  <si>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</si>
  <si>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</si>
  <si>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</si>
  <si>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</si>
  <si>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</si>
  <si>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</si>
  <si>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</si>
  <si>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</si>
  <si>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</si>
  <si>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</si>
  <si>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</si>
  <si>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</si>
  <si>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</si>
  <si>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</si>
  <si>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</si>
  <si>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</si>
  <si>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</si>
  <si>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</si>
  <si>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</si>
  <si>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</si>
  <si>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</si>
  <si>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</si>
  <si>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</si>
  <si>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</si>
  <si>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</si>
  <si>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</si>
  <si>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</si>
  <si>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</si>
  <si>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</si>
  <si>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</si>
  <si>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</si>
  <si>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</si>
  <si>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</si>
  <si>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</si>
  <si>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</si>
  <si>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</si>
  <si>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</si>
  <si>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</si>
  <si>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</si>
  <si>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</si>
  <si>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</si>
  <si>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</si>
  <si>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</si>
  <si>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</si>
  <si>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</si>
  <si>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</si>
  <si>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</si>
  <si>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</si>
  <si>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</si>
  <si>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</si>
  <si>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</si>
  <si>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</si>
  <si>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</si>
  <si>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</si>
  <si>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</si>
  <si>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</si>
  <si>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</si>
  <si>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</si>
  <si>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</si>
  <si>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</si>
  <si>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</si>
  <si>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</si>
  <si>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</si>
  <si>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</si>
  <si>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</si>
  <si>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</si>
  <si>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</si>
  <si>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</si>
  <si>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</si>
  <si>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</si>
  <si>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</si>
  <si>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</si>
  <si>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</si>
  <si>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</si>
  <si>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</si>
  <si>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</si>
  <si>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</si>
  <si>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</si>
  <si>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</si>
  <si>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</si>
  <si>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</si>
  <si>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</si>
  <si>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</si>
  <si>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</si>
  <si>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</si>
  <si>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</si>
  <si>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</si>
  <si>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</si>
  <si>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</si>
  <si>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</si>
  <si>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</si>
  <si>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</si>
  <si>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</si>
  <si>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</si>
  <si>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</si>
  <si>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</si>
  <si>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</si>
  <si>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</si>
  <si>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</si>
  <si>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</si>
  <si>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</si>
  <si>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</si>
  <si>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</si>
  <si>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</si>
  <si>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</si>
  <si>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</si>
  <si>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</si>
  <si>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</si>
  <si>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</si>
  <si>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</si>
  <si>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</si>
  <si>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</si>
  <si>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</si>
  <si>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</si>
  <si>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</si>
  <si>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</si>
  <si>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</si>
  <si>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</si>
  <si>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</si>
  <si>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</si>
  <si>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</si>
  <si>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</si>
  <si>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</si>
  <si>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</si>
  <si>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</si>
  <si>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</si>
  <si>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</si>
  <si>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</si>
  <si>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</si>
  <si>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</si>
  <si>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</si>
  <si>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</si>
  <si>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</si>
  <si>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</si>
  <si>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</si>
  <si>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</si>
  <si>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</si>
  <si>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</si>
  <si>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</si>
  <si>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</si>
  <si>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</si>
  <si>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</si>
  <si>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</si>
  <si>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</si>
  <si>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</si>
  <si>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</si>
  <si>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</si>
  <si>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</si>
  <si>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</si>
  <si>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</si>
  <si>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</si>
  <si>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</si>
  <si>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</si>
  <si>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</si>
  <si>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</si>
  <si>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</si>
  <si>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</si>
  <si>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</si>
  <si>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</si>
  <si>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</si>
  <si>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</si>
  <si>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</si>
  <si>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</si>
  <si>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</si>
  <si>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</si>
  <si>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</si>
  <si>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</si>
  <si>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</si>
  <si>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</si>
  <si>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</si>
  <si>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</si>
  <si>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</si>
  <si>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</si>
  <si>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</si>
  <si>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</si>
  <si>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</si>
  <si>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</si>
  <si>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</si>
  <si>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</si>
  <si>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</si>
  <si>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</si>
  <si>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</si>
  <si>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</si>
  <si>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</si>
  <si>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</si>
  <si>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</si>
  <si>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</si>
  <si>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</si>
  <si>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</si>
  <si>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</si>
  <si>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</si>
  <si>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</si>
  <si>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</si>
  <si>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</si>
  <si>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</si>
  <si>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</si>
  <si>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</si>
  <si>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</si>
  <si>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</si>
  <si>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</si>
  <si>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</si>
  <si>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</si>
  <si>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</si>
  <si>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</si>
  <si>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</si>
  <si>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</si>
  <si>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</si>
  <si>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</si>
  <si>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</si>
  <si>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</si>
  <si>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</si>
  <si>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</si>
  <si>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</si>
  <si>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</si>
  <si>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</si>
  <si>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</si>
  <si>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</si>
  <si>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</si>
  <si>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</si>
  <si>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</si>
  <si>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</si>
  <si>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</si>
  <si>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</si>
  <si>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</si>
  <si>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</si>
  <si>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</si>
  <si>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</si>
  <si>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</si>
  <si>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</si>
  <si>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</si>
  <si>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</si>
  <si>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</si>
  <si>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</si>
  <si>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</si>
  <si>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</si>
  <si>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</si>
  <si>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</si>
  <si>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</si>
  <si>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</si>
  <si>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</si>
  <si>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</si>
  <si>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</si>
  <si>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</si>
  <si>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</si>
  <si>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</si>
  <si>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</si>
  <si>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</si>
  <si>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</si>
  <si>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</si>
  <si>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</si>
  <si>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</si>
  <si>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</si>
  <si>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</si>
  <si>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</si>
  <si>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</si>
  <si>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</si>
  <si>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</si>
  <si>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</si>
  <si>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</si>
  <si>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</si>
  <si>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</si>
  <si>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</si>
  <si>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</si>
  <si>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</si>
  <si>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</si>
  <si>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</si>
  <si>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</si>
  <si>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</si>
  <si>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</si>
  <si>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</si>
  <si>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</si>
  <si>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</si>
  <si>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</si>
  <si>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</si>
  <si>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</si>
  <si>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</si>
  <si>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</si>
  <si>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</si>
  <si>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</si>
  <si>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</si>
  <si>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</si>
  <si>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</si>
  <si>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</si>
  <si>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</si>
  <si>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</si>
  <si>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</si>
  <si>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</si>
  <si>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</si>
  <si>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</si>
  <si>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</si>
  <si>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</si>
  <si>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</si>
  <si>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</si>
  <si>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</si>
  <si>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</si>
  <si>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</si>
  <si>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</si>
  <si>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</si>
  <si>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</si>
  <si>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</si>
  <si>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</si>
  <si>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</si>
  <si>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</si>
  <si>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</si>
  <si>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</si>
  <si>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</si>
  <si>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</si>
  <si>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</si>
  <si>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</si>
  <si>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</si>
  <si>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</si>
  <si>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</si>
  <si>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</si>
  <si>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</si>
  <si>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</si>
  <si>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</si>
  <si>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</si>
  <si>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</si>
  <si>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</si>
  <si>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</si>
  <si>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</si>
  <si>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</si>
  <si>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</si>
  <si>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</si>
  <si>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</si>
  <si>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</si>
  <si>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</si>
  <si>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</si>
  <si>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</si>
  <si>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</si>
  <si>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</si>
  <si>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</si>
  <si>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</si>
  <si>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</si>
  <si>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</si>
  <si>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</si>
  <si>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</si>
  <si>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</si>
  <si>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</si>
  <si>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</si>
  <si>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</si>
  <si>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</si>
  <si>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</si>
  <si>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</si>
  <si>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</si>
  <si>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</si>
  <si>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</si>
  <si>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</si>
  <si>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</si>
  <si>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</si>
  <si>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</si>
  <si>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</si>
  <si>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</si>
  <si>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</si>
  <si>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</si>
  <si>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</si>
  <si>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</si>
  <si>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</si>
  <si>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</si>
  <si>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</si>
  <si>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</si>
  <si>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</si>
  <si>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</si>
  <si>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</si>
  <si>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</si>
  <si>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</si>
  <si>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</si>
  <si>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</si>
  <si>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</si>
  <si>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</si>
  <si>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</si>
  <si>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</si>
  <si>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</si>
  <si>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</si>
  <si>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</si>
  <si>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</si>
  <si>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</si>
  <si>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</si>
  <si>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</si>
  <si>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</si>
  <si>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</si>
  <si>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</si>
  <si>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</si>
  <si>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</si>
  <si>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</si>
  <si>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</si>
  <si>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</si>
  <si>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</si>
  <si>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</si>
  <si>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</si>
  <si>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</si>
  <si>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</si>
  <si>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</si>
  <si>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</si>
  <si>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</si>
  <si>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</si>
  <si>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</si>
  <si>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</si>
  <si>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</si>
  <si>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</si>
  <si>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</si>
  <si>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</si>
  <si>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</si>
  <si>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</si>
  <si>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</si>
  <si>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</si>
  <si>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</si>
  <si>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</si>
  <si>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</si>
  <si>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</si>
  <si>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</si>
  <si>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</si>
  <si>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</si>
  <si>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</si>
  <si>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</si>
  <si>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</si>
  <si>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</si>
  <si>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</si>
  <si>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</si>
  <si>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</si>
  <si>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</si>
  <si>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</si>
  <si>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</si>
  <si>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</si>
  <si>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</si>
  <si>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</si>
  <si>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</si>
  <si>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</si>
  <si>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</si>
  <si>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</si>
  <si>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</si>
  <si>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</si>
  <si>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</si>
  <si>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</si>
  <si>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</si>
  <si>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</si>
  <si>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</si>
  <si>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</si>
  <si>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</si>
  <si>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</si>
  <si>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</si>
  <si>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</si>
  <si>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</si>
  <si>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</si>
  <si>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</si>
  <si>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</si>
  <si>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</si>
  <si>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</si>
  <si>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</si>
  <si>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</si>
  <si>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</si>
  <si>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</si>
  <si>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</si>
  <si>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</si>
  <si>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</si>
  <si>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</si>
  <si>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</si>
  <si>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</si>
  <si>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</si>
  <si>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</si>
  <si>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</si>
  <si>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</si>
  <si>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</si>
  <si>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</si>
  <si>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</si>
  <si>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</si>
  <si>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</si>
  <si>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</si>
  <si>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</si>
  <si>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</si>
  <si>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</si>
  <si>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</si>
  <si>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</si>
  <si>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</si>
  <si>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</si>
  <si>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</si>
  <si>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</si>
  <si>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</si>
  <si>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</si>
  <si>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</si>
  <si>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</si>
  <si>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</si>
  <si>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</si>
  <si>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</si>
  <si>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</si>
  <si>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</si>
  <si>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</si>
  <si>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</si>
  <si>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</si>
  <si>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</si>
  <si>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</si>
  <si>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</si>
  <si>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</si>
  <si>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</si>
  <si>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</si>
  <si>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</si>
  <si>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</si>
  <si>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</si>
  <si>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</si>
  <si>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</si>
  <si>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</si>
  <si>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</si>
  <si>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</si>
  <si>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</si>
  <si>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</si>
  <si>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</si>
  <si>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</si>
  <si>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</si>
  <si>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</si>
  <si>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</si>
  <si>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</si>
  <si>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</si>
  <si>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</si>
  <si>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</si>
  <si>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</si>
  <si>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</si>
  <si>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</si>
  <si>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</si>
  <si>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</si>
  <si>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</si>
  <si>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</si>
  <si>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</si>
  <si>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</si>
  <si>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</si>
  <si>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</si>
  <si>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</si>
  <si>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</si>
  <si>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</si>
  <si>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</si>
  <si>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</si>
  <si>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</si>
  <si>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</si>
  <si>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</si>
  <si>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</si>
  <si>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</si>
  <si>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</si>
  <si>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</si>
  <si>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</si>
  <si>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</si>
  <si>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</si>
  <si>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</si>
  <si>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</si>
  <si>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</si>
  <si>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</si>
  <si>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</si>
  <si>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</si>
  <si>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</si>
  <si>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</si>
  <si>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</si>
  <si>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</si>
  <si>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</si>
  <si>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</si>
  <si>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</si>
  <si>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</si>
  <si>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</si>
  <si>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</si>
  <si>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</si>
  <si>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</si>
  <si>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</si>
  <si>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</si>
  <si>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</si>
  <si>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</si>
  <si>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</si>
  <si>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</si>
  <si>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</si>
  <si>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</si>
  <si>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</si>
  <si>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</si>
  <si>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</si>
  <si>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</si>
  <si>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</si>
  <si>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</si>
  <si>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</si>
  <si>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</si>
  <si>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</si>
  <si>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</si>
  <si>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</si>
  <si>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</si>
  <si>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</si>
  <si>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</si>
  <si>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</si>
  <si>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</si>
  <si>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</si>
  <si>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</si>
  <si>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</si>
  <si>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</si>
  <si>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</si>
  <si>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</si>
  <si>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</si>
  <si>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</si>
  <si>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</si>
  <si>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</si>
  <si>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</si>
  <si>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</si>
  <si>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</si>
  <si>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</si>
  <si>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</si>
  <si>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</si>
  <si>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</si>
  <si>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</si>
  <si>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</si>
  <si>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</si>
  <si>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</si>
  <si>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</si>
  <si>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</si>
  <si>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</si>
  <si>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</si>
  <si>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</si>
  <si>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</si>
  <si>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</si>
  <si>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</si>
  <si>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</si>
  <si>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</si>
  <si>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</si>
  <si>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</si>
  <si>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</si>
  <si>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</si>
  <si>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</si>
  <si>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</si>
  <si>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</si>
  <si>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</si>
  <si>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</si>
  <si>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</si>
  <si>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</si>
  <si>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</si>
  <si>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</si>
  <si>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</si>
  <si>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</si>
  <si>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</si>
  <si>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</si>
  <si>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</si>
  <si>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</si>
  <si>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</si>
  <si>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</si>
  <si>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</si>
  <si>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</si>
  <si>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</si>
  <si>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</si>
  <si>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</si>
  <si>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</si>
  <si>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</si>
  <si>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</si>
  <si>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</si>
  <si>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</si>
  <si>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</si>
  <si>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</si>
  <si>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</si>
  <si>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</si>
  <si>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</si>
  <si>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</si>
  <si>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</si>
  <si>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</si>
  <si>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</si>
  <si>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</si>
  <si>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</si>
  <si>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</si>
  <si>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</si>
  <si>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</si>
  <si>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</si>
  <si>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</si>
  <si>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</si>
  <si>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</si>
  <si>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</si>
  <si>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</si>
  <si>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</si>
  <si>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</si>
  <si>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</si>
  <si>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</si>
  <si>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</si>
  <si>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</si>
  <si>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</si>
  <si>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</si>
  <si>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</si>
  <si>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</si>
  <si>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</si>
  <si>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</si>
  <si>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</si>
  <si>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</si>
  <si>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</si>
  <si>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</si>
  <si>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</si>
  <si>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</si>
  <si>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</si>
  <si>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</si>
  <si>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</si>
  <si>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</si>
  <si>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</si>
  <si>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</si>
  <si>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</si>
  <si>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</si>
  <si>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</si>
  <si>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</si>
  <si>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</si>
  <si>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</si>
  <si>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</si>
  <si>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</si>
  <si>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</si>
  <si>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</si>
  <si>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</si>
  <si>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</si>
  <si>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</si>
  <si>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</si>
  <si>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</si>
  <si>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</si>
  <si>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</si>
  <si>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</si>
  <si>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</si>
  <si>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</si>
  <si>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</si>
  <si>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</si>
  <si>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</si>
  <si>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</si>
  <si>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</si>
  <si>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</si>
  <si>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</si>
  <si>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</si>
  <si>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</si>
  <si>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</si>
  <si>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</si>
  <si>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</si>
  <si>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</si>
  <si>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</si>
  <si>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</si>
  <si>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</si>
  <si>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</si>
  <si>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</si>
  <si>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</si>
  <si>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</si>
  <si>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</si>
  <si>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</si>
  <si>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</si>
  <si>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</si>
  <si>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</si>
  <si>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</si>
  <si>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</si>
  <si>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</si>
  <si>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</si>
  <si>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</si>
  <si>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</si>
  <si>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</si>
  <si>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</si>
  <si>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</si>
  <si>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</si>
  <si>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</si>
  <si>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</si>
  <si>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</si>
  <si>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</si>
  <si>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</si>
  <si>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</si>
  <si>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</si>
  <si>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</si>
  <si>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</si>
  <si>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</si>
  <si>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</si>
  <si>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</si>
  <si>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</si>
  <si>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</si>
  <si>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</si>
  <si>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</si>
  <si>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</si>
  <si>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</si>
  <si>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</si>
  <si>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</si>
  <si>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</si>
  <si>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</si>
  <si>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</si>
  <si>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</si>
  <si>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</si>
  <si>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</si>
  <si>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</si>
  <si>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</si>
  <si>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</si>
  <si>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</si>
  <si>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</si>
  <si>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</si>
  <si>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</si>
  <si>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</si>
  <si>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</si>
  <si>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</si>
  <si>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</si>
  <si>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</si>
  <si>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</si>
  <si>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</si>
  <si>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</si>
  <si>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</si>
  <si>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</si>
  <si>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</si>
  <si>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</si>
  <si>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</si>
  <si>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</si>
  <si>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</si>
  <si>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</si>
  <si>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</si>
  <si>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</si>
  <si>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</si>
  <si>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</si>
  <si>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</si>
  <si>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</si>
  <si>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</si>
  <si>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</si>
  <si>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</si>
  <si>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</si>
  <si>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</si>
  <si>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</si>
  <si>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</si>
  <si>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</si>
  <si>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</si>
  <si>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</si>
  <si>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</si>
  <si>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</si>
  <si>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</si>
  <si>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</si>
  <si>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</si>
  <si>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</si>
  <si>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</si>
  <si>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</si>
  <si>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</si>
  <si>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</si>
  <si>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</si>
  <si>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</si>
  <si>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</si>
  <si>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</si>
  <si>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</si>
  <si>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</si>
  <si>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</si>
  <si>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</si>
  <si>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</si>
  <si>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</si>
  <si>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</si>
  <si>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</si>
  <si>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</si>
  <si>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</si>
  <si>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</si>
  <si>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</si>
  <si>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</si>
  <si>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</si>
  <si>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</si>
  <si>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</si>
  <si>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</si>
  <si>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</si>
  <si>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</si>
  <si>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</si>
  <si>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</si>
  <si>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</si>
  <si>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</si>
  <si>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</si>
  <si>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</si>
  <si>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</si>
  <si>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</si>
  <si>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</si>
  <si>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</si>
  <si>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</si>
  <si>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</si>
  <si>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</si>
  <si>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</si>
  <si>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</si>
  <si>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</si>
  <si>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</si>
  <si>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</si>
  <si>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</si>
  <si>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</si>
  <si>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</si>
  <si>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</si>
  <si>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</si>
  <si>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</si>
  <si>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</si>
  <si>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</si>
  <si>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</si>
  <si>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</si>
  <si>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</si>
  <si>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</si>
  <si>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</si>
  <si>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</si>
  <si>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</si>
  <si>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</si>
  <si>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</si>
  <si>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</si>
  <si>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</si>
  <si>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</si>
  <si>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</si>
  <si>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</si>
  <si>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</si>
  <si>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</si>
  <si>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</si>
  <si>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</si>
  <si>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</si>
  <si>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</si>
  <si>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</si>
  <si>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</si>
  <si>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</si>
  <si>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</si>
  <si>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</si>
  <si>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</si>
  <si>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</si>
  <si>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</si>
  <si>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</si>
  <si>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</si>
  <si>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</si>
  <si>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</si>
  <si>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</si>
  <si>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</si>
  <si>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</si>
  <si>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</si>
  <si>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</si>
  <si>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</si>
  <si>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</si>
  <si>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</si>
  <si>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</si>
  <si>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</si>
  <si>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</si>
  <si>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</si>
  <si>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</si>
  <si>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</si>
  <si>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</si>
  <si>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</si>
  <si>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</si>
  <si>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</si>
  <si>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</si>
  <si>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</si>
  <si>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</si>
  <si>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</si>
  <si>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</si>
  <si>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</si>
  <si>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</si>
  <si>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</si>
  <si>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</si>
  <si>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</si>
  <si>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</si>
  <si>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</si>
  <si>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</si>
  <si>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</si>
  <si>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</si>
  <si>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</si>
  <si>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</si>
  <si>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</si>
  <si>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</si>
  <si>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</si>
  <si>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</si>
  <si>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</si>
  <si>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</si>
  <si>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</si>
  <si>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</si>
  <si>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</si>
  <si>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</si>
  <si>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</si>
  <si>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</si>
  <si>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</si>
  <si>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</si>
  <si>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</si>
  <si>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</si>
  <si>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</si>
  <si>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</si>
  <si>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</si>
  <si>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</si>
  <si>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</si>
  <si>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</si>
  <si>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</si>
  <si>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</si>
  <si>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</si>
  <si>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</si>
  <si>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</si>
  <si>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</si>
  <si>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</si>
  <si>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</si>
  <si>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</si>
  <si>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</si>
  <si>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</si>
  <si>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</si>
  <si>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</si>
  <si>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</si>
  <si>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</si>
  <si>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</si>
  <si>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</si>
  <si>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</si>
  <si>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</si>
  <si>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</si>
  <si>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</si>
  <si>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</si>
  <si>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</si>
  <si>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</si>
  <si>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</si>
  <si>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</si>
  <si>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</si>
  <si>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</si>
  <si>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</si>
  <si>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</si>
  <si>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</si>
  <si>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</si>
  <si>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</si>
  <si>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</si>
  <si>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</si>
  <si>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</si>
  <si>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</si>
  <si>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</si>
  <si>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</si>
  <si>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</si>
  <si>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</si>
  <si>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</si>
  <si>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</si>
  <si>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</si>
  <si>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</si>
  <si>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</si>
  <si>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</si>
  <si>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</si>
  <si>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</si>
  <si>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</si>
  <si>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</si>
  <si>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</si>
  <si>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</si>
  <si>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</si>
  <si>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</si>
  <si>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</si>
  <si>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</si>
  <si>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</si>
  <si>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</si>
  <si>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</si>
  <si>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</si>
  <si>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</si>
  <si>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</si>
  <si>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</si>
  <si>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</si>
  <si>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</si>
  <si>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</si>
  <si>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</si>
  <si>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</si>
  <si>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</si>
  <si>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</si>
  <si>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</si>
  <si>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</si>
  <si>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</si>
  <si>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</si>
  <si>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</si>
  <si>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</si>
  <si>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</si>
  <si>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</si>
  <si>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</si>
  <si>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</si>
  <si>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</si>
  <si>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</si>
  <si>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</si>
  <si>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</si>
  <si>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</si>
  <si>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</si>
  <si>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</si>
  <si>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</si>
  <si>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</si>
  <si>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</si>
  <si>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</si>
  <si>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</si>
  <si>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</si>
  <si>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</si>
  <si>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</si>
  <si>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</si>
  <si>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</si>
  <si>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</si>
  <si>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</si>
  <si>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</si>
  <si>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</si>
  <si>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</si>
  <si>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</si>
  <si>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</si>
  <si>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</si>
  <si>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</si>
  <si>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</si>
  <si>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</si>
  <si>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</si>
  <si>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</si>
  <si>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</si>
  <si>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</si>
  <si>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</si>
  <si>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</si>
  <si>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</si>
  <si>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</si>
  <si>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</si>
  <si>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</si>
  <si>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</si>
  <si>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</si>
  <si>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</si>
  <si>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</si>
  <si>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</si>
  <si>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</si>
  <si>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</si>
  <si>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</si>
  <si>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</si>
  <si>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</si>
  <si>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</si>
  <si>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</si>
  <si>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</si>
  <si>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</si>
  <si>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</si>
  <si>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</si>
  <si>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</si>
  <si>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</si>
  <si>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</si>
  <si>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</si>
  <si>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</si>
  <si>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</si>
  <si>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</si>
  <si>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</si>
  <si>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</si>
  <si>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</si>
  <si>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</si>
  <si>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</si>
  <si>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</si>
  <si>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</si>
  <si>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</si>
  <si>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</si>
  <si>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</si>
  <si>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</si>
  <si>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</si>
  <si>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</si>
  <si>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</si>
  <si>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</si>
  <si>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</si>
  <si>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</si>
  <si>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</si>
  <si>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</si>
  <si>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</si>
  <si>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</si>
  <si>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</si>
  <si>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</si>
  <si>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</si>
  <si>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</si>
  <si>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</si>
  <si>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</si>
  <si>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</si>
  <si>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</si>
  <si>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</si>
  <si>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</si>
  <si>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</si>
  <si>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</si>
  <si>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</si>
  <si>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</si>
  <si>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</si>
  <si>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</si>
  <si>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</si>
  <si>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</si>
  <si>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</si>
  <si>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</si>
  <si>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</si>
  <si>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</si>
  <si>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</si>
  <si>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</si>
  <si>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</si>
  <si>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</si>
  <si>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</si>
  <si>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</si>
  <si>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</si>
  <si>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</si>
  <si>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</si>
  <si>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</si>
  <si>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</si>
  <si>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</si>
  <si>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</si>
  <si>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</si>
  <si>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</si>
  <si>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</si>
  <si>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</si>
  <si>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</si>
  <si>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</si>
  <si>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</si>
  <si>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</si>
  <si>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</si>
  <si>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</si>
  <si>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</si>
  <si>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</si>
  <si>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</si>
  <si>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</si>
  <si>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</si>
  <si>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</si>
  <si>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</si>
  <si>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</si>
  <si>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</si>
  <si>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</si>
  <si>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</si>
  <si>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</si>
  <si>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</si>
  <si>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</si>
  <si>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</si>
  <si>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</si>
  <si>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</si>
  <si>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</si>
  <si>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</si>
  <si>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</si>
  <si>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</si>
  <si>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</si>
  <si>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</si>
  <si>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</si>
  <si>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</si>
  <si>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</si>
  <si>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</si>
  <si>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</si>
  <si>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</si>
  <si>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</si>
  <si>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</si>
  <si>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</si>
  <si>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</si>
  <si>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</si>
  <si>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</si>
  <si>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</si>
  <si>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</si>
  <si>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</si>
  <si>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</si>
  <si>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</si>
  <si>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</si>
  <si>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</si>
  <si>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</si>
  <si>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</si>
  <si>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</si>
  <si>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</si>
  <si>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</si>
  <si>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</si>
  <si>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</si>
  <si>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</si>
  <si>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</si>
  <si>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</si>
  <si>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</si>
  <si>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</si>
  <si>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</si>
  <si>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</si>
  <si>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</si>
  <si>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</si>
  <si>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</si>
  <si>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</si>
  <si>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</si>
  <si>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</si>
  <si>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</si>
  <si>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</si>
  <si>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</si>
  <si>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</si>
  <si>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</si>
  <si>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</si>
  <si>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</si>
  <si>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</si>
  <si>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</si>
  <si>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</si>
  <si>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</si>
  <si>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</si>
  <si>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</si>
  <si>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</si>
  <si>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</si>
  <si>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</si>
  <si>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</si>
  <si>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</si>
  <si>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</si>
  <si>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</si>
  <si>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</si>
  <si>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</si>
  <si>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</si>
  <si>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</si>
  <si>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</si>
  <si>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</si>
  <si>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</si>
  <si>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</si>
  <si>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</si>
  <si>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</si>
  <si>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</si>
  <si>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</si>
  <si>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</si>
  <si>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</si>
  <si>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</si>
  <si>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</si>
  <si>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</si>
  <si>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</si>
  <si>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</si>
  <si>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</si>
  <si>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</si>
  <si>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</si>
  <si>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</si>
  <si>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</si>
  <si>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</si>
  <si>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</si>
  <si>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</si>
  <si>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</si>
  <si>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</si>
  <si>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</si>
  <si>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</si>
  <si>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</si>
  <si>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</si>
  <si>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</si>
  <si>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</si>
  <si>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</si>
  <si>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</si>
  <si>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</si>
  <si>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</si>
  <si>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</si>
  <si>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</si>
  <si>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</si>
  <si>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</si>
  <si>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</si>
  <si>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</si>
  <si>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</si>
  <si>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</si>
  <si>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</si>
  <si>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</si>
  <si>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</si>
  <si>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</si>
  <si>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</si>
  <si>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</si>
  <si>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</si>
  <si>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</si>
  <si>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</si>
  <si>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</si>
  <si>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</si>
  <si>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</si>
  <si>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</si>
  <si>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</si>
  <si>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</si>
  <si>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</si>
  <si>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</si>
  <si>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</si>
  <si>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</si>
  <si>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</si>
  <si>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</si>
  <si>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</si>
  <si>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</si>
  <si>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</si>
  <si>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</si>
  <si>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</si>
  <si>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</si>
  <si>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</si>
  <si>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</si>
  <si>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</si>
  <si>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</si>
  <si>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</si>
  <si>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</si>
  <si>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</si>
  <si>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</si>
  <si>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</si>
  <si>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</si>
  <si>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</si>
  <si>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</si>
  <si>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</si>
  <si>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</si>
  <si>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</si>
  <si>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</si>
  <si>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</si>
  <si>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</si>
  <si>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</si>
  <si>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</si>
  <si>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</si>
  <si>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</si>
  <si>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</si>
  <si>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</si>
  <si>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</si>
  <si>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</si>
  <si>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</si>
  <si>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</si>
  <si>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</si>
  <si>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</si>
  <si>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</si>
  <si>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</si>
  <si>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</si>
  <si>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</si>
  <si>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</si>
  <si>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</si>
  <si>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</si>
  <si>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</si>
  <si>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</si>
  <si>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</si>
  <si>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</si>
  <si>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</si>
  <si>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</si>
  <si>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</si>
  <si>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</si>
  <si>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</si>
  <si>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</si>
  <si>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</si>
  <si>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</si>
  <si>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</si>
  <si>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</si>
  <si>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</si>
  <si>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</si>
  <si>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</si>
  <si>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</si>
  <si>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</si>
  <si>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</si>
  <si>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</si>
  <si>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</si>
  <si>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</si>
  <si>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</si>
  <si>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</si>
  <si>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</si>
  <si>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</si>
  <si>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</si>
  <si>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</si>
  <si>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</si>
  <si>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</si>
  <si>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</si>
  <si>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</si>
  <si>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</si>
  <si>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</si>
  <si>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</si>
  <si>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</si>
  <si>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</si>
  <si>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</si>
  <si>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</si>
  <si>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</si>
  <si>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</si>
  <si>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</si>
  <si>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</si>
  <si>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</si>
  <si>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</si>
  <si>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</si>
  <si>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</si>
  <si>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</si>
  <si>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</si>
  <si>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</si>
  <si>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</si>
  <si>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</si>
  <si>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</si>
  <si>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</si>
  <si>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</si>
  <si>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</si>
  <si>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</si>
  <si>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</si>
  <si>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</si>
  <si>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</si>
  <si>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</si>
  <si>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</si>
  <si>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</si>
  <si>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</si>
  <si>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</si>
  <si>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</si>
  <si>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</si>
  <si>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</si>
  <si>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</si>
  <si>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</si>
  <si>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</si>
  <si>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</si>
  <si>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</si>
  <si>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</si>
  <si>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</si>
  <si>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</si>
  <si>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</si>
  <si>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</si>
  <si>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</si>
  <si>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</si>
  <si>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</si>
  <si>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</si>
  <si>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</si>
  <si>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</si>
  <si>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</si>
  <si>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</si>
  <si>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</si>
  <si>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</si>
  <si>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</si>
  <si>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</si>
  <si>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</si>
  <si>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</si>
  <si>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</si>
  <si>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</si>
  <si>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</si>
  <si>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</si>
  <si>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</si>
  <si>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</si>
  <si>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</si>
  <si>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</si>
  <si>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</si>
  <si>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</si>
  <si>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</si>
  <si>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</si>
  <si>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</si>
  <si>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</si>
  <si>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</si>
  <si>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</si>
  <si>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</si>
  <si>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</si>
  <si>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</si>
  <si>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</si>
  <si>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</si>
  <si>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</si>
  <si>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</si>
  <si>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</si>
  <si>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</si>
  <si>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</si>
  <si>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</si>
  <si>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</si>
  <si>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</si>
  <si>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</si>
  <si>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</si>
  <si>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</si>
  <si>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</si>
  <si>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</si>
  <si>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</si>
  <si>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</si>
  <si>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</si>
  <si>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</si>
  <si>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</si>
  <si>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</si>
  <si>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</si>
  <si>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</si>
  <si>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</si>
  <si>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</si>
  <si>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</si>
  <si>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</si>
  <si>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</si>
  <si>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</si>
  <si>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</si>
  <si>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</si>
  <si>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</si>
  <si>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</si>
  <si>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</si>
  <si>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</si>
  <si>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</si>
  <si>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</si>
  <si>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</si>
  <si>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</si>
  <si>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</si>
  <si>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</si>
  <si>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</si>
  <si>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</si>
  <si>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</si>
  <si>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</si>
  <si>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</si>
  <si>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</si>
  <si>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</si>
  <si>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</si>
  <si>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</si>
  <si>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</si>
  <si>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</si>
  <si>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</si>
  <si>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</si>
  <si>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</si>
  <si>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</si>
  <si>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</si>
  <si>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</si>
  <si>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</si>
  <si>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</si>
  <si>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</si>
  <si>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</si>
  <si>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</si>
  <si>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</si>
  <si>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</si>
  <si>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</si>
  <si>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</si>
  <si>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</si>
  <si>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</si>
  <si>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</si>
  <si>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</si>
  <si>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</si>
  <si>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</si>
  <si>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</si>
  <si>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</si>
  <si>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</si>
  <si>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</si>
  <si>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</si>
  <si>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</si>
  <si>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</si>
  <si>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</si>
  <si>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</si>
  <si>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</si>
  <si>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</si>
  <si>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</si>
  <si>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</si>
  <si>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</si>
  <si>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</si>
  <si>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</si>
  <si>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</si>
  <si>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</si>
  <si>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</si>
  <si>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</si>
  <si>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</si>
  <si>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</si>
  <si>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</si>
  <si>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</si>
  <si>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</si>
  <si>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</si>
  <si>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</si>
  <si>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</si>
  <si>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</si>
  <si>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</si>
  <si>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</si>
  <si>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</si>
  <si>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</si>
  <si>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</si>
  <si>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</si>
  <si>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</si>
  <si>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</si>
  <si>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</si>
  <si>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</si>
  <si>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</si>
  <si>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</si>
  <si>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</si>
  <si>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</si>
  <si>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</si>
  <si>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</si>
  <si>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</si>
  <si>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</si>
  <si>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</si>
  <si>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</si>
  <si>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</si>
  <si>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</si>
  <si>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</si>
  <si>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</si>
  <si>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</si>
  <si>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</si>
  <si>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</si>
  <si>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</si>
  <si>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</si>
  <si>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</si>
  <si>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</si>
  <si>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</si>
  <si>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</si>
  <si>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</si>
  <si>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</si>
  <si>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</si>
  <si>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</si>
  <si>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</si>
  <si>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</si>
  <si>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</si>
  <si>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</si>
  <si>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</si>
  <si>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</si>
  <si>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</si>
  <si>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</si>
  <si>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</si>
  <si>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</si>
  <si>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</si>
  <si>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</si>
  <si>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</si>
  <si>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</si>
  <si>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</si>
  <si>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</si>
  <si>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</si>
  <si>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</si>
  <si>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</si>
  <si>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</si>
  <si>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</si>
  <si>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</si>
  <si>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</si>
  <si>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</si>
  <si>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</si>
  <si>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</si>
  <si>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</si>
  <si>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</si>
  <si>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</si>
  <si>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</si>
  <si>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</si>
  <si>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</si>
  <si>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</si>
  <si>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</si>
  <si>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</si>
  <si>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</si>
  <si>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</si>
  <si>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</si>
  <si>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</si>
  <si>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</si>
  <si>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</si>
  <si>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</si>
  <si>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</si>
  <si>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</si>
  <si>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</si>
  <si>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</si>
  <si>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</si>
  <si>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</si>
  <si>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</si>
  <si>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</si>
  <si>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</si>
  <si>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</si>
  <si>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</si>
  <si>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</si>
  <si>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</si>
  <si>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</si>
  <si>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</si>
  <si>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</si>
  <si>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</si>
  <si>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</si>
  <si>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</si>
  <si>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</si>
  <si>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</si>
  <si>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</si>
  <si>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</si>
  <si>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</si>
  <si>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</si>
  <si>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</si>
  <si>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</si>
  <si>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</si>
  <si>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</si>
  <si>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</si>
  <si>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</si>
  <si>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</si>
  <si>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</si>
  <si>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</si>
  <si>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</si>
  <si>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</si>
  <si>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</si>
  <si>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</si>
  <si>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</si>
  <si>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</si>
  <si>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</si>
  <si>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</si>
  <si>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</si>
  <si>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</si>
  <si>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</si>
  <si>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</si>
  <si>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</si>
  <si>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</si>
  <si>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</si>
  <si>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</si>
  <si>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</si>
  <si>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</si>
  <si>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</si>
  <si>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</si>
  <si>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</si>
  <si>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</si>
  <si>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</si>
  <si>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</si>
  <si>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</si>
  <si>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</si>
  <si>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</si>
  <si>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</si>
  <si>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</si>
  <si>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</si>
  <si>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</si>
  <si>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</si>
  <si>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</si>
  <si>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</si>
  <si>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</si>
  <si>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</si>
  <si>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</si>
  <si>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</si>
  <si>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</si>
  <si>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</si>
  <si>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</si>
  <si>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</si>
  <si>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</si>
  <si>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</si>
  <si>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</si>
  <si>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</si>
  <si>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</si>
  <si>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</si>
  <si>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</si>
  <si>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</si>
  <si>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</si>
  <si>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</si>
  <si>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</si>
  <si>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</si>
  <si>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</si>
  <si>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</si>
  <si>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</si>
  <si>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</si>
  <si>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</si>
  <si>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</si>
  <si>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</si>
  <si>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</si>
  <si>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</si>
  <si>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</si>
  <si>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</si>
  <si>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</si>
  <si>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</si>
  <si>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</si>
  <si>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</si>
  <si>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</si>
  <si>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</si>
  <si>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</si>
  <si>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</si>
  <si>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</si>
  <si>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</si>
  <si>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</si>
  <si>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</si>
  <si>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</si>
  <si>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</si>
  <si>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</si>
  <si>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</si>
  <si>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</si>
  <si>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</si>
  <si>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</si>
  <si>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</si>
  <si>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</si>
  <si>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</si>
  <si>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</si>
  <si>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</si>
  <si>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</si>
  <si>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</si>
  <si>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</si>
  <si>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</si>
  <si>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</si>
  <si>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</si>
  <si>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</si>
  <si>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</si>
  <si>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</si>
  <si>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</si>
  <si>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</si>
  <si>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</si>
  <si>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</si>
  <si>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</si>
  <si>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</si>
  <si>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</si>
  <si>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</si>
  <si>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</si>
  <si>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</si>
  <si>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</si>
  <si>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</si>
  <si>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</si>
  <si>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</si>
  <si>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</si>
  <si>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</si>
  <si>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</si>
  <si>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</si>
  <si>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</si>
  <si>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</si>
  <si>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</si>
  <si>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</si>
  <si>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</si>
  <si>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</si>
  <si>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</si>
  <si>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</si>
  <si>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</si>
  <si>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</si>
  <si>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</si>
  <si>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</si>
  <si>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</si>
  <si>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</si>
  <si>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</si>
  <si>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</si>
  <si>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</si>
  <si>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</si>
  <si>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</si>
  <si>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</si>
  <si>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</si>
  <si>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</si>
  <si>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</si>
  <si>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</si>
  <si>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</si>
  <si>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</si>
  <si>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</si>
  <si>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</si>
  <si>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</si>
  <si>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</si>
  <si>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</si>
  <si>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</si>
  <si>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</si>
  <si>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</si>
  <si>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</si>
  <si>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</si>
  <si>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</si>
  <si>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</si>
  <si>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</si>
  <si>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</si>
  <si>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</si>
  <si>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</si>
  <si>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</si>
  <si>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</si>
  <si>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</si>
  <si>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</si>
  <si>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</si>
  <si>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</si>
  <si>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</si>
  <si>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</si>
  <si>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</si>
  <si>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</si>
  <si>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</si>
  <si>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</si>
  <si>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</si>
  <si>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</si>
  <si>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</si>
  <si>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</si>
  <si>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</si>
  <si>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</si>
  <si>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</si>
  <si>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</si>
  <si>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</si>
  <si>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</si>
  <si>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</si>
  <si>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</si>
  <si>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</si>
  <si>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</si>
  <si>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</si>
  <si>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</si>
  <si>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</si>
  <si>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</si>
  <si>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</si>
  <si>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</si>
  <si>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</si>
  <si>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</si>
  <si>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</si>
  <si>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</si>
  <si>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</si>
  <si>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</si>
  <si>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</si>
  <si>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</si>
  <si>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</si>
  <si>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</si>
  <si>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</si>
  <si>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</si>
  <si>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</si>
  <si>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</si>
  <si>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</si>
  <si>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</si>
  <si>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</si>
  <si>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</si>
  <si>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</si>
  <si>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</si>
  <si>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</si>
  <si>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</si>
  <si>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</si>
  <si>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</si>
  <si>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</si>
  <si>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</si>
  <si>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</si>
  <si>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</si>
  <si>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</si>
  <si>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</si>
  <si>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</si>
  <si>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</si>
  <si>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</si>
  <si>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</si>
  <si>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</si>
  <si>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</si>
  <si>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</si>
  <si>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</si>
  <si>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</si>
  <si>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</si>
  <si>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</si>
  <si>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</si>
  <si>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</si>
  <si>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</si>
  <si>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</si>
  <si>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</si>
  <si>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</si>
  <si>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</si>
  <si>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</si>
  <si>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</si>
  <si>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</si>
  <si>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</si>
  <si>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</si>
  <si>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</si>
  <si>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</si>
  <si>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</si>
  <si>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</si>
  <si>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</si>
  <si>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</si>
  <si>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</si>
  <si>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</si>
  <si>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</si>
  <si>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</si>
  <si>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</si>
  <si>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</si>
  <si>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</si>
  <si>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</si>
  <si>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</si>
  <si>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</si>
  <si>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</si>
  <si>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</si>
  <si>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</si>
  <si>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</si>
  <si>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</si>
  <si>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</si>
  <si>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</si>
  <si>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</si>
  <si>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</si>
  <si>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</si>
  <si>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</si>
  <si>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</si>
  <si>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</si>
  <si>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</si>
  <si>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</si>
  <si>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</si>
  <si>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</si>
  <si>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</si>
  <si>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</si>
  <si>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</si>
  <si>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</si>
  <si>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</si>
  <si>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</si>
  <si>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</si>
  <si>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</si>
  <si>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</si>
  <si>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</si>
  <si>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</si>
  <si>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</si>
  <si>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</si>
  <si>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</si>
  <si>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</si>
  <si>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</si>
  <si>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</si>
  <si>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</si>
  <si>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</si>
  <si>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</si>
  <si>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</si>
  <si>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</si>
  <si>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</si>
  <si>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</si>
  <si>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</si>
  <si>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</si>
  <si>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</si>
  <si>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</si>
  <si>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</si>
  <si>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</si>
  <si>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</si>
  <si>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</si>
  <si>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</si>
  <si>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</si>
  <si>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</si>
  <si>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</si>
  <si>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</si>
  <si>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</si>
  <si>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</si>
  <si>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</si>
  <si>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</si>
  <si>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</si>
  <si>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</si>
  <si>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</si>
  <si>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</si>
  <si>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</si>
  <si>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</si>
  <si>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</si>
  <si>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</si>
  <si>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</si>
  <si>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</si>
  <si>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</si>
  <si>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</si>
  <si>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</si>
  <si>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</si>
  <si>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</si>
  <si>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</si>
  <si>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</si>
  <si>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</si>
  <si>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</si>
  <si>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</si>
  <si>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</si>
  <si>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</si>
  <si>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</si>
  <si>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</si>
  <si>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</si>
  <si>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</si>
  <si>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</si>
  <si>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</si>
  <si>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</si>
  <si>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</si>
  <si>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</si>
  <si>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</si>
  <si>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</si>
  <si>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</si>
  <si>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</si>
  <si>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</si>
  <si>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</si>
  <si>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</si>
  <si>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</si>
  <si>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</si>
  <si>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</si>
  <si>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</si>
  <si>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</si>
  <si>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</si>
  <si>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</si>
  <si>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</si>
  <si>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</si>
  <si>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</si>
  <si>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</si>
  <si>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</si>
  <si>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</si>
  <si>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</si>
  <si>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</si>
  <si>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</si>
  <si>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</si>
  <si>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</si>
  <si>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</si>
  <si>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</si>
  <si>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</si>
  <si>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</si>
  <si>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</si>
  <si>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</si>
  <si>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</si>
  <si>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</si>
  <si>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</si>
  <si>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</si>
  <si>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</si>
  <si>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</si>
  <si>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</si>
  <si>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</si>
  <si>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</si>
  <si>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</si>
  <si>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</si>
  <si>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</si>
  <si>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</si>
  <si>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</si>
  <si>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</si>
  <si>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</si>
  <si>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</si>
  <si>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</si>
  <si>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</si>
  <si>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</si>
  <si>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</si>
  <si>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</si>
  <si>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</si>
  <si>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</si>
  <si>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</si>
  <si>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</si>
  <si>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</si>
  <si>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</si>
  <si>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</si>
  <si>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</si>
  <si>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</si>
  <si>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</si>
  <si>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</si>
  <si>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</si>
  <si>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</si>
  <si>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</si>
  <si>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</si>
  <si>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</si>
  <si>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</si>
  <si>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</si>
  <si>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</si>
  <si>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</si>
  <si>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</si>
  <si>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</si>
  <si>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</si>
  <si>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</si>
  <si>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</si>
  <si>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</si>
  <si>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</si>
  <si>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</si>
  <si>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</si>
  <si>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</si>
  <si>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</si>
  <si>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</si>
  <si>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</si>
  <si>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</si>
  <si>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</si>
  <si>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</si>
  <si>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</si>
  <si>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</si>
  <si>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</si>
  <si>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</si>
  <si>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</si>
  <si>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</si>
  <si>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</si>
  <si>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</si>
  <si>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</si>
  <si>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</si>
  <si>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</si>
  <si>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</si>
  <si>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</si>
  <si>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</si>
  <si>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</si>
  <si>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</si>
  <si>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</si>
  <si>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</si>
  <si>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</si>
  <si>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</si>
  <si>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</si>
  <si>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</si>
  <si>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</si>
  <si>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</si>
  <si>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</si>
  <si>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</si>
  <si>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</si>
  <si>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</si>
  <si>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</si>
  <si>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</si>
  <si>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</si>
  <si>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</si>
  <si>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</si>
  <si>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</si>
  <si>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</si>
  <si>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</si>
  <si>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</si>
  <si>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</si>
  <si>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</si>
  <si>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</si>
  <si>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</si>
  <si>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</si>
  <si>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</si>
  <si>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</si>
  <si>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</si>
  <si>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</si>
  <si>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</si>
  <si>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</si>
  <si>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</si>
  <si>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</si>
  <si>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</si>
  <si>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</si>
  <si>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</si>
  <si>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</si>
  <si>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</si>
  <si>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</si>
  <si>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</si>
  <si>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</si>
  <si>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</si>
  <si>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</si>
  <si>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</si>
  <si>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</si>
  <si>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</si>
  <si>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</si>
  <si>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</si>
  <si>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</si>
  <si>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</si>
  <si>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</si>
  <si>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</si>
  <si>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</si>
  <si>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</si>
  <si>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</si>
  <si>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</si>
  <si>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</si>
  <si>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</si>
  <si>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</si>
  <si>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</si>
  <si>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</si>
  <si>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</si>
  <si>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</si>
  <si>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</si>
  <si>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</si>
  <si>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</si>
  <si>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</si>
  <si>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</si>
  <si>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</si>
  <si>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</si>
  <si>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</si>
  <si>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</si>
  <si>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</si>
  <si>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</si>
  <si>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</si>
  <si>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</si>
  <si>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</si>
  <si>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</si>
  <si>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</si>
  <si>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</si>
  <si>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</si>
  <si>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</si>
  <si>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</si>
  <si>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</si>
  <si>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</si>
  <si>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</si>
  <si>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</si>
  <si>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</si>
  <si>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</si>
  <si>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</si>
  <si>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</si>
  <si>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</si>
  <si>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</si>
  <si>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</si>
  <si>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</si>
  <si>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</si>
  <si>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</si>
  <si>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</si>
  <si>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</si>
  <si>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</si>
  <si>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</si>
  <si>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</si>
  <si>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</si>
  <si>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</si>
  <si>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</si>
  <si>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</si>
  <si>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</si>
  <si>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</si>
  <si>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</si>
  <si>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</si>
  <si>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</si>
  <si>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</si>
  <si>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</si>
  <si>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</si>
  <si>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</si>
  <si>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</si>
  <si>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</si>
  <si>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</si>
  <si>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</si>
  <si>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</si>
  <si>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</si>
  <si>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</si>
  <si>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</si>
  <si>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</si>
  <si>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</si>
  <si>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</si>
  <si>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</si>
  <si>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</si>
  <si>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</si>
  <si>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</si>
  <si>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</si>
  <si>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</si>
  <si>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</si>
  <si>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</si>
  <si>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</si>
  <si>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</si>
  <si>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</si>
  <si>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</si>
  <si>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</si>
  <si>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</si>
  <si>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</si>
  <si>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</si>
  <si>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</si>
  <si>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</si>
  <si>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</si>
  <si>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</si>
  <si>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</si>
  <si>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</si>
  <si>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</si>
  <si>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</si>
  <si>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</si>
  <si>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</si>
  <si>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</si>
  <si>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</si>
  <si>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</si>
  <si>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</si>
  <si>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</si>
  <si>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</si>
  <si>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</si>
  <si>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</si>
  <si>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</si>
  <si>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</si>
  <si>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</si>
  <si>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</si>
  <si>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</si>
  <si>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</si>
  <si>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</si>
  <si>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</si>
  <si>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</si>
  <si>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</si>
  <si>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</si>
  <si>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</si>
  <si>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</si>
  <si>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</si>
  <si>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</si>
  <si>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</si>
  <si>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</si>
  <si>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</si>
  <si>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</si>
  <si>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</si>
  <si>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</si>
  <si>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</si>
  <si>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</si>
  <si>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</si>
  <si>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</si>
  <si>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</si>
  <si>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</si>
  <si>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</si>
  <si>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</si>
  <si>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</si>
  <si>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</si>
  <si>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</si>
  <si>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</si>
  <si>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</si>
  <si>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</si>
  <si>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</si>
  <si>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</si>
  <si>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</si>
  <si>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</si>
  <si>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</si>
  <si>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</si>
  <si>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</si>
  <si>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</si>
  <si>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</si>
  <si>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</si>
  <si>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</si>
  <si>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</si>
  <si>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</si>
  <si>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</si>
  <si>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</si>
  <si>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</si>
  <si>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</si>
  <si>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</si>
  <si>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</si>
  <si>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</si>
  <si>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</si>
  <si>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</si>
  <si>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</si>
  <si>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</si>
  <si>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</si>
  <si>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</si>
  <si>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</si>
  <si>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</si>
  <si>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</si>
  <si>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</si>
  <si>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</si>
  <si>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</si>
  <si>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</si>
  <si>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</si>
  <si>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</si>
  <si>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</si>
  <si>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</si>
  <si>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</si>
  <si>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</si>
  <si>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</si>
  <si>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</si>
  <si>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</si>
  <si>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</si>
  <si>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</si>
  <si>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</si>
  <si>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</si>
  <si>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</si>
  <si>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</si>
  <si>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</si>
  <si>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</si>
  <si>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</si>
  <si>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</si>
  <si>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</si>
  <si>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</si>
  <si>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</si>
  <si>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</si>
  <si>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</si>
  <si>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</si>
  <si>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</si>
  <si>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</si>
  <si>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</si>
  <si>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</si>
  <si>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</si>
  <si>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</si>
  <si>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</si>
  <si>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</si>
  <si>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</si>
  <si>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</si>
  <si>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</si>
  <si>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</si>
  <si>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</si>
  <si>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</si>
  <si>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</si>
  <si>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</si>
  <si>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</si>
  <si>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</si>
  <si>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</si>
  <si>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</si>
  <si>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</si>
  <si>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</si>
  <si>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</si>
  <si>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</si>
  <si>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</si>
  <si>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</si>
  <si>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</si>
  <si>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</si>
  <si>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</si>
  <si>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</si>
  <si>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</si>
  <si>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</si>
  <si>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</si>
  <si>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</si>
  <si>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</si>
  <si>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</si>
  <si>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</si>
  <si>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</si>
  <si>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</si>
  <si>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</si>
  <si>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</si>
  <si>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</si>
  <si>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</si>
  <si>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</si>
  <si>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</si>
  <si>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</si>
  <si>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</si>
  <si>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</si>
  <si>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</si>
  <si>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</si>
  <si>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</si>
  <si>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</si>
  <si>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</si>
  <si>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</si>
  <si>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</si>
  <si>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</si>
  <si>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</si>
  <si>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</si>
  <si>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</si>
  <si>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</si>
  <si>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</si>
  <si>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</si>
  <si>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</si>
  <si>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</si>
  <si>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</si>
  <si>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</si>
  <si>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</si>
  <si>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</si>
  <si>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</si>
  <si>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</si>
  <si>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</si>
  <si>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</si>
  <si>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</si>
  <si>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</si>
  <si>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</si>
  <si>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</si>
  <si>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</si>
  <si>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</si>
  <si>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</si>
  <si>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</si>
  <si>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</si>
  <si>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</si>
  <si>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</si>
  <si>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</si>
  <si>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</si>
  <si>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</si>
  <si>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</si>
  <si>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</si>
  <si>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</si>
  <si>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</si>
  <si>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</si>
  <si>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</si>
  <si>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</si>
  <si>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</si>
  <si>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</si>
  <si>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</si>
  <si>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</si>
  <si>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</si>
  <si>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</si>
  <si>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</si>
  <si>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</si>
  <si>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</si>
  <si>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</si>
  <si>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</si>
  <si>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</si>
  <si>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</si>
  <si>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</si>
  <si>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</si>
  <si>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</si>
  <si>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</si>
  <si>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</si>
  <si>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</si>
  <si>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</si>
  <si>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</si>
  <si>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</si>
  <si>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</si>
  <si>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</si>
  <si>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</si>
  <si>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</si>
  <si>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</si>
  <si>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</si>
  <si>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</si>
  <si>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</si>
  <si>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</si>
  <si>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</si>
  <si>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</si>
  <si>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</si>
  <si>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</si>
  <si>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</si>
  <si>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</si>
  <si>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</si>
  <si>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</si>
  <si>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</si>
  <si>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</si>
  <si>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</si>
  <si>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</si>
  <si>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</si>
  <si>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</si>
  <si>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</si>
  <si>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</si>
  <si>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</si>
  <si>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</si>
  <si>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</si>
  <si>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</si>
  <si>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</si>
  <si>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</si>
  <si>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</si>
  <si>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</si>
  <si>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</si>
  <si>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</si>
  <si>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</si>
  <si>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</si>
  <si>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</si>
  <si>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</si>
  <si>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</si>
  <si>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</si>
  <si>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</si>
  <si>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</si>
  <si>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</si>
  <si>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</si>
  <si>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</si>
  <si>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</si>
  <si>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</si>
  <si>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</si>
  <si>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</si>
  <si>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</si>
  <si>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</si>
  <si>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</si>
  <si>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</si>
  <si>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</si>
  <si>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</si>
  <si>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</si>
  <si>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</si>
  <si>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</si>
  <si>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</si>
  <si>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</si>
  <si>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</si>
  <si>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</si>
  <si>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</si>
  <si>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</si>
  <si>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</si>
  <si>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</si>
  <si>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</si>
  <si>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</si>
  <si>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</si>
  <si>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</si>
  <si>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</si>
  <si>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</si>
  <si>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</si>
  <si>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</si>
  <si>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</si>
  <si>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</si>
  <si>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</si>
  <si>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</si>
  <si>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</si>
  <si>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</si>
  <si>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</si>
  <si>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</si>
  <si>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</si>
  <si>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</si>
  <si>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</si>
  <si>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</si>
  <si>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</si>
  <si>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</si>
  <si>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</si>
  <si>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</si>
  <si>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</si>
  <si>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</si>
  <si>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</si>
  <si>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</si>
  <si>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</si>
  <si>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</si>
  <si>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</si>
  <si>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</si>
  <si>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</si>
  <si>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</si>
  <si>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</si>
  <si>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</si>
  <si>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</si>
  <si>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</si>
  <si>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</si>
  <si>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</si>
  <si>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</si>
  <si>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</si>
  <si>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</si>
  <si>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</si>
  <si>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</si>
  <si>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</si>
  <si>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</si>
  <si>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</si>
  <si>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</si>
  <si>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</si>
  <si>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</si>
  <si>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</si>
  <si>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</si>
  <si>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</si>
  <si>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</si>
  <si>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</si>
  <si>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</si>
  <si>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</si>
  <si>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</si>
  <si>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</si>
  <si>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</si>
  <si>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</si>
  <si>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</si>
  <si>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</si>
  <si>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</si>
  <si>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</si>
  <si>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</si>
  <si>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</si>
  <si>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</si>
  <si>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</si>
  <si>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</si>
  <si>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</si>
  <si>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</si>
  <si>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</si>
  <si>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</si>
  <si>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</si>
  <si>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</si>
  <si>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</si>
  <si>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</si>
  <si>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</si>
  <si>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</si>
  <si>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</si>
  <si>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</si>
  <si>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</si>
  <si>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</si>
  <si>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</si>
  <si>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</si>
  <si>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</si>
  <si>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</si>
  <si>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</si>
  <si>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</si>
  <si>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</si>
  <si>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</si>
  <si>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</si>
  <si>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</si>
  <si>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</si>
  <si>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</si>
  <si>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</si>
  <si>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</si>
  <si>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</si>
  <si>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</si>
  <si>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</si>
  <si>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</si>
  <si>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</si>
  <si>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</si>
  <si>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</si>
  <si>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</si>
  <si>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</si>
  <si>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</si>
  <si>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</si>
  <si>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</si>
  <si>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</si>
  <si>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</si>
  <si>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</si>
  <si>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</si>
  <si>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</si>
  <si>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</si>
  <si>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</si>
  <si>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</si>
  <si>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</si>
  <si>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</si>
  <si>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</si>
  <si>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</si>
  <si>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</si>
  <si>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</si>
  <si>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</si>
  <si>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</si>
  <si>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</si>
  <si>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</si>
  <si>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</si>
  <si>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</si>
  <si>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</si>
  <si>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</si>
  <si>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</si>
  <si>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</si>
  <si>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</si>
  <si>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</si>
  <si>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</si>
  <si>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</si>
  <si>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</si>
  <si>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</si>
  <si>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</si>
  <si>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</si>
  <si>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</si>
  <si>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</si>
  <si>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</si>
  <si>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</si>
  <si>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</si>
  <si>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</si>
  <si>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</si>
  <si>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</si>
  <si>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</si>
  <si>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</si>
  <si>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</si>
  <si>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</si>
  <si>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</si>
  <si>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</si>
  <si>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</si>
  <si>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</si>
  <si>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</si>
  <si>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</si>
  <si>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</si>
  <si>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</si>
  <si>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</si>
  <si>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</si>
  <si>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</si>
  <si>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</si>
  <si>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</si>
  <si>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</si>
  <si>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</si>
  <si>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</si>
  <si>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</si>
  <si>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</si>
  <si>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</si>
  <si>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</si>
  <si>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</si>
  <si>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</si>
  <si>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</si>
  <si>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</si>
  <si>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</si>
  <si>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</si>
  <si>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</si>
  <si>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</si>
  <si>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</si>
  <si>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</si>
  <si>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</si>
  <si>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</si>
  <si>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</si>
  <si>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</si>
  <si>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</si>
  <si>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</si>
  <si>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</si>
  <si>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</si>
  <si>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</si>
  <si>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</si>
  <si>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</si>
  <si>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</si>
  <si>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</si>
  <si>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</si>
  <si>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</si>
  <si>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</si>
  <si>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</si>
  <si>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</si>
  <si>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</si>
  <si>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</si>
  <si>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</si>
  <si>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</si>
  <si>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</si>
  <si>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</si>
  <si>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</si>
  <si>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</si>
  <si>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</si>
  <si>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</si>
  <si>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</si>
  <si>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</si>
  <si>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</si>
  <si>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</si>
  <si>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</si>
  <si>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</si>
  <si>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</si>
  <si>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</si>
  <si>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</si>
  <si>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</si>
  <si>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</si>
  <si>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</si>
  <si>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</si>
  <si>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</si>
  <si>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</si>
  <si>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</si>
  <si>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</si>
  <si>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</si>
  <si>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</si>
  <si>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</si>
  <si>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</si>
  <si>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</si>
  <si>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</si>
  <si>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</si>
  <si>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</si>
  <si>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</si>
  <si>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</si>
  <si>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</si>
  <si>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</si>
  <si>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</si>
  <si>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</si>
  <si>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</si>
  <si>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</si>
  <si>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</si>
  <si>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</si>
  <si>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</si>
  <si>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</si>
  <si>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</si>
  <si>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</si>
  <si>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</si>
  <si>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</si>
  <si>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</si>
  <si>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</si>
  <si>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</si>
  <si>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</si>
  <si>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</si>
  <si>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</si>
  <si>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</si>
  <si>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</si>
  <si>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</si>
  <si>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</si>
  <si>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</si>
  <si>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</si>
  <si>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</si>
  <si>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</si>
  <si>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</si>
  <si>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</si>
  <si>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</si>
  <si>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</si>
  <si>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</si>
  <si>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</si>
  <si>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</si>
  <si>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</si>
  <si>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</si>
  <si>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</si>
  <si>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</si>
  <si>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</si>
  <si>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</si>
  <si>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</si>
  <si>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</si>
  <si>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</si>
  <si>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</si>
  <si>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</si>
  <si>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</si>
  <si>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</si>
  <si>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</si>
  <si>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</si>
  <si>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</si>
  <si>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</si>
  <si>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</si>
  <si>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</si>
  <si>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</si>
  <si>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</si>
  <si>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</si>
  <si>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</si>
  <si>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</si>
  <si>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</si>
  <si>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</si>
  <si>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</si>
  <si>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</si>
  <si>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</si>
  <si>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</si>
  <si>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</si>
  <si>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</si>
  <si>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</si>
  <si>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</si>
  <si>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</si>
  <si>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</si>
  <si>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</si>
  <si>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</si>
  <si>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</si>
  <si>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</si>
  <si>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</si>
  <si>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</si>
  <si>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</si>
  <si>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</si>
  <si>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</si>
  <si>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</si>
  <si>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</si>
  <si>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</si>
  <si>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</si>
  <si>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</si>
  <si>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</si>
  <si>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</si>
  <si>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</si>
  <si>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</si>
  <si>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</si>
  <si>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</si>
  <si>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</si>
  <si>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</si>
  <si>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</si>
  <si>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</si>
  <si>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</si>
  <si>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</si>
  <si>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</si>
  <si>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</si>
  <si>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</si>
  <si>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</si>
  <si>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</si>
  <si>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</si>
  <si>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</si>
  <si>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</si>
  <si>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</si>
  <si>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</si>
  <si>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</si>
  <si>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</si>
  <si>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</si>
  <si>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</si>
  <si>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</si>
  <si>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</si>
  <si>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</si>
  <si>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</si>
  <si>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</si>
  <si>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</si>
  <si>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</si>
  <si>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</si>
  <si>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</si>
  <si>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</si>
  <si>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</si>
  <si>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</si>
  <si>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</si>
  <si>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</si>
  <si>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</si>
  <si>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</si>
  <si>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</si>
  <si>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</si>
  <si>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</si>
  <si>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</si>
  <si>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</si>
  <si>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</si>
  <si>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</si>
  <si>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</si>
  <si>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</si>
  <si>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</si>
  <si>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</si>
  <si>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</si>
  <si>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</si>
  <si>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</si>
  <si>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</si>
  <si>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</si>
  <si>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</si>
  <si>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</si>
  <si>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</si>
  <si>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</si>
  <si>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</si>
  <si>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</si>
  <si>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</si>
  <si>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</si>
  <si>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</si>
  <si>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</si>
  <si>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</si>
  <si>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</si>
  <si>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</si>
  <si>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</si>
  <si>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</si>
  <si>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</si>
  <si>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</si>
  <si>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</si>
  <si>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</si>
  <si>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</si>
  <si>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</si>
  <si>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</si>
  <si>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</si>
  <si>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</si>
  <si>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</si>
  <si>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</si>
  <si>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</si>
  <si>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</si>
  <si>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</si>
  <si>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</si>
  <si>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</si>
  <si>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</si>
  <si>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</si>
  <si>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</si>
  <si>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</si>
  <si>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</si>
  <si>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</si>
  <si>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</si>
  <si>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</si>
  <si>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</si>
  <si>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</si>
  <si>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</si>
  <si>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</si>
  <si>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</si>
  <si>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</si>
  <si>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</si>
  <si>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</si>
  <si>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</si>
  <si>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</si>
  <si>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</si>
  <si>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</si>
  <si>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</si>
  <si>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</si>
  <si>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</si>
  <si>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</si>
  <si>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</si>
  <si>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</si>
  <si>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</si>
  <si>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</si>
  <si>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</si>
  <si>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</si>
  <si>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</si>
  <si>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</si>
  <si>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</si>
  <si>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</si>
  <si>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</si>
  <si>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</si>
  <si>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</si>
  <si>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</si>
  <si>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</si>
  <si>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</si>
  <si>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</si>
  <si>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</si>
  <si>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</si>
  <si>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</si>
  <si>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</si>
  <si>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</si>
  <si>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</si>
  <si>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</si>
  <si>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</si>
  <si>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</si>
  <si>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</si>
  <si>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</si>
  <si>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</si>
  <si>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</si>
  <si>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</si>
  <si>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</si>
  <si>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</si>
  <si>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</si>
  <si>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</si>
  <si>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</si>
  <si>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</si>
  <si>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</si>
  <si>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</si>
  <si>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</si>
  <si>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</si>
  <si>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</si>
  <si>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</si>
  <si>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</si>
  <si>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</si>
  <si>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</si>
  <si>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</si>
  <si>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</si>
  <si>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</si>
  <si>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</si>
  <si>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</si>
  <si>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</si>
  <si>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</si>
  <si>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</si>
  <si>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</si>
  <si>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</si>
  <si>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</si>
  <si>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</si>
  <si>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</si>
  <si>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</si>
  <si>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</si>
  <si>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</si>
  <si>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</si>
  <si>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</si>
  <si>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</si>
  <si>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</si>
  <si>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</si>
  <si>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</si>
  <si>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</si>
  <si>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</si>
  <si>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</si>
  <si>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</si>
  <si>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</si>
  <si>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</si>
  <si>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</si>
  <si>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</si>
  <si>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</si>
  <si>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</si>
  <si>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</si>
  <si>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</si>
  <si>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</si>
  <si>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</si>
  <si>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</si>
  <si>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</si>
  <si>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</si>
  <si>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</si>
  <si>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</si>
  <si>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</si>
  <si>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</si>
  <si>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</si>
  <si>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</si>
  <si>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</si>
  <si>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</si>
  <si>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</si>
  <si>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</si>
  <si>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</si>
  <si>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</si>
  <si>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</si>
  <si>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</si>
  <si>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</si>
  <si>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</si>
  <si>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</si>
  <si>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</si>
  <si>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</si>
  <si>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</si>
  <si>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</si>
  <si>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</si>
  <si>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</si>
  <si>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</si>
  <si>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</si>
  <si>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</si>
  <si>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</si>
  <si>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</si>
  <si>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</si>
  <si>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</si>
  <si>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</si>
  <si>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</si>
  <si>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</si>
  <si>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</si>
  <si>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</si>
  <si>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</si>
  <si>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</si>
  <si>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</si>
  <si>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</si>
  <si>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</si>
  <si>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</si>
  <si>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</si>
  <si>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</si>
  <si>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</si>
  <si>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</si>
  <si>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</si>
  <si>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</si>
  <si>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</si>
  <si>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</si>
  <si>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</si>
  <si>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</si>
  <si>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</si>
  <si>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</si>
  <si>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</si>
  <si>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</si>
  <si>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</si>
  <si>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</si>
  <si>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</si>
  <si>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</si>
  <si>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</si>
  <si>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</si>
  <si>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</si>
  <si>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</si>
  <si>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</si>
  <si>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</si>
  <si>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</si>
  <si>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</si>
  <si>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</si>
  <si>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</si>
  <si>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</si>
  <si>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</si>
  <si>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</si>
  <si>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</si>
  <si>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</si>
  <si>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</si>
  <si>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</si>
  <si>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</si>
  <si>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</si>
  <si>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</si>
  <si>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</si>
  <si>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</si>
  <si>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</si>
  <si>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</si>
  <si>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</si>
  <si>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</si>
  <si>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</si>
  <si>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</si>
  <si>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</si>
  <si>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</si>
  <si>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</si>
  <si>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</si>
  <si>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</si>
  <si>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</si>
  <si>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</si>
  <si>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</si>
  <si>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</si>
  <si>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</si>
  <si>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</si>
  <si>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</si>
  <si>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</si>
  <si>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</si>
  <si>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</si>
  <si>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</si>
  <si>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</si>
  <si>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</si>
  <si>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</si>
  <si>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</si>
  <si>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</si>
  <si>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</si>
  <si>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</si>
  <si>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</si>
  <si>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</si>
  <si>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</si>
  <si>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</si>
  <si>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</si>
  <si>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</si>
  <si>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</si>
  <si>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</si>
  <si>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</si>
  <si>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</si>
  <si>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</si>
  <si>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</si>
  <si>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</si>
  <si>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</si>
  <si>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</si>
  <si>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</si>
  <si>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</si>
  <si>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</si>
  <si>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</si>
  <si>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</si>
  <si>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</si>
  <si>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</si>
  <si>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</si>
  <si>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</si>
  <si>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</si>
  <si>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</si>
  <si>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</si>
  <si>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</si>
  <si>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</si>
  <si>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</si>
  <si>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</si>
  <si>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</si>
  <si>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</si>
  <si>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</si>
  <si>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</si>
  <si>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</si>
  <si>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</si>
  <si>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</si>
  <si>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</si>
  <si>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</si>
  <si>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</si>
  <si>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</si>
  <si>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</si>
  <si>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</si>
  <si>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</si>
  <si>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</si>
  <si>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</si>
  <si>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</si>
  <si>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</si>
  <si>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</si>
  <si>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</si>
  <si>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</si>
  <si>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</si>
  <si>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</si>
  <si>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</si>
  <si>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</si>
  <si>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</si>
  <si>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</si>
  <si>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</si>
  <si>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</si>
  <si>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</si>
  <si>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</si>
  <si>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</si>
  <si>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</si>
  <si>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</si>
  <si>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</si>
  <si>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</si>
  <si>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</si>
  <si>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</si>
  <si>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</si>
  <si>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</si>
  <si>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</si>
  <si>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</si>
  <si>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</si>
  <si>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</si>
  <si>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</si>
  <si>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</si>
  <si>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</si>
  <si>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</si>
  <si>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</si>
  <si>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</si>
  <si>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</si>
  <si>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</si>
  <si>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</si>
  <si>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</si>
  <si>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</si>
  <si>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</si>
  <si>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</si>
  <si>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</si>
  <si>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</si>
  <si>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</si>
  <si>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</si>
  <si>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</si>
  <si>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</si>
  <si>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</si>
  <si>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</si>
  <si>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</si>
  <si>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</si>
  <si>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</si>
  <si>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</si>
  <si>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</si>
  <si>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</si>
  <si>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</si>
  <si>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</si>
  <si>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</si>
  <si>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</si>
  <si>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</si>
  <si>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</si>
  <si>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</si>
  <si>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</si>
  <si>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</si>
  <si>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</si>
  <si>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</si>
  <si>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</si>
  <si>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</si>
  <si>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</si>
  <si>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</si>
  <si>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</si>
  <si>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</si>
  <si>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</si>
  <si>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</si>
  <si>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</si>
  <si>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</si>
  <si>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</si>
  <si>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</si>
  <si>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</si>
  <si>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</si>
  <si>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</si>
  <si>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</si>
  <si>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</si>
  <si>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</si>
  <si>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</si>
  <si>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</si>
  <si>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</si>
  <si>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</si>
  <si>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</si>
  <si>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</si>
  <si>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</si>
  <si>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</si>
  <si>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</si>
  <si>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</si>
  <si>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</si>
  <si>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</si>
  <si>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</si>
  <si>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</si>
  <si>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</si>
  <si>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</si>
  <si>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</si>
  <si>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</si>
  <si>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</si>
  <si>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</si>
  <si>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</si>
  <si>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</si>
  <si>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</si>
  <si>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</si>
  <si>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</si>
  <si>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</si>
  <si>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</si>
  <si>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</si>
  <si>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</si>
  <si>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</si>
  <si>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</si>
  <si>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</si>
  <si>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</si>
  <si>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</si>
  <si>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</si>
  <si>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</si>
  <si>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</si>
  <si>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</si>
  <si>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</si>
  <si>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</si>
  <si>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</si>
  <si>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</si>
  <si>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</si>
  <si>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</si>
  <si>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</si>
  <si>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</si>
  <si>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</si>
  <si>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</si>
  <si>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</si>
  <si>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</si>
  <si>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</si>
  <si>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</si>
  <si>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</si>
  <si>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</si>
  <si>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</si>
  <si>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</si>
  <si>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</si>
  <si>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</si>
  <si>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</si>
  <si>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</si>
  <si>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</si>
  <si>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</si>
  <si>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</si>
  <si>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</si>
  <si>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</si>
  <si>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</si>
  <si>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</si>
  <si>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</si>
  <si>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</si>
  <si>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</si>
  <si>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</si>
  <si>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</si>
  <si>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</si>
  <si>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</si>
  <si>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</si>
  <si>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</si>
  <si>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</si>
  <si>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</si>
  <si>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</si>
  <si>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</si>
  <si>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</si>
  <si>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</si>
  <si>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</si>
  <si>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</si>
  <si>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</si>
  <si>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</si>
  <si>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</si>
  <si>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</si>
  <si>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</si>
  <si>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</si>
  <si>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</si>
  <si>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</si>
  <si>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</si>
  <si>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</si>
  <si>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</si>
  <si>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</si>
  <si>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</si>
  <si>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</si>
  <si>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</si>
  <si>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</si>
  <si>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</si>
  <si>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</si>
  <si>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</si>
  <si>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</si>
  <si>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</si>
  <si>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</si>
  <si>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</si>
  <si>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</si>
  <si>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</si>
  <si>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</si>
  <si>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</si>
  <si>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</si>
  <si>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</si>
  <si>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</si>
  <si>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</si>
  <si>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</si>
  <si>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</si>
  <si>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</si>
  <si>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</si>
  <si>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</si>
  <si>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</si>
  <si>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</si>
  <si>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</si>
  <si>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</si>
  <si>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</si>
  <si>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</si>
  <si>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</si>
  <si>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</si>
  <si>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</si>
  <si>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</si>
  <si>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</si>
  <si>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</si>
  <si>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</si>
  <si>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</si>
  <si>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</si>
  <si>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</si>
  <si>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</si>
  <si>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</si>
  <si>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</si>
  <si>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</si>
  <si>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</si>
  <si>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</si>
  <si>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</si>
  <si>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</si>
  <si>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</si>
  <si>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</si>
  <si>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</si>
  <si>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</si>
  <si>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</si>
  <si>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</si>
  <si>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</si>
  <si>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</si>
  <si>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</si>
  <si>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</si>
  <si>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</si>
  <si>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</si>
  <si>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</si>
  <si>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</si>
  <si>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</si>
  <si>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</si>
  <si>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</si>
  <si>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</si>
  <si>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</si>
  <si>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</si>
  <si>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</si>
  <si>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</si>
  <si>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</si>
  <si>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</si>
  <si>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</si>
  <si>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</si>
  <si>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</si>
  <si>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</si>
  <si>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</si>
  <si>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</si>
  <si>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</si>
  <si>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</si>
  <si>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</si>
  <si>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</si>
  <si>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</si>
  <si>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</si>
  <si>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</si>
  <si>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</si>
  <si>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</si>
  <si>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</si>
  <si>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</si>
  <si>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</si>
  <si>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</si>
  <si>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</si>
  <si>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</si>
  <si>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</si>
  <si>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</si>
  <si>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</si>
  <si>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</si>
  <si>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</si>
  <si>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</si>
  <si>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</si>
  <si>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</si>
  <si>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</si>
  <si>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</si>
  <si>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</si>
  <si>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</si>
  <si>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</si>
  <si>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</si>
  <si>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</si>
  <si>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</si>
  <si>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</si>
  <si>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</si>
  <si>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</si>
  <si>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</si>
  <si>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</si>
  <si>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</si>
  <si>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</si>
  <si>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</si>
  <si>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</si>
  <si>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</si>
  <si>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</si>
  <si>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</si>
  <si>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</si>
  <si>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</si>
  <si>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</si>
  <si>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</si>
  <si>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</si>
  <si>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</si>
  <si>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</si>
  <si>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</si>
  <si>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</si>
  <si>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</si>
  <si>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</si>
  <si>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</si>
  <si>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</si>
  <si>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</si>
  <si>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</si>
  <si>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</si>
  <si>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</si>
  <si>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</si>
  <si>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</si>
  <si>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</si>
  <si>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</si>
  <si>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</si>
  <si>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</si>
  <si>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</si>
  <si>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</si>
  <si>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</si>
  <si>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</si>
  <si>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</si>
  <si>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</si>
  <si>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</si>
  <si>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</si>
  <si>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</si>
  <si>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</si>
  <si>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</si>
  <si>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</si>
  <si>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</si>
  <si>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</si>
  <si>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</si>
  <si>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</si>
  <si>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</si>
  <si>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</si>
  <si>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</si>
  <si>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</si>
  <si>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</si>
  <si>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</si>
  <si>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</si>
  <si>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</si>
  <si>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</si>
  <si>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</si>
  <si>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</si>
  <si>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</si>
  <si>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</si>
  <si>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</si>
  <si>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</si>
  <si>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</si>
  <si>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</si>
  <si>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</si>
  <si>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</si>
  <si>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</si>
  <si>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</si>
  <si>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</si>
  <si>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</si>
  <si>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</si>
  <si>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</si>
  <si>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</si>
  <si>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</si>
  <si>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</si>
  <si>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</si>
  <si>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</si>
  <si>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</si>
  <si>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</si>
  <si>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</si>
  <si>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</si>
  <si>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</si>
  <si>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</si>
  <si>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</si>
  <si>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</si>
  <si>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</si>
  <si>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</si>
  <si>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</si>
  <si>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</si>
  <si>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</si>
  <si>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</si>
  <si>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</si>
  <si>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</si>
  <si>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</si>
  <si>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</si>
  <si>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</si>
  <si>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</si>
  <si>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</si>
  <si>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</si>
  <si>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</si>
  <si>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</si>
  <si>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</si>
  <si>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</si>
  <si>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</si>
  <si>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</si>
  <si>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</si>
  <si>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</si>
  <si>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</si>
  <si>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</si>
  <si>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</si>
  <si>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</si>
  <si>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</si>
  <si>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</si>
  <si>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</si>
  <si>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</si>
  <si>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</si>
  <si>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</si>
  <si>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</si>
  <si>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</si>
  <si>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</si>
  <si>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</si>
  <si>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</si>
  <si>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</si>
  <si>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</si>
  <si>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</si>
  <si>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</si>
  <si>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</si>
  <si>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</si>
  <si>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</si>
  <si>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</si>
  <si>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</si>
  <si>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</si>
  <si>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</si>
  <si>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</si>
  <si>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</si>
  <si>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</si>
  <si>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</si>
  <si>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</si>
  <si>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</si>
  <si>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</si>
  <si>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</si>
  <si>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</si>
  <si>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</si>
  <si>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</si>
  <si>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</si>
  <si>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</si>
  <si>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</si>
  <si>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</si>
  <si>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</si>
  <si>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</si>
  <si>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</si>
  <si>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</si>
  <si>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</si>
  <si>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</si>
  <si>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</si>
  <si>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</si>
  <si>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</si>
  <si>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</si>
  <si>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</si>
  <si>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</si>
  <si>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</si>
  <si>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</si>
  <si>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</si>
  <si>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</si>
  <si>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</si>
  <si>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</si>
  <si>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</si>
  <si>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</si>
  <si>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</si>
  <si>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</si>
  <si>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</si>
  <si>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</si>
  <si>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</si>
  <si>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</si>
  <si>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</si>
  <si>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</si>
  <si>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</si>
  <si>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</si>
  <si>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</si>
  <si>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</si>
  <si>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</si>
  <si>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</si>
  <si>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</si>
  <si>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</si>
  <si>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</si>
  <si>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</si>
  <si>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</si>
  <si>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</si>
  <si>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</si>
  <si>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</si>
  <si>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</si>
  <si>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</si>
  <si>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</si>
  <si>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</si>
  <si>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</si>
  <si>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</si>
  <si>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</si>
  <si>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</si>
  <si>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</si>
  <si>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</si>
  <si>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</si>
  <si>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</si>
  <si>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</si>
  <si>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</si>
  <si>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</si>
  <si>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</si>
  <si>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</si>
  <si>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</si>
  <si>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</si>
  <si>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</si>
  <si>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</si>
  <si>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</si>
  <si>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</si>
  <si>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</si>
  <si>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</si>
  <si>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</si>
  <si>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</si>
  <si>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</si>
  <si>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</si>
  <si>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</si>
  <si>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</si>
  <si>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</si>
  <si>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</si>
  <si>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</si>
  <si>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</si>
  <si>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</si>
  <si>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</si>
  <si>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</si>
  <si>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</si>
  <si>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</si>
  <si>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</si>
  <si>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</si>
  <si>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</si>
  <si>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</si>
  <si>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</si>
  <si>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</si>
  <si>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</si>
  <si>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</si>
  <si>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</si>
  <si>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</si>
  <si>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</si>
  <si>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</si>
  <si>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</si>
  <si>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</si>
  <si>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</si>
  <si>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</si>
  <si>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</si>
  <si>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</si>
  <si>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</si>
  <si>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</si>
  <si>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</si>
  <si>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</si>
  <si>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</si>
  <si>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</si>
  <si>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</si>
  <si>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</si>
  <si>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</si>
  <si>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</si>
  <si>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</si>
  <si>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</si>
  <si>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</si>
  <si>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</si>
  <si>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</si>
  <si>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</si>
  <si>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</si>
  <si>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</si>
  <si>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</si>
  <si>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</si>
  <si>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</si>
  <si>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</si>
  <si>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</si>
  <si>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</si>
  <si>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</si>
  <si>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</si>
  <si>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</si>
  <si>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</si>
  <si>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</si>
  <si>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</si>
  <si>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</si>
  <si>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</si>
  <si>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</si>
  <si>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</si>
  <si>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</si>
  <si>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</si>
  <si>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</si>
  <si>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</si>
  <si>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</si>
  <si>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</si>
  <si>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</si>
  <si>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</si>
  <si>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</si>
  <si>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</si>
  <si>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</si>
  <si>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</si>
  <si>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</si>
  <si>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</si>
  <si>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</si>
  <si>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</si>
  <si>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</si>
  <si>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</si>
  <si>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</si>
  <si>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</si>
  <si>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</si>
  <si>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</si>
  <si>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</si>
  <si>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</si>
  <si>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</si>
  <si>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</si>
  <si>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</si>
  <si>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</si>
  <si>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</si>
  <si>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</si>
  <si>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</si>
  <si>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</si>
  <si>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</si>
  <si>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</si>
  <si>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</si>
  <si>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</si>
  <si>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</si>
  <si>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</si>
  <si>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</si>
  <si>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</si>
  <si>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</si>
  <si>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</si>
  <si>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</si>
  <si>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</si>
  <si>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</si>
  <si>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</si>
  <si>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</si>
  <si>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</si>
  <si>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</si>
  <si>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</si>
  <si>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</si>
  <si>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</si>
  <si>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</si>
  <si>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</si>
  <si>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</si>
  <si>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</si>
  <si>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</si>
  <si>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</si>
  <si>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</si>
  <si>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</si>
  <si>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</si>
  <si>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</si>
  <si>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</si>
  <si>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</si>
  <si>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</si>
  <si>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</si>
  <si>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</si>
  <si>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</si>
  <si>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</si>
  <si>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</si>
  <si>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</si>
  <si>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</si>
  <si>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</si>
  <si>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</si>
  <si>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</si>
  <si>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</si>
  <si>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</si>
  <si>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</si>
  <si>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</si>
  <si>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</si>
  <si>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</si>
  <si>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</si>
  <si>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</si>
  <si>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</si>
  <si>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</si>
  <si>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</si>
  <si>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</si>
  <si>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</si>
  <si>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</si>
  <si>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</si>
  <si>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</si>
  <si>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</si>
  <si>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</si>
  <si>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</si>
  <si>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</si>
  <si>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</si>
  <si>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</si>
  <si>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</si>
  <si>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</si>
  <si>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</si>
  <si>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</si>
  <si>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</si>
  <si>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</si>
  <si>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</si>
  <si>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</si>
  <si>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</si>
  <si>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</si>
  <si>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</si>
  <si>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</si>
  <si>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</si>
  <si>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</si>
  <si>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</si>
  <si>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</si>
  <si>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</si>
  <si>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</si>
  <si>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</si>
  <si>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</si>
  <si>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</si>
  <si>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</si>
  <si>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</si>
  <si>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</si>
  <si>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</si>
  <si>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</si>
  <si>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</si>
  <si>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</si>
  <si>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</si>
  <si>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</si>
  <si>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</si>
  <si>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</si>
  <si>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</si>
  <si>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</si>
  <si>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</si>
  <si>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</si>
  <si>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</si>
  <si>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</si>
  <si>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</si>
  <si>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</si>
  <si>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</si>
  <si>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</si>
  <si>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</si>
  <si>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</si>
  <si>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</si>
  <si>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</si>
  <si>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</si>
  <si>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</si>
  <si>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</si>
  <si>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</si>
  <si>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</si>
  <si>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</si>
  <si>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</si>
  <si>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</si>
  <si>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</si>
  <si>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</si>
  <si>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</si>
  <si>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</si>
  <si>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</si>
  <si>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</si>
  <si>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</si>
  <si>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</si>
  <si>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</si>
  <si>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</si>
  <si>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</si>
  <si>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</si>
  <si>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</si>
  <si>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</si>
  <si>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</si>
  <si>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</si>
  <si>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</si>
  <si>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</si>
  <si>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</si>
  <si>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</si>
  <si>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</si>
  <si>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</si>
  <si>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</si>
  <si>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</si>
  <si>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</si>
  <si>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</si>
  <si>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</si>
  <si>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</si>
  <si>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</si>
  <si>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</si>
  <si>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</si>
  <si>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</si>
  <si>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</si>
  <si>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</si>
  <si>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</si>
  <si>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</si>
  <si>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</si>
  <si>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</si>
  <si>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</si>
  <si>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</si>
  <si>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</si>
  <si>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</si>
  <si>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</si>
  <si>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</si>
  <si>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</si>
  <si>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</si>
  <si>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</si>
  <si>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</si>
  <si>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</si>
  <si>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</si>
  <si>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</si>
  <si>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</si>
  <si>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</si>
  <si>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</si>
  <si>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</si>
  <si>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</si>
  <si>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</si>
  <si>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</si>
  <si>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</si>
  <si>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</si>
  <si>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</si>
  <si>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</si>
  <si>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</si>
  <si>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</si>
  <si>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</si>
  <si>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</si>
  <si>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</si>
  <si>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</si>
  <si>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</si>
  <si>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</si>
  <si>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</si>
  <si>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</si>
  <si>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</si>
  <si>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</si>
  <si>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</si>
  <si>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</si>
  <si>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</si>
  <si>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</si>
  <si>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</si>
  <si>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</si>
  <si>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</si>
  <si>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</si>
  <si>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</si>
  <si>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</si>
  <si>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</si>
  <si>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</si>
  <si>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</si>
  <si>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</si>
  <si>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</si>
  <si>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</si>
  <si>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</si>
  <si>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</si>
  <si>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</si>
  <si>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</si>
  <si>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</si>
  <si>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</si>
  <si>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</si>
  <si>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</si>
  <si>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</si>
  <si>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</si>
  <si>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</si>
  <si>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</si>
  <si>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</si>
  <si>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</si>
  <si>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</si>
  <si>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</si>
  <si>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</si>
  <si>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</si>
  <si>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</si>
  <si>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</si>
  <si>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</si>
  <si>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</si>
  <si>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</si>
  <si>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</si>
  <si>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</si>
  <si>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</si>
  <si>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</si>
  <si>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</si>
  <si>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</si>
  <si>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</si>
  <si>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</si>
  <si>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</si>
  <si>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</si>
  <si>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</si>
  <si>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</si>
  <si>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</si>
  <si>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</si>
  <si>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</si>
  <si>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</si>
  <si>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</si>
  <si>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</si>
  <si>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</si>
  <si>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</si>
  <si>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</si>
  <si>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</si>
  <si>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</si>
  <si>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</si>
  <si>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</si>
  <si>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</si>
  <si>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</si>
  <si>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</si>
  <si>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</si>
  <si>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</si>
  <si>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</si>
  <si>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</si>
  <si>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</si>
  <si>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</si>
  <si>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</si>
  <si>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</si>
  <si>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</si>
  <si>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</si>
  <si>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</si>
  <si>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</si>
  <si>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</si>
  <si>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</si>
  <si>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</si>
  <si>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</si>
  <si>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</si>
  <si>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</si>
  <si>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</si>
  <si>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</si>
  <si>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</si>
  <si>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</si>
  <si>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</si>
  <si>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</si>
  <si>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</si>
  <si>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</si>
  <si>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</si>
  <si>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</si>
  <si>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</si>
  <si>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</si>
  <si>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</si>
  <si>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</si>
  <si>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</si>
  <si>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2022-11-06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</si>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</sst>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106.69</v>
      </c>
      <c r="F2">
        <v>201</v>
      </c>
      <c r="G2">
        <v>0.5307960199004975</v>
      </c>
      <c r="H2">
        <v>0.02811884900178086</v>
      </c>
      <c r="I2">
        <v>0.1350486290245994</v>
      </c>
      <c r="J2">
        <v>0.07000000000000001</v>
      </c>
      <c r="K2">
        <v>0.2300116757798876</v>
      </c>
      <c r="L2" t="s">
        <v>872</v>
      </c>
      <c r="M2" t="s">
        <v>872</v>
      </c>
      <c r="N2">
        <v>8.501195219123506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-0.303614170005867</v>
      </c>
      <c r="V2" t="s">
        <v>978</v>
      </c>
      <c r="W2" t="s">
        <v>982</v>
      </c>
      <c r="X2">
        <v>119599.49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58.01</v>
      </c>
      <c r="F3">
        <v>103</v>
      </c>
      <c r="G3">
        <v>0.5632038834951456</v>
      </c>
      <c r="H3">
        <v>0.03378727805550767</v>
      </c>
      <c r="I3">
        <v>0.1216745647103705</v>
      </c>
      <c r="J3">
        <v>0.05</v>
      </c>
      <c r="K3">
        <v>0.1974571031962824</v>
      </c>
      <c r="L3" t="s">
        <v>872</v>
      </c>
      <c r="M3" t="s">
        <v>872</v>
      </c>
      <c r="N3">
        <v>8.993798449612402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-0.003017928834625</v>
      </c>
      <c r="V3" t="s">
        <v>978</v>
      </c>
      <c r="W3" t="s">
        <v>983</v>
      </c>
      <c r="X3">
        <v>5656.68423</v>
      </c>
      <c r="Y3" s="2">
        <v>44867</v>
      </c>
      <c r="Z3" t="s">
        <v>993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225.57</v>
      </c>
      <c r="F4">
        <v>365</v>
      </c>
      <c r="G4">
        <v>0.618</v>
      </c>
      <c r="H4">
        <v>0.01329964090969544</v>
      </c>
      <c r="I4">
        <v>0.1010379923828348</v>
      </c>
      <c r="J4">
        <v>0.07000000000000001</v>
      </c>
      <c r="K4">
        <v>0.1862422517016211</v>
      </c>
      <c r="L4" t="s">
        <v>872</v>
      </c>
      <c r="M4" t="s">
        <v>873</v>
      </c>
      <c r="N4">
        <v>11.11182266009852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-0.009865787366735001</v>
      </c>
      <c r="V4" t="s">
        <v>978</v>
      </c>
      <c r="W4" t="s">
        <v>984</v>
      </c>
      <c r="X4">
        <v>11665.570225</v>
      </c>
      <c r="Y4" s="2">
        <v>44790</v>
      </c>
      <c r="Z4" t="s">
        <v>994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869</v>
      </c>
      <c r="D5">
        <v>159</v>
      </c>
      <c r="E5">
        <v>144.29</v>
      </c>
      <c r="F5">
        <v>189</v>
      </c>
      <c r="G5">
        <v>0.7634391534391534</v>
      </c>
      <c r="H5">
        <v>0.02106868112828332</v>
      </c>
      <c r="I5">
        <v>0.05546810542918834</v>
      </c>
      <c r="J5">
        <v>0.1</v>
      </c>
      <c r="K5">
        <v>0.176195006452307</v>
      </c>
      <c r="L5" t="s">
        <v>872</v>
      </c>
      <c r="M5" t="s">
        <v>873</v>
      </c>
      <c r="N5">
        <v>15.28495762711864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877</v>
      </c>
      <c r="U5">
        <v>-0.187014315850206</v>
      </c>
      <c r="V5" t="s">
        <v>978</v>
      </c>
      <c r="W5" t="s">
        <v>982</v>
      </c>
      <c r="X5">
        <v>74214.339508</v>
      </c>
      <c r="Y5" s="2">
        <v>44799</v>
      </c>
      <c r="Z5" t="s">
        <v>995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869</v>
      </c>
      <c r="D6">
        <v>146</v>
      </c>
      <c r="E6">
        <v>119.13</v>
      </c>
      <c r="F6">
        <v>199</v>
      </c>
      <c r="G6">
        <v>0.5986432160804019</v>
      </c>
      <c r="H6">
        <v>0.02618987660538907</v>
      </c>
      <c r="I6">
        <v>0.1080679334046406</v>
      </c>
      <c r="J6">
        <v>0.04</v>
      </c>
      <c r="K6">
        <v>0.1696268528113718</v>
      </c>
      <c r="L6" t="s">
        <v>872</v>
      </c>
      <c r="M6" t="s">
        <v>873</v>
      </c>
      <c r="N6">
        <v>8.38943661971831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878</v>
      </c>
      <c r="U6">
        <v>-0.4123598293460981</v>
      </c>
      <c r="V6" t="s">
        <v>978</v>
      </c>
      <c r="W6" t="s">
        <v>983</v>
      </c>
      <c r="X6">
        <v>7947.324674</v>
      </c>
      <c r="Y6" s="2">
        <v>44809</v>
      </c>
      <c r="Z6" t="s">
        <v>996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869</v>
      </c>
      <c r="D7">
        <v>108</v>
      </c>
      <c r="E7">
        <v>87.93000000000001</v>
      </c>
      <c r="F7">
        <v>133</v>
      </c>
      <c r="G7">
        <v>0.6611278195488722</v>
      </c>
      <c r="H7">
        <v>0.02683953144546798</v>
      </c>
      <c r="I7">
        <v>0.08628282628524686</v>
      </c>
      <c r="J7">
        <v>0.05</v>
      </c>
      <c r="K7">
        <v>0.1605702285445929</v>
      </c>
      <c r="L7" t="s">
        <v>872</v>
      </c>
      <c r="M7" t="s">
        <v>873</v>
      </c>
      <c r="N7">
        <v>7.907374100719426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879</v>
      </c>
      <c r="U7">
        <v>-0.4770839924544991</v>
      </c>
      <c r="V7" t="s">
        <v>978</v>
      </c>
      <c r="W7" t="s">
        <v>982</v>
      </c>
      <c r="X7">
        <v>14107.980992</v>
      </c>
      <c r="Y7" s="2">
        <v>44793</v>
      </c>
      <c r="Z7" t="s">
        <v>997</v>
      </c>
    </row>
    <row r="8" spans="1:26">
      <c r="A8" s="1" t="s">
        <v>32</v>
      </c>
      <c r="B8">
        <f>HYPERLINK("https://www.suredividend.com/sure-analysis-LOW/","Lowe`s Cos., Inc.")</f>
        <v>0</v>
      </c>
      <c r="C8" t="s">
        <v>869</v>
      </c>
      <c r="D8">
        <v>196</v>
      </c>
      <c r="E8">
        <v>182.15</v>
      </c>
      <c r="F8">
        <v>261</v>
      </c>
      <c r="G8">
        <v>0.6978927203065134</v>
      </c>
      <c r="H8">
        <v>0.02305791929728246</v>
      </c>
      <c r="I8">
        <v>0.07458869253912548</v>
      </c>
      <c r="J8">
        <v>0.06</v>
      </c>
      <c r="K8">
        <v>0.1554413703600972</v>
      </c>
      <c r="L8" t="s">
        <v>872</v>
      </c>
      <c r="M8" t="s">
        <v>872</v>
      </c>
      <c r="N8">
        <v>13.59328358208955</v>
      </c>
      <c r="O8">
        <v>13.4</v>
      </c>
      <c r="P8">
        <v>4.2</v>
      </c>
      <c r="Q8">
        <v>0.3134328358208955</v>
      </c>
      <c r="R8">
        <v>60</v>
      </c>
      <c r="S8">
        <v>0.06997394153840619</v>
      </c>
      <c r="T8" t="s">
        <v>880</v>
      </c>
      <c r="U8">
        <v>-0.22216258019113</v>
      </c>
      <c r="V8" t="s">
        <v>978</v>
      </c>
      <c r="W8" t="s">
        <v>983</v>
      </c>
      <c r="X8">
        <v>113060.608279</v>
      </c>
      <c r="Y8" s="2">
        <v>44806</v>
      </c>
      <c r="Z8" t="s">
        <v>998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869</v>
      </c>
      <c r="D9">
        <v>34</v>
      </c>
      <c r="E9">
        <v>29.84</v>
      </c>
      <c r="F9">
        <v>46</v>
      </c>
      <c r="G9">
        <v>0.648695652173913</v>
      </c>
      <c r="H9">
        <v>0.01675603217158177</v>
      </c>
      <c r="I9">
        <v>0.09041496347707079</v>
      </c>
      <c r="J9">
        <v>0.05</v>
      </c>
      <c r="K9">
        <v>0.1554107956095117</v>
      </c>
      <c r="L9" t="s">
        <v>872</v>
      </c>
      <c r="M9" t="s">
        <v>568</v>
      </c>
      <c r="N9">
        <v>8.525714285714285</v>
      </c>
      <c r="O9">
        <v>3.5</v>
      </c>
      <c r="P9">
        <v>0.5</v>
      </c>
      <c r="Q9">
        <v>0.1428571428571428</v>
      </c>
      <c r="R9">
        <v>0</v>
      </c>
      <c r="S9">
        <v>0.03012896281839894</v>
      </c>
      <c r="T9" t="s">
        <v>881</v>
      </c>
      <c r="U9">
        <v>-0.268510914729062</v>
      </c>
      <c r="V9" t="s">
        <v>978</v>
      </c>
      <c r="W9" t="s">
        <v>985</v>
      </c>
      <c r="X9">
        <v>15711.136371</v>
      </c>
      <c r="Y9" s="2">
        <v>44801</v>
      </c>
      <c r="Z9" t="s">
        <v>997</v>
      </c>
    </row>
    <row r="10" spans="1:26">
      <c r="A10" s="1" t="s">
        <v>34</v>
      </c>
      <c r="B10">
        <f>HYPERLINK("https://www.suredividend.com/sure-analysis-AIZ/","Assurant Inc")</f>
        <v>0</v>
      </c>
      <c r="C10" t="s">
        <v>870</v>
      </c>
      <c r="D10">
        <v>162</v>
      </c>
      <c r="E10">
        <v>121.22</v>
      </c>
      <c r="F10">
        <v>166</v>
      </c>
      <c r="G10">
        <v>0.7302409638554217</v>
      </c>
      <c r="H10">
        <v>0.02243854149480284</v>
      </c>
      <c r="I10">
        <v>0.06489493569637528</v>
      </c>
      <c r="J10">
        <v>0.07000000000000001</v>
      </c>
      <c r="K10">
        <v>0.1553553920553978</v>
      </c>
      <c r="L10" t="s">
        <v>872</v>
      </c>
      <c r="M10" t="s">
        <v>873</v>
      </c>
      <c r="N10">
        <v>10.10166666666667</v>
      </c>
      <c r="O10">
        <v>12</v>
      </c>
      <c r="P10">
        <v>2.72</v>
      </c>
      <c r="Q10">
        <v>0.2266666666666667</v>
      </c>
      <c r="R10">
        <v>17</v>
      </c>
      <c r="S10">
        <v>0.06972270615977982</v>
      </c>
      <c r="T10" t="s">
        <v>882</v>
      </c>
      <c r="U10">
        <v>-0.252931544198263</v>
      </c>
      <c r="V10" t="s">
        <v>978</v>
      </c>
      <c r="W10" t="s">
        <v>986</v>
      </c>
      <c r="X10">
        <v>6450.034134</v>
      </c>
      <c r="Y10" s="2">
        <v>44802</v>
      </c>
      <c r="Z10" t="s">
        <v>996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869</v>
      </c>
      <c r="D11">
        <v>40</v>
      </c>
      <c r="E11">
        <v>34.94</v>
      </c>
      <c r="F11">
        <v>45</v>
      </c>
      <c r="G11">
        <v>0.7764444444444444</v>
      </c>
      <c r="H11">
        <v>0.0412135088723526</v>
      </c>
      <c r="I11">
        <v>0.05190839866588304</v>
      </c>
      <c r="J11">
        <v>0.07199999999999999</v>
      </c>
      <c r="K11">
        <v>0.155166433612826</v>
      </c>
      <c r="L11" t="s">
        <v>872</v>
      </c>
      <c r="M11" t="s">
        <v>872</v>
      </c>
      <c r="N11">
        <v>12.04827586206897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883</v>
      </c>
      <c r="U11">
        <v>-0.1807564520705</v>
      </c>
      <c r="V11" t="s">
        <v>978</v>
      </c>
      <c r="W11" t="s">
        <v>987</v>
      </c>
      <c r="X11">
        <v>7337.172471</v>
      </c>
      <c r="Y11" s="2">
        <v>44780</v>
      </c>
      <c r="Z11" t="s">
        <v>999</v>
      </c>
    </row>
    <row r="12" spans="1:26">
      <c r="A12" s="1" t="s">
        <v>36</v>
      </c>
      <c r="B12">
        <f>HYPERLINK("https://www.suredividend.com/sure-analysis-MMM/","3M Co.")</f>
        <v>0</v>
      </c>
      <c r="C12" t="s">
        <v>869</v>
      </c>
      <c r="D12">
        <v>118</v>
      </c>
      <c r="E12">
        <v>124.84</v>
      </c>
      <c r="F12">
        <v>174</v>
      </c>
      <c r="G12">
        <v>0.7174712643678162</v>
      </c>
      <c r="H12">
        <v>0.04774110861903236</v>
      </c>
      <c r="I12">
        <v>0.06865887701609075</v>
      </c>
      <c r="J12">
        <v>0.05</v>
      </c>
      <c r="K12">
        <v>0.1523813879694229</v>
      </c>
      <c r="L12" t="s">
        <v>872</v>
      </c>
      <c r="M12" t="s">
        <v>872</v>
      </c>
      <c r="N12">
        <v>12.20332355816227</v>
      </c>
      <c r="O12">
        <v>10.23</v>
      </c>
      <c r="P12">
        <v>5.96</v>
      </c>
      <c r="Q12">
        <v>0.5826001955034212</v>
      </c>
      <c r="R12">
        <v>64</v>
      </c>
      <c r="S12">
        <v>0.01999003011565526</v>
      </c>
      <c r="T12" t="s">
        <v>884</v>
      </c>
      <c r="U12">
        <v>-0.282022024739298</v>
      </c>
      <c r="V12" t="s">
        <v>978</v>
      </c>
      <c r="W12" t="s">
        <v>984</v>
      </c>
      <c r="X12">
        <v>69004.42550899999</v>
      </c>
      <c r="Y12" s="2">
        <v>44859</v>
      </c>
      <c r="Z12" t="s">
        <v>993</v>
      </c>
    </row>
    <row r="13" spans="1:26">
      <c r="A13" s="1" t="s">
        <v>37</v>
      </c>
      <c r="B13">
        <f>HYPERLINK("https://www.suredividend.com/sure-analysis-PNR/","Pentair plc")</f>
        <v>0</v>
      </c>
      <c r="C13" t="s">
        <v>869</v>
      </c>
      <c r="D13">
        <v>43</v>
      </c>
      <c r="E13">
        <v>41.06</v>
      </c>
      <c r="F13">
        <v>58</v>
      </c>
      <c r="G13">
        <v>0.7079310344827586</v>
      </c>
      <c r="H13">
        <v>0.02045786653677545</v>
      </c>
      <c r="I13">
        <v>0.07152377026925261</v>
      </c>
      <c r="J13">
        <v>0.06</v>
      </c>
      <c r="K13">
        <v>0.1497172284086965</v>
      </c>
      <c r="L13" t="s">
        <v>872</v>
      </c>
      <c r="M13" t="s">
        <v>873</v>
      </c>
      <c r="N13">
        <v>11.24931506849315</v>
      </c>
      <c r="O13">
        <v>3.65</v>
      </c>
      <c r="P13">
        <v>0.84</v>
      </c>
      <c r="Q13">
        <v>0.2301369863013699</v>
      </c>
      <c r="R13">
        <v>45</v>
      </c>
      <c r="S13">
        <v>0.04959293402845044</v>
      </c>
      <c r="T13" t="s">
        <v>878</v>
      </c>
      <c r="U13">
        <v>-0.440596406519926</v>
      </c>
      <c r="V13" t="s">
        <v>978</v>
      </c>
      <c r="W13" t="s">
        <v>984</v>
      </c>
      <c r="X13">
        <v>6754.302415</v>
      </c>
      <c r="Y13" s="2">
        <v>44864</v>
      </c>
      <c r="Z13" t="s">
        <v>994</v>
      </c>
    </row>
    <row r="14" spans="1:26">
      <c r="A14" s="1" t="s">
        <v>38</v>
      </c>
      <c r="B14">
        <f>HYPERLINK("https://www.suredividend.com/sure-analysis-INTU/","Intuit Inc")</f>
        <v>0</v>
      </c>
      <c r="C14" t="s">
        <v>869</v>
      </c>
      <c r="D14">
        <v>417</v>
      </c>
      <c r="E14">
        <v>361.19</v>
      </c>
      <c r="F14">
        <v>375</v>
      </c>
      <c r="G14">
        <v>0.9631733333333333</v>
      </c>
      <c r="H14">
        <v>0.008638112904565464</v>
      </c>
      <c r="I14">
        <v>0.007532606473813042</v>
      </c>
      <c r="J14">
        <v>0.13</v>
      </c>
      <c r="K14">
        <v>0.1459450800859634</v>
      </c>
      <c r="L14" t="s">
        <v>872</v>
      </c>
      <c r="M14" t="s">
        <v>586</v>
      </c>
      <c r="N14">
        <v>26.28748180494905</v>
      </c>
      <c r="O14">
        <v>13.74</v>
      </c>
      <c r="P14">
        <v>3.12</v>
      </c>
      <c r="Q14">
        <v>0.2270742358078603</v>
      </c>
      <c r="R14">
        <v>11</v>
      </c>
      <c r="S14">
        <v>0.1300629855521807</v>
      </c>
      <c r="T14" t="s">
        <v>885</v>
      </c>
      <c r="U14">
        <v>-0.419204007667619</v>
      </c>
      <c r="V14" t="s">
        <v>978</v>
      </c>
      <c r="W14" t="s">
        <v>982</v>
      </c>
      <c r="X14">
        <v>101808.581596</v>
      </c>
      <c r="Y14" s="2">
        <v>44824</v>
      </c>
      <c r="Z14" t="s">
        <v>1000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869</v>
      </c>
      <c r="D15">
        <v>217</v>
      </c>
      <c r="E15">
        <v>210.98</v>
      </c>
      <c r="F15">
        <v>225</v>
      </c>
      <c r="G15">
        <v>0.9376888888888888</v>
      </c>
      <c r="H15">
        <v>0.01317660441748033</v>
      </c>
      <c r="I15">
        <v>0.01295055335784823</v>
      </c>
      <c r="J15">
        <v>0.12</v>
      </c>
      <c r="K15">
        <v>0.1456049508901665</v>
      </c>
      <c r="L15" t="s">
        <v>872</v>
      </c>
      <c r="M15" t="s">
        <v>568</v>
      </c>
      <c r="N15">
        <v>22.93260869565217</v>
      </c>
      <c r="O15">
        <v>9.199999999999999</v>
      </c>
      <c r="P15">
        <v>2.78</v>
      </c>
      <c r="Q15">
        <v>0.3021739130434782</v>
      </c>
      <c r="R15">
        <v>28</v>
      </c>
      <c r="S15">
        <v>0.1200315510412975</v>
      </c>
      <c r="T15" t="s">
        <v>886</v>
      </c>
      <c r="U15">
        <v>-0.209320262020876</v>
      </c>
      <c r="V15" t="s">
        <v>978</v>
      </c>
      <c r="W15" t="s">
        <v>988</v>
      </c>
      <c r="X15">
        <v>79841.14642</v>
      </c>
      <c r="Y15" s="2">
        <v>44867</v>
      </c>
      <c r="Z15" t="s">
        <v>993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869</v>
      </c>
      <c r="D16">
        <v>94</v>
      </c>
      <c r="E16">
        <v>103.55</v>
      </c>
      <c r="F16">
        <v>153</v>
      </c>
      <c r="G16">
        <v>0.676797385620915</v>
      </c>
      <c r="H16">
        <v>0.02472235634958957</v>
      </c>
      <c r="I16">
        <v>0.08120554796499624</v>
      </c>
      <c r="J16">
        <v>0.04</v>
      </c>
      <c r="K16">
        <v>0.1431490856093256</v>
      </c>
      <c r="L16" t="s">
        <v>872</v>
      </c>
      <c r="M16" t="s">
        <v>873</v>
      </c>
      <c r="N16">
        <v>10.15196078431373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-0.149149807151578</v>
      </c>
      <c r="V16" t="s">
        <v>978</v>
      </c>
      <c r="W16" t="s">
        <v>983</v>
      </c>
      <c r="X16">
        <v>6001.604125</v>
      </c>
      <c r="Y16" s="2">
        <v>44859</v>
      </c>
      <c r="Z16" t="s">
        <v>993</v>
      </c>
    </row>
    <row r="17" spans="1:26">
      <c r="A17" s="1" t="s">
        <v>41</v>
      </c>
      <c r="B17">
        <f>HYPERLINK("https://www.suredividend.com/sure-analysis-ALB/","Albemarle Corp.")</f>
        <v>0</v>
      </c>
      <c r="C17" t="s">
        <v>869</v>
      </c>
      <c r="D17">
        <v>281</v>
      </c>
      <c r="E17">
        <v>284.99</v>
      </c>
      <c r="F17">
        <v>374</v>
      </c>
      <c r="G17">
        <v>0.762005347593583</v>
      </c>
      <c r="H17">
        <v>0.005544054177339556</v>
      </c>
      <c r="I17">
        <v>0.05586500516689674</v>
      </c>
      <c r="J17">
        <v>0.075</v>
      </c>
      <c r="K17">
        <v>0.1391976373238275</v>
      </c>
      <c r="L17" t="s">
        <v>872</v>
      </c>
      <c r="M17" t="s">
        <v>568</v>
      </c>
      <c r="N17">
        <v>13.7344578313253</v>
      </c>
      <c r="O17">
        <v>20.75</v>
      </c>
      <c r="P17">
        <v>1.58</v>
      </c>
      <c r="Q17">
        <v>0.07614457831325301</v>
      </c>
      <c r="R17">
        <v>27</v>
      </c>
      <c r="S17">
        <v>0.07516162260809378</v>
      </c>
      <c r="T17" t="s">
        <v>887</v>
      </c>
      <c r="U17">
        <v>0.052080553066774</v>
      </c>
      <c r="V17" t="s">
        <v>978</v>
      </c>
      <c r="W17" t="s">
        <v>989</v>
      </c>
      <c r="X17">
        <v>33387.374762</v>
      </c>
      <c r="Y17" s="2">
        <v>44789</v>
      </c>
      <c r="Z17" t="s">
        <v>993</v>
      </c>
    </row>
    <row r="18" spans="1:26">
      <c r="A18" s="1" t="s">
        <v>42</v>
      </c>
      <c r="B18">
        <f>HYPERLINK("https://www.suredividend.com/sure-analysis-BRC/","Brady Corp.")</f>
        <v>0</v>
      </c>
      <c r="C18" t="s">
        <v>869</v>
      </c>
      <c r="D18">
        <v>46</v>
      </c>
      <c r="E18">
        <v>46.58</v>
      </c>
      <c r="F18">
        <v>66</v>
      </c>
      <c r="G18">
        <v>0.7057575757575757</v>
      </c>
      <c r="H18">
        <v>0.0197509660798626</v>
      </c>
      <c r="I18">
        <v>0.07218293403858311</v>
      </c>
      <c r="J18">
        <v>0.05</v>
      </c>
      <c r="K18">
        <v>0.138584662688265</v>
      </c>
      <c r="L18" t="s">
        <v>872</v>
      </c>
      <c r="M18" t="s">
        <v>873</v>
      </c>
      <c r="N18">
        <v>13.50144927536232</v>
      </c>
      <c r="O18">
        <v>3.45</v>
      </c>
      <c r="P18">
        <v>0.92</v>
      </c>
      <c r="Q18">
        <v>0.2666666666666667</v>
      </c>
      <c r="R18">
        <v>37</v>
      </c>
      <c r="S18">
        <v>0.02085125936929089</v>
      </c>
      <c r="T18" t="s">
        <v>885</v>
      </c>
      <c r="U18">
        <v>-0.121200058108712</v>
      </c>
      <c r="V18" t="s">
        <v>978</v>
      </c>
      <c r="W18" t="s">
        <v>984</v>
      </c>
      <c r="X18">
        <v>2160.39484</v>
      </c>
      <c r="Y18" s="2">
        <v>44805</v>
      </c>
      <c r="Z18" t="s">
        <v>993</v>
      </c>
    </row>
    <row r="19" spans="1:26">
      <c r="A19" s="1" t="s">
        <v>43</v>
      </c>
      <c r="B19">
        <f>HYPERLINK("https://www.suredividend.com/sure-analysis-RHI/","Robert Half International Inc.")</f>
        <v>0</v>
      </c>
      <c r="C19" t="s">
        <v>869</v>
      </c>
      <c r="D19">
        <v>76</v>
      </c>
      <c r="E19">
        <v>74.63</v>
      </c>
      <c r="F19">
        <v>120</v>
      </c>
      <c r="G19">
        <v>0.6219166666666667</v>
      </c>
      <c r="H19">
        <v>0.02304703202465496</v>
      </c>
      <c r="I19">
        <v>0.0996476764114147</v>
      </c>
      <c r="J19">
        <v>0.02</v>
      </c>
      <c r="K19">
        <v>0.1385184348079445</v>
      </c>
      <c r="L19" t="s">
        <v>872</v>
      </c>
      <c r="M19" t="s">
        <v>873</v>
      </c>
      <c r="N19">
        <v>12.43833333333333</v>
      </c>
      <c r="O19">
        <v>6</v>
      </c>
      <c r="P19">
        <v>1.72</v>
      </c>
      <c r="Q19">
        <v>0.2866666666666667</v>
      </c>
      <c r="R19">
        <v>18</v>
      </c>
      <c r="S19">
        <v>0.05983895403096029</v>
      </c>
      <c r="T19" t="s">
        <v>879</v>
      </c>
      <c r="U19">
        <v>-0.364941863631412</v>
      </c>
      <c r="V19" t="s">
        <v>978</v>
      </c>
      <c r="W19" t="s">
        <v>984</v>
      </c>
      <c r="X19">
        <v>8097.245742</v>
      </c>
      <c r="Y19" s="2">
        <v>44868</v>
      </c>
      <c r="Z19" t="s">
        <v>995</v>
      </c>
    </row>
    <row r="20" spans="1:26">
      <c r="A20" s="1" t="s">
        <v>44</v>
      </c>
      <c r="B20">
        <f>HYPERLINK("https://www.suredividend.com/sure-analysis-DCI/","Donaldson Co. Inc.")</f>
        <v>0</v>
      </c>
      <c r="C20" t="s">
        <v>869</v>
      </c>
      <c r="D20">
        <v>51</v>
      </c>
      <c r="E20">
        <v>58.58</v>
      </c>
      <c r="F20">
        <v>72</v>
      </c>
      <c r="G20">
        <v>0.8136111111111111</v>
      </c>
      <c r="H20">
        <v>0.01570501877773984</v>
      </c>
      <c r="I20">
        <v>0.04211734851149984</v>
      </c>
      <c r="J20">
        <v>0.08</v>
      </c>
      <c r="K20">
        <v>0.1376149343094397</v>
      </c>
      <c r="L20" t="s">
        <v>872</v>
      </c>
      <c r="M20" t="s">
        <v>568</v>
      </c>
      <c r="N20">
        <v>19.52666666666667</v>
      </c>
      <c r="O20">
        <v>3</v>
      </c>
      <c r="P20">
        <v>0.92</v>
      </c>
      <c r="Q20">
        <v>0.3066666666666667</v>
      </c>
      <c r="R20">
        <v>26</v>
      </c>
      <c r="S20">
        <v>0.07971513264886743</v>
      </c>
      <c r="T20" t="s">
        <v>888</v>
      </c>
      <c r="U20">
        <v>-0.019858818175277</v>
      </c>
      <c r="V20" t="s">
        <v>978</v>
      </c>
      <c r="W20" t="s">
        <v>984</v>
      </c>
      <c r="X20">
        <v>7173.770359</v>
      </c>
      <c r="Y20" s="2">
        <v>44811</v>
      </c>
      <c r="Z20" t="s">
        <v>1001</v>
      </c>
    </row>
    <row r="21" spans="1:26">
      <c r="A21" s="1" t="s">
        <v>45</v>
      </c>
      <c r="B21">
        <f>HYPERLINK("https://www.suredividend.com/sure-analysis-PRI/","Primerica Inc")</f>
        <v>0</v>
      </c>
      <c r="C21" t="s">
        <v>869</v>
      </c>
      <c r="D21">
        <v>137</v>
      </c>
      <c r="E21">
        <v>143.3</v>
      </c>
      <c r="F21">
        <v>153</v>
      </c>
      <c r="G21">
        <v>0.9366013071895426</v>
      </c>
      <c r="H21">
        <v>0.01535240753663643</v>
      </c>
      <c r="I21">
        <v>0.01318569185910246</v>
      </c>
      <c r="J21">
        <v>0.11</v>
      </c>
      <c r="K21">
        <v>0.1365365854020988</v>
      </c>
      <c r="L21" t="s">
        <v>872</v>
      </c>
      <c r="M21" t="s">
        <v>568</v>
      </c>
      <c r="N21">
        <v>12.19574468085107</v>
      </c>
      <c r="O21">
        <v>11.75</v>
      </c>
      <c r="P21">
        <v>2.2</v>
      </c>
      <c r="Q21">
        <v>0.1872340425531915</v>
      </c>
      <c r="R21">
        <v>12</v>
      </c>
      <c r="S21">
        <v>0.07983144053217384</v>
      </c>
      <c r="T21" t="s">
        <v>884</v>
      </c>
      <c r="U21">
        <v>-0.164529405008509</v>
      </c>
      <c r="V21" t="s">
        <v>978</v>
      </c>
      <c r="W21" t="s">
        <v>986</v>
      </c>
      <c r="X21">
        <v>5367.02751</v>
      </c>
      <c r="Y21" s="2">
        <v>44788</v>
      </c>
      <c r="Z21" t="s">
        <v>1002</v>
      </c>
    </row>
    <row r="22" spans="1:26">
      <c r="A22" s="1" t="s">
        <v>46</v>
      </c>
      <c r="B22">
        <f>HYPERLINK("https://www.suredividend.com/sure-analysis-CHRW/","C.H. Robinson Worldwide, Inc.")</f>
        <v>0</v>
      </c>
      <c r="C22" t="s">
        <v>870</v>
      </c>
      <c r="D22">
        <v>111</v>
      </c>
      <c r="E22">
        <v>89.97</v>
      </c>
      <c r="F22">
        <v>129</v>
      </c>
      <c r="G22">
        <v>0.6974418604651162</v>
      </c>
      <c r="H22">
        <v>0.02445259530954763</v>
      </c>
      <c r="I22">
        <v>0.07472758975329552</v>
      </c>
      <c r="J22">
        <v>0.04</v>
      </c>
      <c r="K22">
        <v>0.1348479544567409</v>
      </c>
      <c r="L22" t="s">
        <v>872</v>
      </c>
      <c r="M22" t="s">
        <v>873</v>
      </c>
      <c r="N22">
        <v>10.4252607184241</v>
      </c>
      <c r="O22">
        <v>8.630000000000001</v>
      </c>
      <c r="P22">
        <v>2.2</v>
      </c>
      <c r="Q22">
        <v>0.2549246813441483</v>
      </c>
      <c r="R22">
        <v>22</v>
      </c>
      <c r="S22">
        <v>0.04026125343417397</v>
      </c>
      <c r="T22" t="s">
        <v>889</v>
      </c>
      <c r="U22">
        <v>-0.038644421316727</v>
      </c>
      <c r="V22" t="s">
        <v>978</v>
      </c>
      <c r="W22" t="s">
        <v>984</v>
      </c>
      <c r="X22">
        <v>11145.780411</v>
      </c>
      <c r="Y22" s="2">
        <v>44772</v>
      </c>
      <c r="Z22" t="s">
        <v>997</v>
      </c>
    </row>
    <row r="23" spans="1:26">
      <c r="A23" s="1" t="s">
        <v>47</v>
      </c>
      <c r="B23">
        <f>HYPERLINK("https://www.suredividend.com/sure-analysis-TCEHY/","Tencent Holdings Ltd.")</f>
        <v>0</v>
      </c>
      <c r="C23" t="s">
        <v>870</v>
      </c>
      <c r="D23">
        <v>40</v>
      </c>
      <c r="E23">
        <v>30.89</v>
      </c>
      <c r="F23">
        <v>35</v>
      </c>
      <c r="G23">
        <v>0.8825714285714286</v>
      </c>
      <c r="H23">
        <v>0.006474587245063127</v>
      </c>
      <c r="I23">
        <v>0.02529780403313997</v>
      </c>
      <c r="J23">
        <v>0.1</v>
      </c>
      <c r="K23">
        <v>0.1339434927381289</v>
      </c>
      <c r="L23" t="s">
        <v>872</v>
      </c>
      <c r="M23" t="s">
        <v>586</v>
      </c>
      <c r="N23">
        <v>17.65142857142857</v>
      </c>
      <c r="O23">
        <v>1.75</v>
      </c>
      <c r="P23">
        <v>0.2</v>
      </c>
      <c r="Q23">
        <v>0.1142857142857143</v>
      </c>
      <c r="R23">
        <v>0</v>
      </c>
      <c r="S23">
        <v>0.1486983549970351</v>
      </c>
      <c r="T23" t="s">
        <v>890</v>
      </c>
      <c r="U23">
        <v>-0.48687707641196</v>
      </c>
      <c r="V23" t="s">
        <v>978</v>
      </c>
      <c r="W23" t="s">
        <v>985</v>
      </c>
      <c r="X23">
        <v>296815.69698</v>
      </c>
      <c r="Y23" s="2">
        <v>44794</v>
      </c>
      <c r="Z23" t="s">
        <v>1000</v>
      </c>
    </row>
    <row r="24" spans="1:26">
      <c r="A24" s="1" t="s">
        <v>48</v>
      </c>
      <c r="B24">
        <f>HYPERLINK("https://www.suredividend.com/sure-analysis-BEN/","Franklin Resources, Inc.")</f>
        <v>0</v>
      </c>
      <c r="C24" t="s">
        <v>870</v>
      </c>
      <c r="D24">
        <v>28</v>
      </c>
      <c r="E24">
        <v>23.33</v>
      </c>
      <c r="F24">
        <v>32</v>
      </c>
      <c r="G24">
        <v>0.7290624999999999</v>
      </c>
      <c r="H24">
        <v>0.04972138876982426</v>
      </c>
      <c r="I24">
        <v>0.06523897467203899</v>
      </c>
      <c r="J24">
        <v>0.03</v>
      </c>
      <c r="K24">
        <v>0.1335099800311168</v>
      </c>
      <c r="L24" t="s">
        <v>872</v>
      </c>
      <c r="M24" t="s">
        <v>872</v>
      </c>
      <c r="N24">
        <v>6.480555555555555</v>
      </c>
      <c r="O24">
        <v>3.6</v>
      </c>
      <c r="P24">
        <v>1.16</v>
      </c>
      <c r="Q24">
        <v>0.3222222222222222</v>
      </c>
      <c r="R24">
        <v>42</v>
      </c>
      <c r="S24">
        <v>0.04127650931301274</v>
      </c>
      <c r="T24" t="s">
        <v>886</v>
      </c>
      <c r="U24">
        <v>-0.328406974434557</v>
      </c>
      <c r="V24" t="s">
        <v>978</v>
      </c>
      <c r="W24" t="s">
        <v>986</v>
      </c>
      <c r="X24">
        <v>11626.6714</v>
      </c>
      <c r="Y24" s="2">
        <v>44774</v>
      </c>
      <c r="Z24" t="s">
        <v>998</v>
      </c>
    </row>
    <row r="25" spans="1:26">
      <c r="A25" s="1" t="s">
        <v>49</v>
      </c>
      <c r="B25">
        <f>HYPERLINK("https://www.suredividend.com/sure-analysis-AMAT/","Applied Materials Inc.")</f>
        <v>0</v>
      </c>
      <c r="C25" t="s">
        <v>869</v>
      </c>
      <c r="D25">
        <v>99</v>
      </c>
      <c r="E25">
        <v>91.7</v>
      </c>
      <c r="F25">
        <v>123</v>
      </c>
      <c r="G25">
        <v>0.7455284552845529</v>
      </c>
      <c r="H25">
        <v>0.01134133042529989</v>
      </c>
      <c r="I25">
        <v>0.06049141019625126</v>
      </c>
      <c r="J25">
        <v>0.06</v>
      </c>
      <c r="K25">
        <v>0.1334851920330415</v>
      </c>
      <c r="L25" t="s">
        <v>872</v>
      </c>
      <c r="M25" t="s">
        <v>568</v>
      </c>
      <c r="N25">
        <v>11.90909090909091</v>
      </c>
      <c r="O25">
        <v>7.7</v>
      </c>
      <c r="P25">
        <v>1.04</v>
      </c>
      <c r="Q25">
        <v>0.1350649350649351</v>
      </c>
      <c r="R25">
        <v>5</v>
      </c>
      <c r="S25">
        <v>0.09935163429189564</v>
      </c>
      <c r="T25" t="s">
        <v>879</v>
      </c>
      <c r="U25">
        <v>-0.3851456004720361</v>
      </c>
      <c r="V25" t="s">
        <v>978</v>
      </c>
      <c r="W25" t="s">
        <v>982</v>
      </c>
      <c r="X25">
        <v>78890.369871</v>
      </c>
      <c r="Y25" s="2">
        <v>44802</v>
      </c>
      <c r="Z25" t="s">
        <v>1001</v>
      </c>
    </row>
    <row r="26" spans="1:26">
      <c r="A26" s="1" t="s">
        <v>50</v>
      </c>
      <c r="B26">
        <f>HYPERLINK("https://www.suredividend.com/sure-analysis-ANDE/","Andersons Inc.")</f>
        <v>0</v>
      </c>
      <c r="C26" t="s">
        <v>869</v>
      </c>
      <c r="D26">
        <v>35</v>
      </c>
      <c r="E26">
        <v>37.4</v>
      </c>
      <c r="F26">
        <v>54</v>
      </c>
      <c r="G26">
        <v>0.6925925925925925</v>
      </c>
      <c r="H26">
        <v>0.01925133689839572</v>
      </c>
      <c r="I26">
        <v>0.07622835862629862</v>
      </c>
      <c r="J26">
        <v>0.04</v>
      </c>
      <c r="K26">
        <v>0.1328045132080893</v>
      </c>
      <c r="L26" t="s">
        <v>872</v>
      </c>
      <c r="M26" t="s">
        <v>873</v>
      </c>
      <c r="N26">
        <v>10.38888888888889</v>
      </c>
      <c r="O26">
        <v>3.6</v>
      </c>
      <c r="P26">
        <v>0.72</v>
      </c>
      <c r="Q26">
        <v>0.2</v>
      </c>
      <c r="R26">
        <v>26</v>
      </c>
      <c r="S26">
        <v>0.04095039696925684</v>
      </c>
      <c r="T26" t="s">
        <v>891</v>
      </c>
      <c r="U26">
        <v>0.02995687399827</v>
      </c>
      <c r="V26" t="s">
        <v>978</v>
      </c>
      <c r="W26" t="s">
        <v>990</v>
      </c>
      <c r="X26">
        <v>1266.398184</v>
      </c>
      <c r="Y26" s="2">
        <v>44867</v>
      </c>
      <c r="Z26" t="s">
        <v>1002</v>
      </c>
    </row>
    <row r="27" spans="1:26">
      <c r="A27" s="1" t="s">
        <v>51</v>
      </c>
      <c r="B27">
        <f>HYPERLINK("https://www.suredividend.com/sure-analysis-LEG/","Leggett &amp; Platt, Inc.")</f>
        <v>0</v>
      </c>
      <c r="C27" t="s">
        <v>870</v>
      </c>
      <c r="D27">
        <v>41</v>
      </c>
      <c r="E27">
        <v>33.38</v>
      </c>
      <c r="F27">
        <v>41</v>
      </c>
      <c r="G27">
        <v>0.8141463414634147</v>
      </c>
      <c r="H27">
        <v>0.05272618334331935</v>
      </c>
      <c r="I27">
        <v>0.0419802921765664</v>
      </c>
      <c r="J27">
        <v>0.05</v>
      </c>
      <c r="K27">
        <v>0.1326967342512444</v>
      </c>
      <c r="L27" t="s">
        <v>872</v>
      </c>
      <c r="M27" t="s">
        <v>872</v>
      </c>
      <c r="N27">
        <v>12.22710622710623</v>
      </c>
      <c r="O27">
        <v>2.73</v>
      </c>
      <c r="P27">
        <v>1.76</v>
      </c>
      <c r="Q27">
        <v>0.6446886446886447</v>
      </c>
      <c r="R27">
        <v>51</v>
      </c>
      <c r="S27">
        <v>0.03987280625583534</v>
      </c>
      <c r="T27" t="s">
        <v>883</v>
      </c>
      <c r="U27">
        <v>-0.200632214186503</v>
      </c>
      <c r="V27" t="s">
        <v>978</v>
      </c>
      <c r="W27" t="s">
        <v>983</v>
      </c>
      <c r="X27">
        <v>4425.433512</v>
      </c>
      <c r="Y27" s="2">
        <v>44791</v>
      </c>
      <c r="Z27" t="s">
        <v>994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869</v>
      </c>
      <c r="D28">
        <v>18</v>
      </c>
      <c r="E28">
        <v>17.69</v>
      </c>
      <c r="F28">
        <v>23</v>
      </c>
      <c r="G28">
        <v>0.7691304347826088</v>
      </c>
      <c r="H28">
        <v>0.04748445449406444</v>
      </c>
      <c r="I28">
        <v>0.05390144657753249</v>
      </c>
      <c r="J28">
        <v>0.04</v>
      </c>
      <c r="K28">
        <v>0.1313945358395889</v>
      </c>
      <c r="L28" t="s">
        <v>872</v>
      </c>
      <c r="M28" t="s">
        <v>872</v>
      </c>
      <c r="N28">
        <v>8.423809523809524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892</v>
      </c>
      <c r="U28">
        <v>-0.118865932139228</v>
      </c>
      <c r="V28" t="s">
        <v>978</v>
      </c>
      <c r="W28" t="s">
        <v>986</v>
      </c>
      <c r="X28">
        <v>404.280255</v>
      </c>
      <c r="Y28" s="2">
        <v>44866</v>
      </c>
      <c r="Z28" t="s">
        <v>994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869</v>
      </c>
      <c r="D29">
        <v>68</v>
      </c>
      <c r="E29">
        <v>61.12</v>
      </c>
      <c r="F29">
        <v>80</v>
      </c>
      <c r="G29">
        <v>0.764</v>
      </c>
      <c r="H29">
        <v>0.01734293193717278</v>
      </c>
      <c r="I29">
        <v>0.05531309769262749</v>
      </c>
      <c r="J29">
        <v>0.06</v>
      </c>
      <c r="K29">
        <v>0.1307852688354016</v>
      </c>
      <c r="L29" t="s">
        <v>872</v>
      </c>
      <c r="M29" t="s">
        <v>873</v>
      </c>
      <c r="N29">
        <v>13.73483146067416</v>
      </c>
      <c r="O29">
        <v>4.45</v>
      </c>
      <c r="P29">
        <v>1.06</v>
      </c>
      <c r="Q29">
        <v>0.2382022471910112</v>
      </c>
      <c r="R29">
        <v>51</v>
      </c>
      <c r="S29">
        <v>0.03843859492360835</v>
      </c>
      <c r="T29" t="s">
        <v>881</v>
      </c>
      <c r="U29">
        <v>-0.2417927037434</v>
      </c>
      <c r="V29" t="s">
        <v>978</v>
      </c>
      <c r="W29" t="s">
        <v>984</v>
      </c>
      <c r="X29">
        <v>1136.61374</v>
      </c>
      <c r="Y29" s="2">
        <v>44783</v>
      </c>
      <c r="Z29" t="s">
        <v>994</v>
      </c>
    </row>
    <row r="30" spans="1:26">
      <c r="A30" s="1" t="s">
        <v>54</v>
      </c>
      <c r="B30">
        <f>HYPERLINK("https://www.suredividend.com/sure-analysis-MSFT/","Microsoft Corporation")</f>
        <v>0</v>
      </c>
      <c r="C30" t="s">
        <v>869</v>
      </c>
      <c r="D30">
        <v>231</v>
      </c>
      <c r="E30">
        <v>221.39</v>
      </c>
      <c r="F30">
        <v>240</v>
      </c>
      <c r="G30">
        <v>0.9224583333333333</v>
      </c>
      <c r="H30">
        <v>0.01228601111161299</v>
      </c>
      <c r="I30">
        <v>0.01627361016141804</v>
      </c>
      <c r="J30">
        <v>0.1</v>
      </c>
      <c r="K30">
        <v>0.1279434441121272</v>
      </c>
      <c r="L30" t="s">
        <v>872</v>
      </c>
      <c r="M30" t="s">
        <v>568</v>
      </c>
      <c r="N30">
        <v>22.139</v>
      </c>
      <c r="O30">
        <v>10</v>
      </c>
      <c r="P30">
        <v>2.72</v>
      </c>
      <c r="Q30">
        <v>0.272</v>
      </c>
      <c r="R30">
        <v>21</v>
      </c>
      <c r="S30">
        <v>0.08869163325077611</v>
      </c>
      <c r="T30" t="s">
        <v>876</v>
      </c>
      <c r="U30">
        <v>-0.336451811007904</v>
      </c>
      <c r="V30" t="s">
        <v>978</v>
      </c>
      <c r="W30" t="s">
        <v>982</v>
      </c>
      <c r="X30">
        <v>1650345.80935</v>
      </c>
      <c r="Y30" s="2">
        <v>44861</v>
      </c>
      <c r="Z30" t="s">
        <v>996</v>
      </c>
    </row>
    <row r="31" spans="1:26">
      <c r="A31" s="1" t="s">
        <v>55</v>
      </c>
      <c r="B31">
        <f>HYPERLINK("https://www.suredividend.com/sure-analysis-ABM/","ABM Industries Inc.")</f>
        <v>0</v>
      </c>
      <c r="C31" t="s">
        <v>869</v>
      </c>
      <c r="D31">
        <v>42</v>
      </c>
      <c r="E31">
        <v>43.05</v>
      </c>
      <c r="F31">
        <v>58</v>
      </c>
      <c r="G31">
        <v>0.7422413793103447</v>
      </c>
      <c r="H31">
        <v>0.01811846689895471</v>
      </c>
      <c r="I31">
        <v>0.06142904510198388</v>
      </c>
      <c r="J31">
        <v>0.05</v>
      </c>
      <c r="K31">
        <v>0.1270228427508284</v>
      </c>
      <c r="L31" t="s">
        <v>872</v>
      </c>
      <c r="M31" t="s">
        <v>873</v>
      </c>
      <c r="N31">
        <v>11.7945205479452</v>
      </c>
      <c r="O31">
        <v>3.65</v>
      </c>
      <c r="P31">
        <v>0.78</v>
      </c>
      <c r="Q31">
        <v>0.2136986301369863</v>
      </c>
      <c r="R31">
        <v>54</v>
      </c>
      <c r="S31">
        <v>0.02903366107118788</v>
      </c>
      <c r="T31" t="s">
        <v>893</v>
      </c>
      <c r="U31">
        <v>-0.053365554820139</v>
      </c>
      <c r="V31" t="s">
        <v>978</v>
      </c>
      <c r="W31" t="s">
        <v>984</v>
      </c>
      <c r="X31">
        <v>2847.823797</v>
      </c>
      <c r="Y31" s="2">
        <v>44858</v>
      </c>
      <c r="Z31" t="s">
        <v>994</v>
      </c>
    </row>
    <row r="32" spans="1:26">
      <c r="A32" s="1" t="s">
        <v>56</v>
      </c>
      <c r="B32">
        <f>HYPERLINK("https://www.suredividend.com/sure-analysis-NKE/","Nike, Inc.")</f>
        <v>0</v>
      </c>
      <c r="C32" t="s">
        <v>869</v>
      </c>
      <c r="D32">
        <v>87</v>
      </c>
      <c r="E32">
        <v>95.79000000000001</v>
      </c>
      <c r="F32">
        <v>94</v>
      </c>
      <c r="G32">
        <v>1.01904255319149</v>
      </c>
      <c r="H32">
        <v>0.01273619375717716</v>
      </c>
      <c r="I32">
        <v>-0.003765594923635041</v>
      </c>
      <c r="J32">
        <v>0.12</v>
      </c>
      <c r="K32">
        <v>0.1265904697452156</v>
      </c>
      <c r="L32" t="s">
        <v>872</v>
      </c>
      <c r="M32" t="s">
        <v>568</v>
      </c>
      <c r="N32">
        <v>24.56153846153846</v>
      </c>
      <c r="O32">
        <v>3.9</v>
      </c>
      <c r="P32">
        <v>1.22</v>
      </c>
      <c r="Q32">
        <v>0.3128205128205128</v>
      </c>
      <c r="R32">
        <v>20</v>
      </c>
      <c r="S32">
        <v>0.09945953022431997</v>
      </c>
      <c r="T32" t="s">
        <v>894</v>
      </c>
      <c r="U32">
        <v>-0.448834981343015</v>
      </c>
      <c r="V32" t="s">
        <v>978</v>
      </c>
      <c r="W32" t="s">
        <v>983</v>
      </c>
      <c r="X32">
        <v>121045.287631</v>
      </c>
      <c r="Y32" s="2">
        <v>44834</v>
      </c>
      <c r="Z32" t="s">
        <v>996</v>
      </c>
    </row>
    <row r="33" spans="1:26">
      <c r="A33" s="1" t="s">
        <v>57</v>
      </c>
      <c r="B33">
        <f>HYPERLINK("https://www.suredividend.com/sure-analysis-WBA/","Walgreens Boots Alliance Inc")</f>
        <v>0</v>
      </c>
      <c r="C33" t="s">
        <v>869</v>
      </c>
      <c r="D33">
        <v>34</v>
      </c>
      <c r="E33">
        <v>37.07</v>
      </c>
      <c r="F33">
        <v>46</v>
      </c>
      <c r="G33">
        <v>0.8058695652173913</v>
      </c>
      <c r="H33">
        <v>0.0517939034259509</v>
      </c>
      <c r="I33">
        <v>0.0441119086040902</v>
      </c>
      <c r="J33">
        <v>0.04</v>
      </c>
      <c r="K33">
        <v>0.1249712934911655</v>
      </c>
      <c r="L33" t="s">
        <v>872</v>
      </c>
      <c r="M33" t="s">
        <v>872</v>
      </c>
      <c r="N33">
        <v>8.147252747252749</v>
      </c>
      <c r="O33">
        <v>4.55</v>
      </c>
      <c r="P33">
        <v>1.92</v>
      </c>
      <c r="Q33">
        <v>0.421978021978022</v>
      </c>
      <c r="R33">
        <v>47</v>
      </c>
      <c r="S33">
        <v>0.0403582746309219</v>
      </c>
      <c r="T33" t="s">
        <v>895</v>
      </c>
      <c r="U33">
        <v>-0.218278821619113</v>
      </c>
      <c r="V33" t="s">
        <v>978</v>
      </c>
      <c r="W33" t="s">
        <v>988</v>
      </c>
      <c r="X33">
        <v>32058.621283</v>
      </c>
      <c r="Y33" s="2">
        <v>44848</v>
      </c>
      <c r="Z33" t="s">
        <v>996</v>
      </c>
    </row>
    <row r="34" spans="1:26">
      <c r="A34" s="1" t="s">
        <v>58</v>
      </c>
      <c r="B34">
        <f>HYPERLINK("https://www.suredividend.com/sure-analysis-EXPD/","Expeditors International Of Washington, Inc.")</f>
        <v>0</v>
      </c>
      <c r="C34" t="s">
        <v>870</v>
      </c>
      <c r="D34">
        <v>107</v>
      </c>
      <c r="E34">
        <v>94.86</v>
      </c>
      <c r="F34">
        <v>147</v>
      </c>
      <c r="G34">
        <v>0.6453061224489796</v>
      </c>
      <c r="H34">
        <v>0.01412608053974278</v>
      </c>
      <c r="I34">
        <v>0.09155806526001897</v>
      </c>
      <c r="J34">
        <v>0.02</v>
      </c>
      <c r="K34">
        <v>0.1235568133996228</v>
      </c>
      <c r="L34" t="s">
        <v>872</v>
      </c>
      <c r="M34" t="s">
        <v>873</v>
      </c>
      <c r="N34">
        <v>11.61077111383109</v>
      </c>
      <c r="O34">
        <v>8.17</v>
      </c>
      <c r="P34">
        <v>1.34</v>
      </c>
      <c r="Q34">
        <v>0.164014687882497</v>
      </c>
      <c r="R34">
        <v>27</v>
      </c>
      <c r="S34">
        <v>0.0399598224746982</v>
      </c>
      <c r="T34" t="s">
        <v>896</v>
      </c>
      <c r="U34">
        <v>-0.271046738767926</v>
      </c>
      <c r="V34" t="s">
        <v>978</v>
      </c>
      <c r="W34" t="s">
        <v>984</v>
      </c>
      <c r="X34">
        <v>15913.133436</v>
      </c>
      <c r="Y34" s="2">
        <v>44793</v>
      </c>
      <c r="Z34" t="s">
        <v>997</v>
      </c>
    </row>
    <row r="35" spans="1:26">
      <c r="A35" s="1" t="s">
        <v>59</v>
      </c>
      <c r="B35">
        <f>HYPERLINK("https://www.suredividend.com/sure-analysis-CPKF/","Chesapeake Financial Shares Inc")</f>
        <v>0</v>
      </c>
      <c r="C35" t="s">
        <v>870</v>
      </c>
      <c r="D35">
        <v>25</v>
      </c>
      <c r="E35">
        <v>21.5</v>
      </c>
      <c r="F35">
        <v>31</v>
      </c>
      <c r="G35">
        <v>0.6935483870967742</v>
      </c>
      <c r="H35">
        <v>0.02790697674418605</v>
      </c>
      <c r="I35">
        <v>0.07593156010932822</v>
      </c>
      <c r="J35">
        <v>0.02</v>
      </c>
      <c r="K35">
        <v>0.1189885205838259</v>
      </c>
      <c r="L35" t="s">
        <v>872</v>
      </c>
      <c r="M35" t="s">
        <v>872</v>
      </c>
      <c r="N35">
        <v>6.323529411764706</v>
      </c>
      <c r="O35">
        <v>3.4</v>
      </c>
      <c r="P35">
        <v>0.6</v>
      </c>
      <c r="Q35">
        <v>0.1764705882352941</v>
      </c>
      <c r="R35">
        <v>29</v>
      </c>
      <c r="S35">
        <v>0.05115774595007161</v>
      </c>
      <c r="T35" t="s">
        <v>874</v>
      </c>
      <c r="U35">
        <v>-0.267211997273347</v>
      </c>
      <c r="V35" t="s">
        <v>978</v>
      </c>
      <c r="W35" t="s">
        <v>986</v>
      </c>
      <c r="X35">
        <v>101.350033</v>
      </c>
      <c r="Y35" s="2">
        <v>44765</v>
      </c>
      <c r="Z35" t="s">
        <v>1001</v>
      </c>
    </row>
    <row r="36" spans="1:26">
      <c r="A36" s="1" t="s">
        <v>60</v>
      </c>
      <c r="B36">
        <f>HYPERLINK("https://www.suredividend.com/sure-analysis-ODFL/","Old Dominion Freight Line, Inc.")</f>
        <v>0</v>
      </c>
      <c r="C36" t="s">
        <v>870</v>
      </c>
      <c r="D36">
        <v>274</v>
      </c>
      <c r="E36">
        <v>271.91</v>
      </c>
      <c r="F36">
        <v>262</v>
      </c>
      <c r="G36">
        <v>1.037824427480916</v>
      </c>
      <c r="H36">
        <v>0.004413224964142546</v>
      </c>
      <c r="I36">
        <v>-0.007397825465983665</v>
      </c>
      <c r="J36">
        <v>0.12</v>
      </c>
      <c r="K36">
        <v>0.1175779233285028</v>
      </c>
      <c r="L36" t="s">
        <v>872</v>
      </c>
      <c r="M36" t="s">
        <v>586</v>
      </c>
      <c r="N36">
        <v>22.84957983193278</v>
      </c>
      <c r="O36">
        <v>11.9</v>
      </c>
      <c r="P36">
        <v>1.2</v>
      </c>
      <c r="Q36">
        <v>0.1008403361344538</v>
      </c>
      <c r="R36">
        <v>5</v>
      </c>
      <c r="S36">
        <v>0.2498559668109293</v>
      </c>
      <c r="T36" t="s">
        <v>897</v>
      </c>
      <c r="U36">
        <v>-0.233455842450099</v>
      </c>
      <c r="V36" t="s">
        <v>978</v>
      </c>
      <c r="W36" t="s">
        <v>984</v>
      </c>
      <c r="X36">
        <v>30392.434079</v>
      </c>
      <c r="Y36" s="2">
        <v>44860</v>
      </c>
      <c r="Z36" t="s">
        <v>1000</v>
      </c>
    </row>
    <row r="37" spans="1:26">
      <c r="A37" s="1" t="s">
        <v>61</v>
      </c>
      <c r="B37">
        <f>HYPERLINK("https://www.suredividend.com/sure-analysis-TMO/","Thermo Fisher Scientific Inc.")</f>
        <v>0</v>
      </c>
      <c r="C37" t="s">
        <v>869</v>
      </c>
      <c r="D37">
        <v>498</v>
      </c>
      <c r="E37">
        <v>495.55</v>
      </c>
      <c r="F37">
        <v>529</v>
      </c>
      <c r="G37">
        <v>0.9367674858223063</v>
      </c>
      <c r="H37">
        <v>0.002421551811118959</v>
      </c>
      <c r="I37">
        <v>0.01314974232753374</v>
      </c>
      <c r="J37">
        <v>0.1</v>
      </c>
      <c r="K37">
        <v>0.1168860480823464</v>
      </c>
      <c r="L37" t="s">
        <v>872</v>
      </c>
      <c r="M37" t="s">
        <v>586</v>
      </c>
      <c r="N37">
        <v>21.53628857018687</v>
      </c>
      <c r="O37">
        <v>23.01</v>
      </c>
      <c r="P37">
        <v>1.2</v>
      </c>
      <c r="Q37">
        <v>0.05215123859191655</v>
      </c>
      <c r="R37">
        <v>5</v>
      </c>
      <c r="S37">
        <v>0.1496540121887568</v>
      </c>
      <c r="T37" t="s">
        <v>883</v>
      </c>
      <c r="U37">
        <v>-0.223796089016201</v>
      </c>
      <c r="V37" t="s">
        <v>978</v>
      </c>
      <c r="W37" t="s">
        <v>988</v>
      </c>
      <c r="X37">
        <v>194151.020119</v>
      </c>
      <c r="Y37" s="2">
        <v>44862</v>
      </c>
      <c r="Z37" t="s">
        <v>1000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869</v>
      </c>
      <c r="D38">
        <v>47</v>
      </c>
      <c r="E38">
        <v>47.79</v>
      </c>
      <c r="F38">
        <v>51</v>
      </c>
      <c r="G38">
        <v>0.9370588235294117</v>
      </c>
      <c r="H38">
        <v>0.01339192299644277</v>
      </c>
      <c r="I38">
        <v>0.01308673551723016</v>
      </c>
      <c r="J38">
        <v>0.09</v>
      </c>
      <c r="K38">
        <v>0.1160993643501647</v>
      </c>
      <c r="L38" t="s">
        <v>872</v>
      </c>
      <c r="M38" t="s">
        <v>568</v>
      </c>
      <c r="N38">
        <v>12.09873417721519</v>
      </c>
      <c r="O38">
        <v>3.95</v>
      </c>
      <c r="P38">
        <v>0.64</v>
      </c>
      <c r="Q38">
        <v>0.1620253164556962</v>
      </c>
      <c r="R38">
        <v>18</v>
      </c>
      <c r="S38">
        <v>0.09984491222048941</v>
      </c>
      <c r="T38" t="s">
        <v>874</v>
      </c>
      <c r="U38">
        <v>0.160486632184745</v>
      </c>
      <c r="V38" t="s">
        <v>978</v>
      </c>
      <c r="W38" t="s">
        <v>989</v>
      </c>
      <c r="X38">
        <v>5260.675745</v>
      </c>
      <c r="Y38" s="2">
        <v>44860</v>
      </c>
      <c r="Z38" t="s">
        <v>1000</v>
      </c>
    </row>
    <row r="39" spans="1:26">
      <c r="A39" s="1" t="s">
        <v>63</v>
      </c>
      <c r="B39">
        <f>HYPERLINK("https://www.suredividend.com/sure-analysis-AJG/","Arthur J. Gallagher &amp; Co.")</f>
        <v>0</v>
      </c>
      <c r="C39" t="s">
        <v>869</v>
      </c>
      <c r="D39">
        <v>179</v>
      </c>
      <c r="E39">
        <v>188.39</v>
      </c>
      <c r="F39">
        <v>195</v>
      </c>
      <c r="G39">
        <v>0.966102564102564</v>
      </c>
      <c r="H39">
        <v>0.01082860024417432</v>
      </c>
      <c r="I39">
        <v>0.006920894738887906</v>
      </c>
      <c r="J39">
        <v>0.1</v>
      </c>
      <c r="K39">
        <v>0.115831674505088</v>
      </c>
      <c r="L39" t="s">
        <v>872</v>
      </c>
      <c r="M39" t="s">
        <v>586</v>
      </c>
      <c r="N39">
        <v>24.1525641025641</v>
      </c>
      <c r="O39">
        <v>7.8</v>
      </c>
      <c r="P39">
        <v>2.04</v>
      </c>
      <c r="Q39">
        <v>0.2615384615384616</v>
      </c>
      <c r="R39">
        <v>12</v>
      </c>
      <c r="S39">
        <v>0.04970831195077574</v>
      </c>
      <c r="T39" t="s">
        <v>889</v>
      </c>
      <c r="U39">
        <v>0.186076585328385</v>
      </c>
      <c r="V39" t="s">
        <v>978</v>
      </c>
      <c r="W39" t="s">
        <v>986</v>
      </c>
      <c r="X39">
        <v>39720.1476</v>
      </c>
      <c r="Y39" s="2">
        <v>44779</v>
      </c>
      <c r="Z39" t="s">
        <v>1001</v>
      </c>
    </row>
    <row r="40" spans="1:26">
      <c r="A40" s="1" t="s">
        <v>64</v>
      </c>
      <c r="B40">
        <f>HYPERLINK("https://www.suredividend.com/sure-analysis-EBTC/","Enterprise Bancorp, Inc.")</f>
        <v>0</v>
      </c>
      <c r="C40" t="s">
        <v>869</v>
      </c>
      <c r="D40">
        <v>30</v>
      </c>
      <c r="E40">
        <v>33.23</v>
      </c>
      <c r="F40">
        <v>41</v>
      </c>
      <c r="G40">
        <v>0.8104878048780487</v>
      </c>
      <c r="H40">
        <v>0.02467649714113753</v>
      </c>
      <c r="I40">
        <v>0.04291929666784733</v>
      </c>
      <c r="J40">
        <v>0.05</v>
      </c>
      <c r="K40">
        <v>0.1150901753247979</v>
      </c>
      <c r="L40" t="s">
        <v>872</v>
      </c>
      <c r="M40" t="s">
        <v>873</v>
      </c>
      <c r="N40">
        <v>9.773529411764706</v>
      </c>
      <c r="O40">
        <v>3.4</v>
      </c>
      <c r="P40">
        <v>0.82</v>
      </c>
      <c r="Q40">
        <v>0.2411764705882353</v>
      </c>
      <c r="R40">
        <v>28</v>
      </c>
      <c r="S40">
        <v>0.06434110272003535</v>
      </c>
      <c r="T40" t="s">
        <v>898</v>
      </c>
      <c r="U40">
        <v>-0.11773217609248</v>
      </c>
      <c r="V40" t="s">
        <v>978</v>
      </c>
      <c r="W40" t="s">
        <v>986</v>
      </c>
      <c r="X40">
        <v>402.589691</v>
      </c>
      <c r="Y40" s="2">
        <v>44858</v>
      </c>
      <c r="Z40" t="s">
        <v>996</v>
      </c>
    </row>
    <row r="41" spans="1:26">
      <c r="A41" s="1" t="s">
        <v>65</v>
      </c>
      <c r="B41">
        <f>HYPERLINK("https://www.suredividend.com/sure-analysis-TSN/","Tyson Foods, Inc.")</f>
        <v>0</v>
      </c>
      <c r="C41" t="s">
        <v>870</v>
      </c>
      <c r="D41">
        <v>79</v>
      </c>
      <c r="E41">
        <v>67.3</v>
      </c>
      <c r="F41">
        <v>90</v>
      </c>
      <c r="G41">
        <v>0.7477777777777778</v>
      </c>
      <c r="H41">
        <v>0.02734026745913819</v>
      </c>
      <c r="I41">
        <v>0.05985264757146425</v>
      </c>
      <c r="J41">
        <v>0.03</v>
      </c>
      <c r="K41">
        <v>0.1137301786923508</v>
      </c>
      <c r="L41" t="s">
        <v>872</v>
      </c>
      <c r="M41" t="s">
        <v>873</v>
      </c>
      <c r="N41">
        <v>7.477777777777778</v>
      </c>
      <c r="O41">
        <v>9</v>
      </c>
      <c r="P41">
        <v>1.84</v>
      </c>
      <c r="Q41">
        <v>0.2044444444444445</v>
      </c>
      <c r="R41">
        <v>11</v>
      </c>
      <c r="S41">
        <v>0.05979888147511248</v>
      </c>
      <c r="T41" t="s">
        <v>874</v>
      </c>
      <c r="U41">
        <v>-0.155969976108808</v>
      </c>
      <c r="V41" t="s">
        <v>978</v>
      </c>
      <c r="W41" t="s">
        <v>990</v>
      </c>
      <c r="X41">
        <v>19491.222081</v>
      </c>
      <c r="Y41" s="2">
        <v>44781</v>
      </c>
      <c r="Z41" t="s">
        <v>1000</v>
      </c>
    </row>
    <row r="42" spans="1:26">
      <c r="A42" s="1" t="s">
        <v>66</v>
      </c>
      <c r="B42">
        <f>HYPERLINK("https://www.suredividend.com/sure-analysis-MDT/","Medtronic Plc")</f>
        <v>0</v>
      </c>
      <c r="C42" t="s">
        <v>869</v>
      </c>
      <c r="D42">
        <v>87</v>
      </c>
      <c r="E42">
        <v>84.65000000000001</v>
      </c>
      <c r="F42">
        <v>95</v>
      </c>
      <c r="G42">
        <v>0.8910526315789474</v>
      </c>
      <c r="H42">
        <v>0.03213230950974601</v>
      </c>
      <c r="I42">
        <v>0.02333853563888311</v>
      </c>
      <c r="J42">
        <v>0.06</v>
      </c>
      <c r="K42">
        <v>0.1122654466198101</v>
      </c>
      <c r="L42" t="s">
        <v>872</v>
      </c>
      <c r="M42" t="s">
        <v>872</v>
      </c>
      <c r="N42">
        <v>15.11607142857143</v>
      </c>
      <c r="O42">
        <v>5.6</v>
      </c>
      <c r="P42">
        <v>2.72</v>
      </c>
      <c r="Q42">
        <v>0.4857142857142858</v>
      </c>
      <c r="R42">
        <v>45</v>
      </c>
      <c r="S42">
        <v>0.0747294275164867</v>
      </c>
      <c r="T42" t="s">
        <v>899</v>
      </c>
      <c r="U42">
        <v>-0.278762385221828</v>
      </c>
      <c r="V42" t="s">
        <v>978</v>
      </c>
      <c r="W42" t="s">
        <v>988</v>
      </c>
      <c r="X42">
        <v>112512.825914</v>
      </c>
      <c r="Y42" s="2">
        <v>44810</v>
      </c>
      <c r="Z42" t="s">
        <v>996</v>
      </c>
    </row>
    <row r="43" spans="1:26">
      <c r="A43" s="1" t="s">
        <v>67</v>
      </c>
      <c r="B43">
        <f>HYPERLINK("https://www.suredividend.com/sure-analysis-TGT/","Target Corp")</f>
        <v>0</v>
      </c>
      <c r="C43" t="s">
        <v>869</v>
      </c>
      <c r="D43">
        <v>161</v>
      </c>
      <c r="E43">
        <v>159.63</v>
      </c>
      <c r="F43">
        <v>138</v>
      </c>
      <c r="G43">
        <v>1.156739130434782</v>
      </c>
      <c r="H43">
        <v>0.02706258222138696</v>
      </c>
      <c r="I43">
        <v>-0.02870106051331089</v>
      </c>
      <c r="J43">
        <v>0.12</v>
      </c>
      <c r="K43">
        <v>0.1119791347257224</v>
      </c>
      <c r="L43" t="s">
        <v>872</v>
      </c>
      <c r="M43" t="s">
        <v>872</v>
      </c>
      <c r="N43">
        <v>19.70740740740741</v>
      </c>
      <c r="O43">
        <v>8.1</v>
      </c>
      <c r="P43">
        <v>4.32</v>
      </c>
      <c r="Q43">
        <v>0.5333333333333334</v>
      </c>
      <c r="R43">
        <v>54</v>
      </c>
      <c r="S43">
        <v>0.09010311259986525</v>
      </c>
      <c r="T43" t="s">
        <v>900</v>
      </c>
      <c r="U43">
        <v>-0.371780290359269</v>
      </c>
      <c r="V43" t="s">
        <v>978</v>
      </c>
      <c r="W43" t="s">
        <v>990</v>
      </c>
      <c r="X43">
        <v>73471.723627</v>
      </c>
      <c r="Y43" s="2">
        <v>44800</v>
      </c>
      <c r="Z43" t="s">
        <v>1001</v>
      </c>
    </row>
    <row r="44" spans="1:26">
      <c r="A44" s="1" t="s">
        <v>68</v>
      </c>
      <c r="B44">
        <f>HYPERLINK("https://www.suredividend.com/sure-analysis-HUM/","Humana Inc.")</f>
        <v>0</v>
      </c>
      <c r="C44" t="s">
        <v>869</v>
      </c>
      <c r="D44">
        <v>557</v>
      </c>
      <c r="E44">
        <v>552.05</v>
      </c>
      <c r="F44">
        <v>475</v>
      </c>
      <c r="G44">
        <v>1.162210526315789</v>
      </c>
      <c r="H44">
        <v>0.005706004890861335</v>
      </c>
      <c r="I44">
        <v>-0.02961731393369726</v>
      </c>
      <c r="J44">
        <v>0.14</v>
      </c>
      <c r="K44">
        <v>0.1111652709181987</v>
      </c>
      <c r="L44" t="s">
        <v>872</v>
      </c>
      <c r="M44" t="s">
        <v>586</v>
      </c>
      <c r="N44">
        <v>22.082</v>
      </c>
      <c r="O44">
        <v>25</v>
      </c>
      <c r="P44">
        <v>3.15</v>
      </c>
      <c r="Q44">
        <v>0.126</v>
      </c>
      <c r="R44">
        <v>11</v>
      </c>
      <c r="S44">
        <v>0.09014994437013746</v>
      </c>
      <c r="T44" t="s">
        <v>886</v>
      </c>
      <c r="U44">
        <v>0.22522392157324</v>
      </c>
      <c r="V44" t="s">
        <v>978</v>
      </c>
      <c r="W44" t="s">
        <v>988</v>
      </c>
      <c r="X44">
        <v>69889.705552</v>
      </c>
      <c r="Y44" s="2">
        <v>44868</v>
      </c>
      <c r="Z44" t="s">
        <v>1002</v>
      </c>
    </row>
    <row r="45" spans="1:26">
      <c r="A45" s="1" t="s">
        <v>69</v>
      </c>
      <c r="B45">
        <f>HYPERLINK("https://www.suredividend.com/sure-analysis-DOV/","Dover Corp.")</f>
        <v>0</v>
      </c>
      <c r="C45" t="s">
        <v>869</v>
      </c>
      <c r="D45">
        <v>122</v>
      </c>
      <c r="E45">
        <v>133.06</v>
      </c>
      <c r="F45">
        <v>144</v>
      </c>
      <c r="G45">
        <v>0.9240277777777778</v>
      </c>
      <c r="H45">
        <v>0.01518112129866226</v>
      </c>
      <c r="I45">
        <v>0.01592815091511768</v>
      </c>
      <c r="J45">
        <v>0.08</v>
      </c>
      <c r="K45">
        <v>0.109102138623586</v>
      </c>
      <c r="L45" t="s">
        <v>872</v>
      </c>
      <c r="M45" t="s">
        <v>873</v>
      </c>
      <c r="N45">
        <v>15.74674556213018</v>
      </c>
      <c r="O45">
        <v>8.449999999999999</v>
      </c>
      <c r="P45">
        <v>2.02</v>
      </c>
      <c r="Q45">
        <v>0.2390532544378698</v>
      </c>
      <c r="R45">
        <v>67</v>
      </c>
      <c r="S45">
        <v>0.05015563553472902</v>
      </c>
      <c r="T45" t="s">
        <v>881</v>
      </c>
      <c r="U45">
        <v>-0.216218031108592</v>
      </c>
      <c r="V45" t="s">
        <v>978</v>
      </c>
      <c r="W45" t="s">
        <v>984</v>
      </c>
      <c r="X45">
        <v>18675.496587</v>
      </c>
      <c r="Y45" s="2">
        <v>44854</v>
      </c>
      <c r="Z45" t="s">
        <v>993</v>
      </c>
    </row>
    <row r="46" spans="1:26">
      <c r="A46" s="1" t="s">
        <v>70</v>
      </c>
      <c r="B46">
        <f>HYPERLINK("https://www.suredividend.com/sure-analysis-BMY/","Bristol-Myers Squibb Co.")</f>
        <v>0</v>
      </c>
      <c r="C46" t="s">
        <v>869</v>
      </c>
      <c r="D46">
        <v>77</v>
      </c>
      <c r="E46">
        <v>78.78</v>
      </c>
      <c r="F46">
        <v>102</v>
      </c>
      <c r="G46">
        <v>0.7723529411764706</v>
      </c>
      <c r="H46">
        <v>0.02741812642802742</v>
      </c>
      <c r="I46">
        <v>0.05302053159043818</v>
      </c>
      <c r="J46">
        <v>0.03</v>
      </c>
      <c r="K46">
        <v>0.1066998338521619</v>
      </c>
      <c r="L46" t="s">
        <v>872</v>
      </c>
      <c r="M46" t="s">
        <v>873</v>
      </c>
      <c r="N46">
        <v>10.37944664031621</v>
      </c>
      <c r="O46">
        <v>7.59</v>
      </c>
      <c r="P46">
        <v>2.16</v>
      </c>
      <c r="Q46">
        <v>0.2845849802371542</v>
      </c>
      <c r="R46">
        <v>15</v>
      </c>
      <c r="S46">
        <v>0.05024607263868264</v>
      </c>
      <c r="T46" t="s">
        <v>885</v>
      </c>
      <c r="U46">
        <v>0.370916659125871</v>
      </c>
      <c r="V46" t="s">
        <v>978</v>
      </c>
      <c r="W46" t="s">
        <v>988</v>
      </c>
      <c r="X46">
        <v>167498.912137</v>
      </c>
      <c r="Y46" s="2">
        <v>44866</v>
      </c>
      <c r="Z46" t="s">
        <v>993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869</v>
      </c>
      <c r="D47">
        <v>60</v>
      </c>
      <c r="E47">
        <v>62.58</v>
      </c>
      <c r="F47">
        <v>120</v>
      </c>
      <c r="G47">
        <v>0.5215</v>
      </c>
      <c r="H47">
        <v>0.01597954618088846</v>
      </c>
      <c r="I47">
        <v>0.1390666521789292</v>
      </c>
      <c r="J47">
        <v>-0.04</v>
      </c>
      <c r="K47">
        <v>0.1056515130693423</v>
      </c>
      <c r="L47" t="s">
        <v>872</v>
      </c>
      <c r="M47" t="s">
        <v>568</v>
      </c>
      <c r="N47">
        <v>6.258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889</v>
      </c>
      <c r="U47">
        <v>0.163755109327521</v>
      </c>
      <c r="V47" t="s">
        <v>978</v>
      </c>
      <c r="W47" t="s">
        <v>984</v>
      </c>
      <c r="X47">
        <v>3547.267072</v>
      </c>
      <c r="Y47" s="2">
        <v>44766</v>
      </c>
      <c r="Z47" t="s">
        <v>995</v>
      </c>
    </row>
    <row r="48" spans="1:26">
      <c r="A48" s="1" t="s">
        <v>72</v>
      </c>
      <c r="B48">
        <f>HYPERLINK("https://www.suredividend.com/sure-analysis-ORCL/","Oracle Corp.")</f>
        <v>0</v>
      </c>
      <c r="C48" t="s">
        <v>869</v>
      </c>
      <c r="D48">
        <v>64</v>
      </c>
      <c r="E48">
        <v>76</v>
      </c>
      <c r="F48">
        <v>80</v>
      </c>
      <c r="G48">
        <v>0.95</v>
      </c>
      <c r="H48">
        <v>0.01684210526315789</v>
      </c>
      <c r="I48">
        <v>0.01031145931793609</v>
      </c>
      <c r="J48">
        <v>0.08</v>
      </c>
      <c r="K48">
        <v>0.1054048300803661</v>
      </c>
      <c r="L48" t="s">
        <v>872</v>
      </c>
      <c r="M48" t="s">
        <v>568</v>
      </c>
      <c r="N48">
        <v>15.2</v>
      </c>
      <c r="O48">
        <v>5</v>
      </c>
      <c r="P48">
        <v>1.28</v>
      </c>
      <c r="Q48">
        <v>0.256</v>
      </c>
      <c r="R48">
        <v>12</v>
      </c>
      <c r="S48">
        <v>0.07056368416916192</v>
      </c>
      <c r="T48" t="s">
        <v>892</v>
      </c>
      <c r="U48">
        <v>-0.191480760433621</v>
      </c>
      <c r="V48" t="s">
        <v>978</v>
      </c>
      <c r="W48" t="s">
        <v>982</v>
      </c>
      <c r="X48">
        <v>204908.63994</v>
      </c>
      <c r="Y48" s="2">
        <v>44847</v>
      </c>
      <c r="Z48" t="s">
        <v>994</v>
      </c>
    </row>
    <row r="49" spans="1:26">
      <c r="A49" s="1" t="s">
        <v>73</v>
      </c>
      <c r="B49">
        <f>HYPERLINK("https://www.suredividend.com/sure-analysis-PH/","Parker-Hannifin Corp.")</f>
        <v>0</v>
      </c>
      <c r="C49" t="s">
        <v>869</v>
      </c>
      <c r="D49">
        <v>265</v>
      </c>
      <c r="E49">
        <v>298.88</v>
      </c>
      <c r="F49">
        <v>297</v>
      </c>
      <c r="G49">
        <v>1.006329966329966</v>
      </c>
      <c r="H49">
        <v>0.01779978586723769</v>
      </c>
      <c r="I49">
        <v>-0.001261207256340269</v>
      </c>
      <c r="J49">
        <v>0.09</v>
      </c>
      <c r="K49">
        <v>0.1051413557152276</v>
      </c>
      <c r="L49" t="s">
        <v>872</v>
      </c>
      <c r="M49" t="s">
        <v>873</v>
      </c>
      <c r="N49">
        <v>15.81375661375662</v>
      </c>
      <c r="O49">
        <v>18.9</v>
      </c>
      <c r="P49">
        <v>5.32</v>
      </c>
      <c r="Q49">
        <v>0.2814814814814815</v>
      </c>
      <c r="R49">
        <v>66</v>
      </c>
      <c r="S49">
        <v>0.1000535779563672</v>
      </c>
      <c r="T49" t="s">
        <v>882</v>
      </c>
      <c r="U49">
        <v>-0.06736776346439401</v>
      </c>
      <c r="V49" t="s">
        <v>978</v>
      </c>
      <c r="W49" t="s">
        <v>984</v>
      </c>
      <c r="X49">
        <v>38394.37018</v>
      </c>
      <c r="Y49" s="2">
        <v>44809</v>
      </c>
      <c r="Z49" t="s">
        <v>996</v>
      </c>
    </row>
    <row r="50" spans="1:26">
      <c r="A50" s="1" t="s">
        <v>74</v>
      </c>
      <c r="B50">
        <f>HYPERLINK("https://www.suredividend.com/sure-analysis-BDX/","Becton, Dickinson And Co.")</f>
        <v>0</v>
      </c>
      <c r="C50" t="s">
        <v>870</v>
      </c>
      <c r="D50">
        <v>267</v>
      </c>
      <c r="E50">
        <v>220.84</v>
      </c>
      <c r="F50">
        <v>211</v>
      </c>
      <c r="G50">
        <v>1.046635071090047</v>
      </c>
      <c r="H50">
        <v>0.01575801485238182</v>
      </c>
      <c r="I50">
        <v>-0.009074639443622301</v>
      </c>
      <c r="J50">
        <v>0.1</v>
      </c>
      <c r="K50">
        <v>0.1046070823810155</v>
      </c>
      <c r="L50" t="s">
        <v>872</v>
      </c>
      <c r="M50" t="s">
        <v>873</v>
      </c>
      <c r="N50">
        <v>19.50883392226148</v>
      </c>
      <c r="O50">
        <v>11.32</v>
      </c>
      <c r="P50">
        <v>3.48</v>
      </c>
      <c r="Q50">
        <v>0.3074204946996466</v>
      </c>
      <c r="R50">
        <v>50</v>
      </c>
      <c r="S50">
        <v>0.09982036375468772</v>
      </c>
      <c r="T50" t="s">
        <v>901</v>
      </c>
      <c r="U50">
        <v>-0.06024492185870901</v>
      </c>
      <c r="V50" t="s">
        <v>978</v>
      </c>
      <c r="W50" t="s">
        <v>988</v>
      </c>
      <c r="X50">
        <v>62982.488534</v>
      </c>
      <c r="Y50" s="2">
        <v>44789</v>
      </c>
      <c r="Z50" t="s">
        <v>993</v>
      </c>
    </row>
    <row r="51" spans="1:26">
      <c r="A51" s="1" t="s">
        <v>75</v>
      </c>
      <c r="B51">
        <f>HYPERLINK("https://www.suredividend.com/sure-analysis-ITT/","ITT Inc")</f>
        <v>0</v>
      </c>
      <c r="C51" t="s">
        <v>870</v>
      </c>
      <c r="D51">
        <v>82</v>
      </c>
      <c r="E51">
        <v>75.62</v>
      </c>
      <c r="F51">
        <v>73</v>
      </c>
      <c r="G51">
        <v>1.035890410958904</v>
      </c>
      <c r="H51">
        <v>0.01401745569955038</v>
      </c>
      <c r="I51">
        <v>-0.007027462550472152</v>
      </c>
      <c r="J51">
        <v>0.1</v>
      </c>
      <c r="K51">
        <v>0.1044854651012117</v>
      </c>
      <c r="L51" t="s">
        <v>872</v>
      </c>
      <c r="M51" t="s">
        <v>568</v>
      </c>
      <c r="N51">
        <v>17.18636363636364</v>
      </c>
      <c r="O51">
        <v>4.4</v>
      </c>
      <c r="P51">
        <v>1.06</v>
      </c>
      <c r="Q51">
        <v>0.2409090909090909</v>
      </c>
      <c r="R51">
        <v>26</v>
      </c>
      <c r="S51">
        <v>0.08034818492488416</v>
      </c>
      <c r="T51" t="s">
        <v>889</v>
      </c>
      <c r="U51">
        <v>-0.23813169984686</v>
      </c>
      <c r="V51" t="s">
        <v>978</v>
      </c>
      <c r="W51" t="s">
        <v>984</v>
      </c>
      <c r="X51">
        <v>6253.774</v>
      </c>
      <c r="Y51" s="2">
        <v>44784</v>
      </c>
      <c r="Z51" t="s">
        <v>995</v>
      </c>
    </row>
    <row r="52" spans="1:26">
      <c r="A52" s="1" t="s">
        <v>76</v>
      </c>
      <c r="B52">
        <f>HYPERLINK("https://www.suredividend.com/sure-analysis-HI/","Hillenbrand Inc")</f>
        <v>0</v>
      </c>
      <c r="C52" t="s">
        <v>870</v>
      </c>
      <c r="D52">
        <v>45</v>
      </c>
      <c r="E52">
        <v>43.6</v>
      </c>
      <c r="F52">
        <v>55</v>
      </c>
      <c r="G52">
        <v>0.7927272727272727</v>
      </c>
      <c r="H52">
        <v>0.01995412844036697</v>
      </c>
      <c r="I52">
        <v>0.04755115503305074</v>
      </c>
      <c r="J52">
        <v>0.04</v>
      </c>
      <c r="K52">
        <v>0.1037236217693449</v>
      </c>
      <c r="L52" t="s">
        <v>872</v>
      </c>
      <c r="M52" t="s">
        <v>873</v>
      </c>
      <c r="N52">
        <v>11.17948717948718</v>
      </c>
      <c r="O52">
        <v>3.9</v>
      </c>
      <c r="P52">
        <v>0.87</v>
      </c>
      <c r="Q52">
        <v>0.2230769230769231</v>
      </c>
      <c r="R52">
        <v>14</v>
      </c>
      <c r="S52">
        <v>0.01123877750134272</v>
      </c>
      <c r="T52" t="s">
        <v>887</v>
      </c>
      <c r="U52">
        <v>-0.068459668149439</v>
      </c>
      <c r="V52" t="s">
        <v>978</v>
      </c>
      <c r="W52" t="s">
        <v>984</v>
      </c>
      <c r="X52">
        <v>3028.344515</v>
      </c>
      <c r="Y52" s="2">
        <v>44783</v>
      </c>
      <c r="Z52" t="s">
        <v>995</v>
      </c>
    </row>
    <row r="53" spans="1:26">
      <c r="A53" s="1" t="s">
        <v>77</v>
      </c>
      <c r="B53">
        <f>HYPERLINK("https://www.suredividend.com/sure-analysis-WLY/","John Wiley &amp; Sons Inc.")</f>
        <v>0</v>
      </c>
      <c r="C53" t="s">
        <v>869</v>
      </c>
      <c r="D53">
        <v>37</v>
      </c>
      <c r="E53">
        <v>41.86</v>
      </c>
      <c r="F53">
        <v>50</v>
      </c>
      <c r="G53">
        <v>0.8371999999999999</v>
      </c>
      <c r="H53">
        <v>0.03320592451027234</v>
      </c>
      <c r="I53">
        <v>0.03617749634653555</v>
      </c>
      <c r="J53">
        <v>0.04</v>
      </c>
      <c r="K53">
        <v>0.103288541932228</v>
      </c>
      <c r="L53" t="s">
        <v>872</v>
      </c>
      <c r="M53" t="s">
        <v>872</v>
      </c>
      <c r="N53">
        <v>10.81653746770026</v>
      </c>
      <c r="O53">
        <v>3.87</v>
      </c>
      <c r="P53">
        <v>1.39</v>
      </c>
      <c r="Q53">
        <v>0.3591731266149871</v>
      </c>
      <c r="R53">
        <v>29</v>
      </c>
      <c r="S53">
        <v>0.0298221180150493</v>
      </c>
      <c r="T53" t="s">
        <v>902</v>
      </c>
      <c r="U53">
        <v>-0.218802487291077</v>
      </c>
      <c r="V53" t="s">
        <v>978</v>
      </c>
      <c r="W53" t="s">
        <v>985</v>
      </c>
      <c r="X53">
        <v>2326.206123</v>
      </c>
      <c r="Y53" s="2">
        <v>44847</v>
      </c>
      <c r="Z53" t="s">
        <v>994</v>
      </c>
    </row>
    <row r="54" spans="1:26">
      <c r="A54" s="1" t="s">
        <v>78</v>
      </c>
      <c r="B54">
        <f>HYPERLINK("https://www.suredividend.com/sure-analysis-CSX/","CSX Corp.")</f>
        <v>0</v>
      </c>
      <c r="C54" t="s">
        <v>869</v>
      </c>
      <c r="D54">
        <v>28</v>
      </c>
      <c r="E54">
        <v>29.63</v>
      </c>
      <c r="F54">
        <v>34</v>
      </c>
      <c r="G54">
        <v>0.8714705882352941</v>
      </c>
      <c r="H54">
        <v>0.01349983125210935</v>
      </c>
      <c r="I54">
        <v>0.02789665580412448</v>
      </c>
      <c r="J54">
        <v>0.06</v>
      </c>
      <c r="K54">
        <v>0.1024546268625945</v>
      </c>
      <c r="L54" t="s">
        <v>872</v>
      </c>
      <c r="M54" t="s">
        <v>568</v>
      </c>
      <c r="N54">
        <v>15.59473684210526</v>
      </c>
      <c r="O54">
        <v>1.9</v>
      </c>
      <c r="P54">
        <v>0.4</v>
      </c>
      <c r="Q54">
        <v>0.2105263157894737</v>
      </c>
      <c r="R54">
        <v>17</v>
      </c>
      <c r="S54">
        <v>0.1086717010810789</v>
      </c>
      <c r="T54" t="s">
        <v>881</v>
      </c>
      <c r="U54">
        <v>-0.153742895495958</v>
      </c>
      <c r="V54" t="s">
        <v>978</v>
      </c>
      <c r="W54" t="s">
        <v>984</v>
      </c>
      <c r="X54">
        <v>62294.37064</v>
      </c>
      <c r="Y54" s="2">
        <v>44860</v>
      </c>
      <c r="Z54" t="s">
        <v>1001</v>
      </c>
    </row>
    <row r="55" spans="1:26">
      <c r="A55" s="1" t="s">
        <v>79</v>
      </c>
      <c r="B55">
        <f>HYPERLINK("https://www.suredividend.com/sure-analysis-FDS/","Factset Research Systems Inc.")</f>
        <v>0</v>
      </c>
      <c r="C55" t="s">
        <v>870</v>
      </c>
      <c r="D55">
        <v>388</v>
      </c>
      <c r="E55">
        <v>408.45</v>
      </c>
      <c r="F55">
        <v>425</v>
      </c>
      <c r="G55">
        <v>0.9610588235294117</v>
      </c>
      <c r="H55">
        <v>0.008715877096339822</v>
      </c>
      <c r="I55">
        <v>0.007975568974829539</v>
      </c>
      <c r="J55">
        <v>0.08500000000000001</v>
      </c>
      <c r="K55">
        <v>0.10182823433009</v>
      </c>
      <c r="L55" t="s">
        <v>872</v>
      </c>
      <c r="M55" t="s">
        <v>568</v>
      </c>
      <c r="N55">
        <v>29.19585418155825</v>
      </c>
      <c r="O55">
        <v>13.99</v>
      </c>
      <c r="P55">
        <v>3.56</v>
      </c>
      <c r="Q55">
        <v>0.2544674767691208</v>
      </c>
      <c r="R55">
        <v>23</v>
      </c>
      <c r="S55">
        <v>0.1048149023411959</v>
      </c>
      <c r="T55" t="s">
        <v>881</v>
      </c>
      <c r="U55">
        <v>-0.071505341145918</v>
      </c>
      <c r="V55" t="s">
        <v>978</v>
      </c>
      <c r="W55" t="s">
        <v>986</v>
      </c>
      <c r="X55">
        <v>15561.217142</v>
      </c>
      <c r="Y55" s="2">
        <v>44831</v>
      </c>
      <c r="Z55" t="s">
        <v>1003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869</v>
      </c>
      <c r="D56">
        <v>54</v>
      </c>
      <c r="E56">
        <v>54.52</v>
      </c>
      <c r="F56">
        <v>62</v>
      </c>
      <c r="G56">
        <v>0.8793548387096775</v>
      </c>
      <c r="H56">
        <v>0.01467351430667645</v>
      </c>
      <c r="I56">
        <v>0.02604679579318225</v>
      </c>
      <c r="J56">
        <v>0.06</v>
      </c>
      <c r="K56">
        <v>0.1006158229895737</v>
      </c>
      <c r="L56" t="s">
        <v>872</v>
      </c>
      <c r="M56" t="s">
        <v>873</v>
      </c>
      <c r="N56">
        <v>15.80289855072464</v>
      </c>
      <c r="O56">
        <v>3.45</v>
      </c>
      <c r="P56">
        <v>0.8</v>
      </c>
      <c r="Q56">
        <v>0.2318840579710145</v>
      </c>
      <c r="R56">
        <v>31</v>
      </c>
      <c r="S56">
        <v>0.08083252207959757</v>
      </c>
      <c r="T56" t="s">
        <v>903</v>
      </c>
      <c r="U56">
        <v>-0.127323948170853</v>
      </c>
      <c r="V56" t="s">
        <v>978</v>
      </c>
      <c r="W56" t="s">
        <v>986</v>
      </c>
      <c r="X56">
        <v>7350.848784</v>
      </c>
      <c r="Y56" s="2">
        <v>44864</v>
      </c>
      <c r="Z56" t="s">
        <v>1001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870</v>
      </c>
      <c r="D57">
        <v>27</v>
      </c>
      <c r="E57">
        <v>26.19</v>
      </c>
      <c r="F57">
        <v>32</v>
      </c>
      <c r="G57">
        <v>0.8184375</v>
      </c>
      <c r="H57">
        <v>0.03360061092019855</v>
      </c>
      <c r="I57">
        <v>0.04088534976528901</v>
      </c>
      <c r="J57">
        <v>0.03</v>
      </c>
      <c r="K57">
        <v>0.1000750207202286</v>
      </c>
      <c r="L57" t="s">
        <v>872</v>
      </c>
      <c r="M57" t="s">
        <v>872</v>
      </c>
      <c r="N57">
        <v>9.320284697508898</v>
      </c>
      <c r="O57">
        <v>2.81</v>
      </c>
      <c r="P57">
        <v>0.88</v>
      </c>
      <c r="Q57">
        <v>0.3131672597864769</v>
      </c>
      <c r="R57">
        <v>28</v>
      </c>
      <c r="S57">
        <v>0.04941452284458392</v>
      </c>
      <c r="T57" t="s">
        <v>904</v>
      </c>
      <c r="U57">
        <v>-0.298832726493895</v>
      </c>
      <c r="V57" t="s">
        <v>978</v>
      </c>
      <c r="W57" t="s">
        <v>984</v>
      </c>
      <c r="X57">
        <v>801.559276</v>
      </c>
      <c r="Y57" s="2">
        <v>44775</v>
      </c>
      <c r="Z57" t="s">
        <v>998</v>
      </c>
    </row>
    <row r="58" spans="1:26">
      <c r="A58" s="1" t="s">
        <v>82</v>
      </c>
      <c r="B58">
        <f>HYPERLINK("https://www.suredividend.com/sure-analysis-CHD/","Church &amp; Dwight Co., Inc.")</f>
        <v>0</v>
      </c>
      <c r="C58" t="s">
        <v>870</v>
      </c>
      <c r="D58">
        <v>87</v>
      </c>
      <c r="E58">
        <v>71.40000000000001</v>
      </c>
      <c r="F58">
        <v>81</v>
      </c>
      <c r="G58">
        <v>0.8814814814814815</v>
      </c>
      <c r="H58">
        <v>0.01470588235294118</v>
      </c>
      <c r="I58">
        <v>0.02555123375749746</v>
      </c>
      <c r="J58">
        <v>0.06</v>
      </c>
      <c r="K58">
        <v>0.09973095067469462</v>
      </c>
      <c r="L58" t="s">
        <v>872</v>
      </c>
      <c r="M58" t="s">
        <v>568</v>
      </c>
      <c r="N58">
        <v>23.8</v>
      </c>
      <c r="O58">
        <v>3</v>
      </c>
      <c r="P58">
        <v>1.05</v>
      </c>
      <c r="Q58">
        <v>0.35</v>
      </c>
      <c r="R58">
        <v>26</v>
      </c>
      <c r="S58">
        <v>0.06961037572506878</v>
      </c>
      <c r="T58" t="s">
        <v>905</v>
      </c>
      <c r="U58">
        <v>-0.191913704532413</v>
      </c>
      <c r="V58" t="s">
        <v>978</v>
      </c>
      <c r="W58" t="s">
        <v>990</v>
      </c>
      <c r="X58">
        <v>17412.199976</v>
      </c>
      <c r="Y58" s="2">
        <v>44779</v>
      </c>
      <c r="Z58" t="s">
        <v>1001</v>
      </c>
    </row>
    <row r="59" spans="1:26">
      <c r="A59" s="1" t="s">
        <v>83</v>
      </c>
      <c r="B59">
        <f>HYPERLINK("https://www.suredividend.com/sure-analysis-SPGI/","S&amp;P Global Inc")</f>
        <v>0</v>
      </c>
      <c r="C59" t="s">
        <v>870</v>
      </c>
      <c r="D59">
        <v>392</v>
      </c>
      <c r="E59">
        <v>316.4</v>
      </c>
      <c r="F59">
        <v>299</v>
      </c>
      <c r="G59">
        <v>1.05819397993311</v>
      </c>
      <c r="H59">
        <v>0.01074589127686473</v>
      </c>
      <c r="I59">
        <v>-0.0112489841580139</v>
      </c>
      <c r="J59">
        <v>0.1</v>
      </c>
      <c r="K59">
        <v>0.09833868588739314</v>
      </c>
      <c r="L59" t="s">
        <v>872</v>
      </c>
      <c r="M59" t="s">
        <v>568</v>
      </c>
      <c r="N59">
        <v>27.51304347826087</v>
      </c>
      <c r="O59">
        <v>11.5</v>
      </c>
      <c r="P59">
        <v>3.4</v>
      </c>
      <c r="Q59">
        <v>0.2956521739130435</v>
      </c>
      <c r="R59">
        <v>49</v>
      </c>
      <c r="S59">
        <v>0.1199266544910265</v>
      </c>
      <c r="T59" t="s">
        <v>906</v>
      </c>
      <c r="U59">
        <v>-0.310547554677348</v>
      </c>
      <c r="V59" t="s">
        <v>978</v>
      </c>
      <c r="W59" t="s">
        <v>986</v>
      </c>
      <c r="X59">
        <v>103083.12</v>
      </c>
      <c r="Y59" s="2">
        <v>44786</v>
      </c>
      <c r="Z59" t="s">
        <v>1001</v>
      </c>
    </row>
    <row r="60" spans="1:26">
      <c r="A60" s="1" t="s">
        <v>84</v>
      </c>
      <c r="B60">
        <f>HYPERLINK("https://www.suredividend.com/sure-analysis-FMCB/","Farmers &amp; Merchants Bancorp")</f>
        <v>0</v>
      </c>
      <c r="C60" t="s">
        <v>869</v>
      </c>
      <c r="D60">
        <v>961</v>
      </c>
      <c r="E60">
        <v>970.04</v>
      </c>
      <c r="F60">
        <v>1140</v>
      </c>
      <c r="G60">
        <v>0.8509122807017544</v>
      </c>
      <c r="H60">
        <v>0.01618489959176941</v>
      </c>
      <c r="I60">
        <v>0.03281620080890524</v>
      </c>
      <c r="J60">
        <v>0.05</v>
      </c>
      <c r="K60">
        <v>0.09770896668652451</v>
      </c>
      <c r="L60" t="s">
        <v>872</v>
      </c>
      <c r="M60" t="s">
        <v>873</v>
      </c>
      <c r="N60">
        <v>10.21094736842105</v>
      </c>
      <c r="O60">
        <v>95</v>
      </c>
      <c r="P60">
        <v>15.7</v>
      </c>
      <c r="Q60">
        <v>0.1652631578947368</v>
      </c>
      <c r="R60">
        <v>57</v>
      </c>
      <c r="S60">
        <v>0.05002493632930105</v>
      </c>
      <c r="T60" t="s">
        <v>907</v>
      </c>
      <c r="U60">
        <v>0.066061315340132</v>
      </c>
      <c r="V60" t="s">
        <v>978</v>
      </c>
      <c r="W60" t="s">
        <v>986</v>
      </c>
      <c r="X60">
        <v>746.307064</v>
      </c>
      <c r="Y60" s="2">
        <v>44861</v>
      </c>
      <c r="Z60" t="s">
        <v>996</v>
      </c>
    </row>
    <row r="61" spans="1:26">
      <c r="A61" s="1" t="s">
        <v>85</v>
      </c>
      <c r="B61">
        <f>HYPERLINK("https://www.suredividend.com/sure-analysis-GRC/","Gorman-Rupp Co.")</f>
        <v>0</v>
      </c>
      <c r="C61" t="s">
        <v>870</v>
      </c>
      <c r="D61">
        <v>28</v>
      </c>
      <c r="E61">
        <v>27.75</v>
      </c>
      <c r="F61">
        <v>30</v>
      </c>
      <c r="G61">
        <v>0.925</v>
      </c>
      <c r="H61">
        <v>0.02522522522522522</v>
      </c>
      <c r="I61">
        <v>0.01571450260395091</v>
      </c>
      <c r="J61">
        <v>0.06</v>
      </c>
      <c r="K61">
        <v>0.09728083683397726</v>
      </c>
      <c r="L61" t="s">
        <v>872</v>
      </c>
      <c r="M61" t="s">
        <v>873</v>
      </c>
      <c r="N61">
        <v>21.34615384615385</v>
      </c>
      <c r="O61">
        <v>1.3</v>
      </c>
      <c r="P61">
        <v>0.7</v>
      </c>
      <c r="Q61">
        <v>0.5384615384615384</v>
      </c>
      <c r="R61">
        <v>50</v>
      </c>
      <c r="S61">
        <v>0.04444179509050206</v>
      </c>
      <c r="T61" t="s">
        <v>905</v>
      </c>
      <c r="U61">
        <v>-0.3757367431229811</v>
      </c>
      <c r="V61" t="s">
        <v>978</v>
      </c>
      <c r="W61" t="s">
        <v>984</v>
      </c>
      <c r="X61">
        <v>724.132504</v>
      </c>
      <c r="Y61" s="2">
        <v>44779</v>
      </c>
      <c r="Z61" t="s">
        <v>1001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870</v>
      </c>
      <c r="D62">
        <v>76</v>
      </c>
      <c r="E62">
        <v>64.73999999999999</v>
      </c>
      <c r="F62">
        <v>73</v>
      </c>
      <c r="G62">
        <v>0.8868493150684931</v>
      </c>
      <c r="H62">
        <v>0.03861600247142416</v>
      </c>
      <c r="I62">
        <v>0.02430674613341588</v>
      </c>
      <c r="J62">
        <v>0.04</v>
      </c>
      <c r="K62">
        <v>0.09709189006589725</v>
      </c>
      <c r="L62" t="s">
        <v>872</v>
      </c>
      <c r="M62" t="s">
        <v>872</v>
      </c>
      <c r="N62">
        <v>15.98518518518518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876</v>
      </c>
      <c r="U62">
        <v>0.019286782649767</v>
      </c>
      <c r="V62" t="s">
        <v>978</v>
      </c>
      <c r="W62" t="s">
        <v>987</v>
      </c>
      <c r="X62">
        <v>4213.166488</v>
      </c>
      <c r="Y62" s="2">
        <v>44783</v>
      </c>
      <c r="Z62" t="s">
        <v>994</v>
      </c>
    </row>
    <row r="63" spans="1:26">
      <c r="A63" s="1" t="s">
        <v>87</v>
      </c>
      <c r="B63">
        <f>HYPERLINK("https://www.suredividend.com/sure-analysis-PSBQ/","PSB Holdings Inc (WI)")</f>
        <v>0</v>
      </c>
      <c r="C63" t="s">
        <v>870</v>
      </c>
      <c r="D63">
        <v>22</v>
      </c>
      <c r="E63">
        <v>21.8</v>
      </c>
      <c r="F63">
        <v>30</v>
      </c>
      <c r="G63">
        <v>0.7266666666666667</v>
      </c>
      <c r="H63">
        <v>0.02293577981651376</v>
      </c>
      <c r="I63">
        <v>0.06594047262945435</v>
      </c>
      <c r="J63">
        <v>0.01</v>
      </c>
      <c r="K63">
        <v>0.09575252951097024</v>
      </c>
      <c r="L63" t="s">
        <v>872</v>
      </c>
      <c r="M63" t="s">
        <v>873</v>
      </c>
      <c r="N63">
        <v>7.266666666666667</v>
      </c>
      <c r="O63">
        <v>3</v>
      </c>
      <c r="P63">
        <v>0.5</v>
      </c>
      <c r="Q63">
        <v>0.1666666666666667</v>
      </c>
      <c r="R63">
        <v>29</v>
      </c>
      <c r="S63">
        <v>0.05061112176150684</v>
      </c>
      <c r="T63" t="s">
        <v>908</v>
      </c>
      <c r="U63">
        <v>-0.153069153069153</v>
      </c>
      <c r="V63" t="s">
        <v>978</v>
      </c>
      <c r="W63" t="s">
        <v>986</v>
      </c>
      <c r="X63">
        <v>97.065394</v>
      </c>
      <c r="Y63" s="2">
        <v>44866</v>
      </c>
      <c r="Z63" t="s">
        <v>1001</v>
      </c>
    </row>
    <row r="64" spans="1:26">
      <c r="A64" s="1" t="s">
        <v>88</v>
      </c>
      <c r="B64">
        <f>HYPERLINK("https://www.suredividend.com/sure-analysis-RHHBY/","Roche Holding AG")</f>
        <v>0</v>
      </c>
      <c r="C64" t="s">
        <v>870</v>
      </c>
      <c r="D64">
        <v>41</v>
      </c>
      <c r="E64">
        <v>41.05</v>
      </c>
      <c r="F64">
        <v>50</v>
      </c>
      <c r="G64">
        <v>0.821</v>
      </c>
      <c r="H64">
        <v>0.03020706455542022</v>
      </c>
      <c r="I64">
        <v>0.04023477607868675</v>
      </c>
      <c r="J64">
        <v>0.03</v>
      </c>
      <c r="K64">
        <v>0.09524202140568994</v>
      </c>
      <c r="L64" t="s">
        <v>872</v>
      </c>
      <c r="M64" t="s">
        <v>872</v>
      </c>
      <c r="N64">
        <v>14.8731884057971</v>
      </c>
      <c r="O64">
        <v>2.76</v>
      </c>
      <c r="P64">
        <v>1.24</v>
      </c>
      <c r="Q64">
        <v>0.4492753623188406</v>
      </c>
      <c r="R64">
        <v>36</v>
      </c>
      <c r="S64">
        <v>0.02747989306053134</v>
      </c>
      <c r="T64" t="s">
        <v>909</v>
      </c>
      <c r="U64">
        <v>-0.173663519005739</v>
      </c>
      <c r="V64" t="s">
        <v>978</v>
      </c>
      <c r="W64" t="s">
        <v>988</v>
      </c>
      <c r="X64">
        <v>230721.59068</v>
      </c>
      <c r="Y64" s="2">
        <v>44852</v>
      </c>
      <c r="Z64" t="s">
        <v>1004</v>
      </c>
    </row>
    <row r="65" spans="1:26">
      <c r="A65" s="1" t="s">
        <v>89</v>
      </c>
      <c r="B65">
        <f>HYPERLINK("https://www.suredividend.com/sure-analysis-PPG/","PPG Industries, Inc.")</f>
        <v>0</v>
      </c>
      <c r="C65" t="s">
        <v>869</v>
      </c>
      <c r="D65">
        <v>110</v>
      </c>
      <c r="E65">
        <v>115.46</v>
      </c>
      <c r="F65">
        <v>113</v>
      </c>
      <c r="G65">
        <v>1.021769911504425</v>
      </c>
      <c r="H65">
        <v>0.02147930019054218</v>
      </c>
      <c r="I65">
        <v>-0.004298003217225954</v>
      </c>
      <c r="J65">
        <v>0.08</v>
      </c>
      <c r="K65">
        <v>0.09496972226168965</v>
      </c>
      <c r="L65" t="s">
        <v>872</v>
      </c>
      <c r="M65" t="s">
        <v>873</v>
      </c>
      <c r="N65">
        <v>19.34003350083752</v>
      </c>
      <c r="O65">
        <v>5.97</v>
      </c>
      <c r="P65">
        <v>2.48</v>
      </c>
      <c r="Q65">
        <v>0.4154103852596315</v>
      </c>
      <c r="R65">
        <v>51</v>
      </c>
      <c r="S65">
        <v>0.07976672700723597</v>
      </c>
      <c r="T65" t="s">
        <v>875</v>
      </c>
      <c r="U65">
        <v>-0.280632465245003</v>
      </c>
      <c r="V65" t="s">
        <v>978</v>
      </c>
      <c r="W65" t="s">
        <v>989</v>
      </c>
      <c r="X65">
        <v>27136.262911</v>
      </c>
      <c r="Y65" s="2">
        <v>44854</v>
      </c>
      <c r="Z65" t="s">
        <v>993</v>
      </c>
    </row>
    <row r="66" spans="1:26">
      <c r="A66" s="1" t="s">
        <v>90</v>
      </c>
      <c r="B66">
        <f>HYPERLINK("https://www.suredividend.com/sure-analysis-SBSI/","Southside Bancshares Inc")</f>
        <v>0</v>
      </c>
      <c r="C66" t="s">
        <v>870</v>
      </c>
      <c r="D66">
        <v>33</v>
      </c>
      <c r="E66">
        <v>35</v>
      </c>
      <c r="F66">
        <v>41</v>
      </c>
      <c r="G66">
        <v>0.8536585365853658</v>
      </c>
      <c r="H66">
        <v>0.03885714285714286</v>
      </c>
      <c r="I66">
        <v>0.03215082129087299</v>
      </c>
      <c r="J66">
        <v>0.03</v>
      </c>
      <c r="K66">
        <v>0.09451740874989345</v>
      </c>
      <c r="L66" t="s">
        <v>872</v>
      </c>
      <c r="M66" t="s">
        <v>872</v>
      </c>
      <c r="N66">
        <v>10.26392961876833</v>
      </c>
      <c r="O66">
        <v>3.41</v>
      </c>
      <c r="P66">
        <v>1.36</v>
      </c>
      <c r="Q66">
        <v>0.3988269794721408</v>
      </c>
      <c r="R66">
        <v>28</v>
      </c>
      <c r="S66">
        <v>0.03044219892825617</v>
      </c>
      <c r="T66" t="s">
        <v>876</v>
      </c>
      <c r="U66">
        <v>-0.152886961236107</v>
      </c>
      <c r="V66" t="s">
        <v>978</v>
      </c>
      <c r="W66" t="s">
        <v>986</v>
      </c>
      <c r="X66">
        <v>1123.6757</v>
      </c>
      <c r="Y66" s="2">
        <v>44859</v>
      </c>
      <c r="Z66" t="s">
        <v>993</v>
      </c>
    </row>
    <row r="67" spans="1:26">
      <c r="A67" s="1" t="s">
        <v>91</v>
      </c>
      <c r="B67">
        <f>HYPERLINK("https://www.suredividend.com/sure-analysis-LECO/","Lincoln Electric Holdings, Inc.")</f>
        <v>0</v>
      </c>
      <c r="C67" t="s">
        <v>870</v>
      </c>
      <c r="D67">
        <v>142</v>
      </c>
      <c r="E67">
        <v>142.59</v>
      </c>
      <c r="F67">
        <v>148</v>
      </c>
      <c r="G67">
        <v>0.963445945945946</v>
      </c>
      <c r="H67">
        <v>0.01795357318185006</v>
      </c>
      <c r="I67">
        <v>0.007475582581622175</v>
      </c>
      <c r="J67">
        <v>0.07000000000000001</v>
      </c>
      <c r="K67">
        <v>0.09433861073823757</v>
      </c>
      <c r="L67" t="s">
        <v>872</v>
      </c>
      <c r="M67" t="s">
        <v>873</v>
      </c>
      <c r="N67">
        <v>17.3890243902439</v>
      </c>
      <c r="O67">
        <v>8.199999999999999</v>
      </c>
      <c r="P67">
        <v>2.56</v>
      </c>
      <c r="Q67">
        <v>0.3121951219512196</v>
      </c>
      <c r="R67">
        <v>27</v>
      </c>
      <c r="S67">
        <v>0.0799150058822331</v>
      </c>
      <c r="T67" t="s">
        <v>886</v>
      </c>
      <c r="U67">
        <v>0.019171197031187</v>
      </c>
      <c r="V67" t="s">
        <v>978</v>
      </c>
      <c r="W67" t="s">
        <v>984</v>
      </c>
      <c r="X67">
        <v>8232.918455999999</v>
      </c>
      <c r="Y67" s="2">
        <v>44866</v>
      </c>
      <c r="Z67" t="s">
        <v>994</v>
      </c>
    </row>
    <row r="68" spans="1:26">
      <c r="A68" s="1" t="s">
        <v>92</v>
      </c>
      <c r="B68">
        <f>HYPERLINK("https://www.suredividend.com/sure-analysis-SYY/","Sysco Corp.")</f>
        <v>0</v>
      </c>
      <c r="C68" t="s">
        <v>870</v>
      </c>
      <c r="D68">
        <v>84</v>
      </c>
      <c r="E68">
        <v>82.25</v>
      </c>
      <c r="F68">
        <v>84</v>
      </c>
      <c r="G68">
        <v>0.9791666666666666</v>
      </c>
      <c r="H68">
        <v>0.02285714285714286</v>
      </c>
      <c r="I68">
        <v>0.004219559215905999</v>
      </c>
      <c r="J68">
        <v>0.07000000000000001</v>
      </c>
      <c r="K68">
        <v>0.09428584639898285</v>
      </c>
      <c r="L68" t="s">
        <v>872</v>
      </c>
      <c r="M68" t="s">
        <v>873</v>
      </c>
      <c r="N68">
        <v>19.58333333333333</v>
      </c>
      <c r="O68">
        <v>4.2</v>
      </c>
      <c r="P68">
        <v>1.88</v>
      </c>
      <c r="Q68">
        <v>0.4476190476190476</v>
      </c>
      <c r="R68">
        <v>52</v>
      </c>
      <c r="S68">
        <v>0.06034828502666922</v>
      </c>
      <c r="T68" t="s">
        <v>885</v>
      </c>
      <c r="U68">
        <v>0.08394691098193001</v>
      </c>
      <c r="V68" t="s">
        <v>978</v>
      </c>
      <c r="W68" t="s">
        <v>990</v>
      </c>
      <c r="X68">
        <v>41681.629014</v>
      </c>
      <c r="Y68" s="2">
        <v>44801</v>
      </c>
      <c r="Z68" t="s">
        <v>997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870</v>
      </c>
      <c r="D69">
        <v>74</v>
      </c>
      <c r="E69">
        <v>75.89</v>
      </c>
      <c r="F69">
        <v>65</v>
      </c>
      <c r="G69">
        <v>1.167538461538462</v>
      </c>
      <c r="H69">
        <v>0.007379101330873634</v>
      </c>
      <c r="I69">
        <v>-0.03050458223843711</v>
      </c>
      <c r="J69">
        <v>0.12</v>
      </c>
      <c r="K69">
        <v>0.09396144123921224</v>
      </c>
      <c r="L69" t="s">
        <v>872</v>
      </c>
      <c r="M69" t="s">
        <v>586</v>
      </c>
      <c r="N69">
        <v>26.9113475177305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886</v>
      </c>
      <c r="U69">
        <v>0.003165874647226</v>
      </c>
      <c r="V69" t="s">
        <v>978</v>
      </c>
      <c r="W69" t="s">
        <v>984</v>
      </c>
      <c r="X69">
        <v>70585.200436</v>
      </c>
      <c r="Y69" s="2">
        <v>44867</v>
      </c>
      <c r="Z69" t="s">
        <v>1005</v>
      </c>
    </row>
    <row r="70" spans="1:26">
      <c r="A70" s="1" t="s">
        <v>94</v>
      </c>
      <c r="B70">
        <f>HYPERLINK("https://www.suredividend.com/sure-analysis-DHR/","Danaher Corp.")</f>
        <v>0</v>
      </c>
      <c r="C70" t="s">
        <v>870</v>
      </c>
      <c r="D70">
        <v>245</v>
      </c>
      <c r="E70">
        <v>246.97</v>
      </c>
      <c r="F70">
        <v>270</v>
      </c>
      <c r="G70">
        <v>0.9147037037037037</v>
      </c>
      <c r="H70">
        <v>0.004049074786411305</v>
      </c>
      <c r="I70">
        <v>0.01799093914710248</v>
      </c>
      <c r="J70">
        <v>0.07000000000000001</v>
      </c>
      <c r="K70">
        <v>0.09320574402734105</v>
      </c>
      <c r="L70" t="s">
        <v>872</v>
      </c>
      <c r="M70" t="s">
        <v>586</v>
      </c>
      <c r="N70">
        <v>23.74711538461538</v>
      </c>
      <c r="O70">
        <v>10.4</v>
      </c>
      <c r="P70">
        <v>1</v>
      </c>
      <c r="Q70">
        <v>0.09615384615384615</v>
      </c>
      <c r="R70">
        <v>8</v>
      </c>
      <c r="S70">
        <v>0.1106503068343221</v>
      </c>
      <c r="T70" t="s">
        <v>886</v>
      </c>
      <c r="U70">
        <v>-0.190068176995863</v>
      </c>
      <c r="V70" t="s">
        <v>978</v>
      </c>
      <c r="W70" t="s">
        <v>988</v>
      </c>
      <c r="X70">
        <v>179784.948513</v>
      </c>
      <c r="Y70" s="2">
        <v>44857</v>
      </c>
      <c r="Z70" t="s">
        <v>1002</v>
      </c>
    </row>
    <row r="71" spans="1:26">
      <c r="A71" s="1" t="s">
        <v>95</v>
      </c>
      <c r="B71">
        <f>HYPERLINK("https://www.suredividend.com/sure-analysis-ADP/","Automatic Data Processing Inc.")</f>
        <v>0</v>
      </c>
      <c r="C71" t="s">
        <v>870</v>
      </c>
      <c r="D71">
        <v>247</v>
      </c>
      <c r="E71">
        <v>236.86</v>
      </c>
      <c r="F71">
        <v>232</v>
      </c>
      <c r="G71">
        <v>1.020948275862069</v>
      </c>
      <c r="H71">
        <v>0.01756311745334797</v>
      </c>
      <c r="I71">
        <v>-0.004137791179148476</v>
      </c>
      <c r="J71">
        <v>0.08</v>
      </c>
      <c r="K71">
        <v>0.09166774134971289</v>
      </c>
      <c r="L71" t="s">
        <v>872</v>
      </c>
      <c r="M71" t="s">
        <v>873</v>
      </c>
      <c r="N71">
        <v>29.6075</v>
      </c>
      <c r="O71">
        <v>8</v>
      </c>
      <c r="P71">
        <v>4.16</v>
      </c>
      <c r="Q71">
        <v>0.52</v>
      </c>
      <c r="R71">
        <v>47</v>
      </c>
      <c r="S71">
        <v>0.0799150058822331</v>
      </c>
      <c r="T71" t="s">
        <v>901</v>
      </c>
      <c r="U71">
        <v>0.066694768394923</v>
      </c>
      <c r="V71" t="s">
        <v>978</v>
      </c>
      <c r="W71" t="s">
        <v>984</v>
      </c>
      <c r="X71">
        <v>98256.105365</v>
      </c>
      <c r="Y71" s="2">
        <v>44779</v>
      </c>
      <c r="Z71" t="s">
        <v>1001</v>
      </c>
    </row>
    <row r="72" spans="1:26">
      <c r="A72" s="1" t="s">
        <v>96</v>
      </c>
      <c r="B72">
        <f>HYPERLINK("https://www.suredividend.com/sure-analysis-AFG/","American Financial Group Inc")</f>
        <v>0</v>
      </c>
      <c r="C72" t="s">
        <v>869</v>
      </c>
      <c r="D72">
        <v>129</v>
      </c>
      <c r="E72">
        <v>145.99</v>
      </c>
      <c r="F72">
        <v>143</v>
      </c>
      <c r="G72">
        <v>1.020909090909091</v>
      </c>
      <c r="H72">
        <v>0.01726145626412768</v>
      </c>
      <c r="I72">
        <v>-0.004130146577867033</v>
      </c>
      <c r="J72">
        <v>0.08</v>
      </c>
      <c r="K72">
        <v>0.09140302681618717</v>
      </c>
      <c r="L72" t="s">
        <v>872</v>
      </c>
      <c r="M72" t="s">
        <v>568</v>
      </c>
      <c r="N72">
        <v>13.27181818181818</v>
      </c>
      <c r="O72">
        <v>11</v>
      </c>
      <c r="P72">
        <v>2.52</v>
      </c>
      <c r="Q72">
        <v>0.2290909090909091</v>
      </c>
      <c r="R72">
        <v>17</v>
      </c>
      <c r="S72">
        <v>0.07984205343909734</v>
      </c>
      <c r="T72" t="s">
        <v>910</v>
      </c>
      <c r="U72">
        <v>0.170239883545139</v>
      </c>
      <c r="V72" t="s">
        <v>978</v>
      </c>
      <c r="W72" t="s">
        <v>986</v>
      </c>
      <c r="X72">
        <v>12432.844615</v>
      </c>
      <c r="Y72" s="2">
        <v>44821</v>
      </c>
      <c r="Z72" t="s">
        <v>1006</v>
      </c>
    </row>
    <row r="73" spans="1:26">
      <c r="A73" s="1" t="s">
        <v>97</v>
      </c>
      <c r="B73">
        <f>HYPERLINK("https://www.suredividend.com/sure-analysis-AOS/","A.O. Smith Corp.")</f>
        <v>0</v>
      </c>
      <c r="C73" t="s">
        <v>869</v>
      </c>
      <c r="D73">
        <v>54</v>
      </c>
      <c r="E73">
        <v>55.98</v>
      </c>
      <c r="F73">
        <v>59</v>
      </c>
      <c r="G73">
        <v>0.9488135593220338</v>
      </c>
      <c r="H73">
        <v>0.02143622722400857</v>
      </c>
      <c r="I73">
        <v>0.01056400113692213</v>
      </c>
      <c r="J73">
        <v>0.06</v>
      </c>
      <c r="K73">
        <v>0.09105481650085978</v>
      </c>
      <c r="L73" t="s">
        <v>872</v>
      </c>
      <c r="M73" t="s">
        <v>873</v>
      </c>
      <c r="N73">
        <v>18.05806451612903</v>
      </c>
      <c r="O73">
        <v>3.1</v>
      </c>
      <c r="P73">
        <v>1.2</v>
      </c>
      <c r="Q73">
        <v>0.3870967741935484</v>
      </c>
      <c r="R73">
        <v>29</v>
      </c>
      <c r="S73">
        <v>0.0796084730466029</v>
      </c>
      <c r="T73" t="s">
        <v>911</v>
      </c>
      <c r="U73">
        <v>-0.267523882672975</v>
      </c>
      <c r="V73" t="s">
        <v>978</v>
      </c>
      <c r="W73" t="s">
        <v>984</v>
      </c>
      <c r="X73">
        <v>7102.163063</v>
      </c>
      <c r="Y73" s="2">
        <v>44864</v>
      </c>
      <c r="Z73" t="s">
        <v>994</v>
      </c>
    </row>
    <row r="74" spans="1:26">
      <c r="A74" s="1" t="s">
        <v>98</v>
      </c>
      <c r="B74">
        <f>HYPERLINK("https://www.suredividend.com/sure-analysis-AEL/","American Equity Investment Life Holding Co")</f>
        <v>0</v>
      </c>
      <c r="C74" t="s">
        <v>869</v>
      </c>
      <c r="D74">
        <v>38</v>
      </c>
      <c r="E74">
        <v>41.58</v>
      </c>
      <c r="F74">
        <v>46</v>
      </c>
      <c r="G74">
        <v>0.9039130434782608</v>
      </c>
      <c r="H74">
        <v>0.008658008658008658</v>
      </c>
      <c r="I74">
        <v>0.02040991377122214</v>
      </c>
      <c r="J74">
        <v>0.06</v>
      </c>
      <c r="K74">
        <v>0.0890736355816828</v>
      </c>
      <c r="L74" t="s">
        <v>872</v>
      </c>
      <c r="M74" t="s">
        <v>568</v>
      </c>
      <c r="N74">
        <v>10.01927710843373</v>
      </c>
      <c r="O74">
        <v>4.15</v>
      </c>
      <c r="P74">
        <v>0.36</v>
      </c>
      <c r="Q74">
        <v>0.08674698795180721</v>
      </c>
      <c r="R74">
        <v>18</v>
      </c>
      <c r="S74">
        <v>0.05922384104881218</v>
      </c>
      <c r="T74" t="s">
        <v>912</v>
      </c>
      <c r="U74">
        <v>0.234194122885129</v>
      </c>
      <c r="V74" t="s">
        <v>978</v>
      </c>
      <c r="W74" t="s">
        <v>986</v>
      </c>
      <c r="X74">
        <v>3643.995982</v>
      </c>
      <c r="Y74" s="2">
        <v>44821</v>
      </c>
      <c r="Z74" t="s">
        <v>1006</v>
      </c>
    </row>
    <row r="75" spans="1:26">
      <c r="A75" s="1" t="s">
        <v>99</v>
      </c>
      <c r="B75">
        <f>HYPERLINK("https://www.suredividend.com/sure-analysis-V/","Visa Inc")</f>
        <v>0</v>
      </c>
      <c r="C75" t="s">
        <v>870</v>
      </c>
      <c r="D75">
        <v>215</v>
      </c>
      <c r="E75">
        <v>196.98</v>
      </c>
      <c r="F75">
        <v>179</v>
      </c>
      <c r="G75">
        <v>1.100446927374302</v>
      </c>
      <c r="H75">
        <v>0.009137983551629607</v>
      </c>
      <c r="I75">
        <v>-0.01896121006480145</v>
      </c>
      <c r="J75">
        <v>0.1</v>
      </c>
      <c r="K75">
        <v>0.08710016602654114</v>
      </c>
      <c r="L75" t="s">
        <v>872</v>
      </c>
      <c r="M75" t="s">
        <v>586</v>
      </c>
      <c r="N75">
        <v>27.54965034965035</v>
      </c>
      <c r="O75">
        <v>7.15</v>
      </c>
      <c r="P75">
        <v>1.8</v>
      </c>
      <c r="Q75">
        <v>0.2517482517482517</v>
      </c>
      <c r="R75">
        <v>15</v>
      </c>
      <c r="S75">
        <v>0.06098335879266292</v>
      </c>
      <c r="T75" t="s">
        <v>913</v>
      </c>
      <c r="U75">
        <v>-0.049832425517628</v>
      </c>
      <c r="V75" t="s">
        <v>978</v>
      </c>
      <c r="W75" t="s">
        <v>986</v>
      </c>
      <c r="X75">
        <v>322065.185757</v>
      </c>
      <c r="Y75" s="2">
        <v>44769</v>
      </c>
      <c r="Z75" t="s">
        <v>998</v>
      </c>
    </row>
    <row r="76" spans="1:26">
      <c r="A76" s="1" t="s">
        <v>100</v>
      </c>
      <c r="B76">
        <f>HYPERLINK("https://www.suredividend.com/sure-analysis-EMR/","Emerson Electric Co.")</f>
        <v>0</v>
      </c>
      <c r="C76" t="s">
        <v>870</v>
      </c>
      <c r="D76">
        <v>89</v>
      </c>
      <c r="E76">
        <v>89.09</v>
      </c>
      <c r="F76">
        <v>97</v>
      </c>
      <c r="G76">
        <v>0.9184536082474227</v>
      </c>
      <c r="H76">
        <v>0.02334717701201033</v>
      </c>
      <c r="I76">
        <v>0.01715831822399783</v>
      </c>
      <c r="J76">
        <v>0.05</v>
      </c>
      <c r="K76">
        <v>0.08685861201392253</v>
      </c>
      <c r="L76" t="s">
        <v>872</v>
      </c>
      <c r="M76" t="s">
        <v>872</v>
      </c>
      <c r="N76">
        <v>17.46862745098039</v>
      </c>
      <c r="O76">
        <v>5.1</v>
      </c>
      <c r="P76">
        <v>2.08</v>
      </c>
      <c r="Q76">
        <v>0.407843137254902</v>
      </c>
      <c r="R76">
        <v>66</v>
      </c>
      <c r="S76">
        <v>0.02817470022338919</v>
      </c>
      <c r="T76" t="s">
        <v>913</v>
      </c>
      <c r="U76">
        <v>-0.062046631306101</v>
      </c>
      <c r="V76" t="s">
        <v>978</v>
      </c>
      <c r="W76" t="s">
        <v>984</v>
      </c>
      <c r="X76">
        <v>52678.917</v>
      </c>
      <c r="Y76" s="2">
        <v>44789</v>
      </c>
      <c r="Z76" t="s">
        <v>1001</v>
      </c>
    </row>
    <row r="77" spans="1:26">
      <c r="A77" s="1" t="s">
        <v>101</v>
      </c>
      <c r="B77">
        <f>HYPERLINK("https://www.suredividend.com/sure-analysis-SCI/","Service Corp. International")</f>
        <v>0</v>
      </c>
      <c r="C77" t="s">
        <v>869</v>
      </c>
      <c r="D77">
        <v>61</v>
      </c>
      <c r="E77">
        <v>69.48999999999999</v>
      </c>
      <c r="F77">
        <v>74</v>
      </c>
      <c r="G77">
        <v>0.939054054054054</v>
      </c>
      <c r="H77">
        <v>0.01439055979277594</v>
      </c>
      <c r="I77">
        <v>0.01265586326223067</v>
      </c>
      <c r="J77">
        <v>0.06</v>
      </c>
      <c r="K77">
        <v>0.086077457776087</v>
      </c>
      <c r="L77" t="s">
        <v>872</v>
      </c>
      <c r="M77" t="s">
        <v>568</v>
      </c>
      <c r="N77">
        <v>18.78108108108108</v>
      </c>
      <c r="O77">
        <v>3.7</v>
      </c>
      <c r="P77">
        <v>1</v>
      </c>
      <c r="Q77">
        <v>0.2702702702702702</v>
      </c>
      <c r="R77">
        <v>12</v>
      </c>
      <c r="S77">
        <v>0.0602809527753625</v>
      </c>
      <c r="T77" t="s">
        <v>883</v>
      </c>
      <c r="U77">
        <v>0.03274956008940801</v>
      </c>
      <c r="V77" t="s">
        <v>978</v>
      </c>
      <c r="W77" t="s">
        <v>984</v>
      </c>
      <c r="X77">
        <v>10687.945029</v>
      </c>
      <c r="Y77" s="2">
        <v>44867</v>
      </c>
      <c r="Z77" t="s">
        <v>997</v>
      </c>
    </row>
    <row r="78" spans="1:26">
      <c r="A78" s="1" t="s">
        <v>102</v>
      </c>
      <c r="B78">
        <f>HYPERLINK("https://www.suredividend.com/sure-analysis-GGG/","Graco Inc.")</f>
        <v>0</v>
      </c>
      <c r="C78" t="s">
        <v>870</v>
      </c>
      <c r="D78">
        <v>69</v>
      </c>
      <c r="E78">
        <v>68</v>
      </c>
      <c r="F78">
        <v>60</v>
      </c>
      <c r="G78">
        <v>1.133333333333333</v>
      </c>
      <c r="H78">
        <v>0.01235294117647059</v>
      </c>
      <c r="I78">
        <v>-0.02472191044052729</v>
      </c>
      <c r="J78">
        <v>0.1</v>
      </c>
      <c r="K78">
        <v>0.08503295969759783</v>
      </c>
      <c r="L78" t="s">
        <v>872</v>
      </c>
      <c r="M78" t="s">
        <v>568</v>
      </c>
      <c r="N78">
        <v>26.15384615384615</v>
      </c>
      <c r="O78">
        <v>2.6</v>
      </c>
      <c r="P78">
        <v>0.84</v>
      </c>
      <c r="Q78">
        <v>0.323076923076923</v>
      </c>
      <c r="R78">
        <v>25</v>
      </c>
      <c r="S78">
        <v>0.09953965407958165</v>
      </c>
      <c r="T78" t="s">
        <v>914</v>
      </c>
      <c r="U78">
        <v>-0.11422810189503</v>
      </c>
      <c r="V78" t="s">
        <v>978</v>
      </c>
      <c r="W78" t="s">
        <v>984</v>
      </c>
      <c r="X78">
        <v>11459.97302</v>
      </c>
      <c r="Y78" s="2">
        <v>44864</v>
      </c>
      <c r="Z78" t="s">
        <v>1002</v>
      </c>
    </row>
    <row r="79" spans="1:26">
      <c r="A79" s="1" t="s">
        <v>103</v>
      </c>
      <c r="B79">
        <f>HYPERLINK("https://www.suredividend.com/sure-analysis-ADM/","Archer Daniels Midland Co.")</f>
        <v>0</v>
      </c>
      <c r="C79" t="s">
        <v>870</v>
      </c>
      <c r="D79">
        <v>98</v>
      </c>
      <c r="E79">
        <v>95.19</v>
      </c>
      <c r="F79">
        <v>105</v>
      </c>
      <c r="G79">
        <v>0.9065714285714286</v>
      </c>
      <c r="H79">
        <v>0.01680848828658473</v>
      </c>
      <c r="I79">
        <v>0.01981077071531212</v>
      </c>
      <c r="J79">
        <v>0.05</v>
      </c>
      <c r="K79">
        <v>0.08441108101983574</v>
      </c>
      <c r="L79" t="s">
        <v>872</v>
      </c>
      <c r="M79" t="s">
        <v>873</v>
      </c>
      <c r="N79">
        <v>12.70894526034713</v>
      </c>
      <c r="O79">
        <v>7.49</v>
      </c>
      <c r="P79">
        <v>1.6</v>
      </c>
      <c r="Q79">
        <v>0.2136181575433912</v>
      </c>
      <c r="R79">
        <v>47</v>
      </c>
      <c r="S79">
        <v>0.02946206823925857</v>
      </c>
      <c r="T79" t="s">
        <v>900</v>
      </c>
      <c r="U79">
        <v>0.512097254587997</v>
      </c>
      <c r="V79" t="s">
        <v>978</v>
      </c>
      <c r="W79" t="s">
        <v>990</v>
      </c>
      <c r="X79">
        <v>52291.125068</v>
      </c>
      <c r="Y79" s="2">
        <v>44867</v>
      </c>
      <c r="Z79" t="s">
        <v>997</v>
      </c>
    </row>
    <row r="80" spans="1:26">
      <c r="A80" s="1" t="s">
        <v>104</v>
      </c>
      <c r="B80">
        <f>HYPERLINK("https://www.suredividend.com/sure-analysis-RJF/","Raymond James Financial, Inc.")</f>
        <v>0</v>
      </c>
      <c r="C80" t="s">
        <v>870</v>
      </c>
      <c r="D80">
        <v>119</v>
      </c>
      <c r="E80">
        <v>120.44</v>
      </c>
      <c r="F80">
        <v>116</v>
      </c>
      <c r="G80">
        <v>1.038275862068966</v>
      </c>
      <c r="H80">
        <v>0.01129192959149784</v>
      </c>
      <c r="I80">
        <v>-0.007484155683568972</v>
      </c>
      <c r="J80">
        <v>0.08</v>
      </c>
      <c r="K80">
        <v>0.08417385305500957</v>
      </c>
      <c r="L80" t="s">
        <v>872</v>
      </c>
      <c r="M80" t="s">
        <v>568</v>
      </c>
      <c r="N80">
        <v>13.02054054054054</v>
      </c>
      <c r="O80">
        <v>9.25</v>
      </c>
      <c r="P80">
        <v>1.36</v>
      </c>
      <c r="Q80">
        <v>0.147027027027027</v>
      </c>
      <c r="R80">
        <v>10</v>
      </c>
      <c r="S80">
        <v>0.1303865011727074</v>
      </c>
      <c r="T80" t="s">
        <v>891</v>
      </c>
      <c r="U80">
        <v>0.215339268758091</v>
      </c>
      <c r="V80" t="s">
        <v>978</v>
      </c>
      <c r="W80" t="s">
        <v>986</v>
      </c>
      <c r="X80">
        <v>25993.962157</v>
      </c>
      <c r="Y80" s="2">
        <v>44870</v>
      </c>
      <c r="Z80" t="s">
        <v>1002</v>
      </c>
    </row>
    <row r="81" spans="1:26">
      <c r="A81" s="1" t="s">
        <v>105</v>
      </c>
      <c r="B81">
        <f>HYPERLINK("https://www.suredividend.com/sure-analysis-JBHT/","J.B. Hunt Transport Services, Inc.")</f>
        <v>0</v>
      </c>
      <c r="C81" t="s">
        <v>870</v>
      </c>
      <c r="D81">
        <v>165</v>
      </c>
      <c r="E81">
        <v>173.25</v>
      </c>
      <c r="F81">
        <v>211</v>
      </c>
      <c r="G81">
        <v>0.8210900473933649</v>
      </c>
      <c r="H81">
        <v>0.009235209235209235</v>
      </c>
      <c r="I81">
        <v>0.04021195896144003</v>
      </c>
      <c r="J81">
        <v>0.035</v>
      </c>
      <c r="K81">
        <v>0.08414290142983538</v>
      </c>
      <c r="L81" t="s">
        <v>872</v>
      </c>
      <c r="M81" t="s">
        <v>568</v>
      </c>
      <c r="N81">
        <v>18.046875</v>
      </c>
      <c r="O81">
        <v>9.6</v>
      </c>
      <c r="P81">
        <v>1.6</v>
      </c>
      <c r="Q81">
        <v>0.1666666666666667</v>
      </c>
      <c r="R81">
        <v>20</v>
      </c>
      <c r="S81">
        <v>0.03496752704080697</v>
      </c>
      <c r="T81" t="s">
        <v>915</v>
      </c>
      <c r="U81">
        <v>-0.113788529738085</v>
      </c>
      <c r="V81" t="s">
        <v>978</v>
      </c>
      <c r="W81" t="s">
        <v>984</v>
      </c>
      <c r="X81">
        <v>17985.627025</v>
      </c>
      <c r="Y81" s="2">
        <v>44860</v>
      </c>
      <c r="Z81" t="s">
        <v>995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870</v>
      </c>
      <c r="D82">
        <v>166</v>
      </c>
      <c r="E82">
        <v>171.48</v>
      </c>
      <c r="F82">
        <v>171</v>
      </c>
      <c r="G82">
        <v>1.002807017543859</v>
      </c>
      <c r="H82">
        <v>0.02635875903895498</v>
      </c>
      <c r="I82">
        <v>-0.0005604599290495171</v>
      </c>
      <c r="J82">
        <v>0.06</v>
      </c>
      <c r="K82">
        <v>0.08331273714229548</v>
      </c>
      <c r="L82" t="s">
        <v>872</v>
      </c>
      <c r="M82" t="s">
        <v>872</v>
      </c>
      <c r="N82">
        <v>17.06268656716418</v>
      </c>
      <c r="O82">
        <v>10.05</v>
      </c>
      <c r="P82">
        <v>4.52</v>
      </c>
      <c r="Q82">
        <v>0.4497512437810944</v>
      </c>
      <c r="R82">
        <v>60</v>
      </c>
      <c r="S82">
        <v>0.06004276922950136</v>
      </c>
      <c r="T82" t="s">
        <v>916</v>
      </c>
      <c r="U82">
        <v>0.069271295478169</v>
      </c>
      <c r="V82" t="s">
        <v>978</v>
      </c>
      <c r="W82" t="s">
        <v>988</v>
      </c>
      <c r="X82">
        <v>448331.648928</v>
      </c>
      <c r="Y82" s="2">
        <v>44853</v>
      </c>
      <c r="Z82" t="s">
        <v>993</v>
      </c>
    </row>
    <row r="83" spans="1:26">
      <c r="A83" s="1" t="s">
        <v>107</v>
      </c>
      <c r="B83">
        <f>HYPERLINK("https://www.suredividend.com/sure-analysis-ATO/","Atmos Energy Corp.")</f>
        <v>0</v>
      </c>
      <c r="C83" t="s">
        <v>870</v>
      </c>
      <c r="D83">
        <v>117</v>
      </c>
      <c r="E83">
        <v>106.03</v>
      </c>
      <c r="F83">
        <v>105</v>
      </c>
      <c r="G83">
        <v>1.009809523809524</v>
      </c>
      <c r="H83">
        <v>0.02565311704234651</v>
      </c>
      <c r="I83">
        <v>-0.001950439971074247</v>
      </c>
      <c r="J83">
        <v>0.06</v>
      </c>
      <c r="K83">
        <v>0.08270920449487651</v>
      </c>
      <c r="L83" t="s">
        <v>872</v>
      </c>
      <c r="M83" t="s">
        <v>873</v>
      </c>
      <c r="N83">
        <v>19.27818181818182</v>
      </c>
      <c r="O83">
        <v>5.5</v>
      </c>
      <c r="P83">
        <v>2.72</v>
      </c>
      <c r="Q83">
        <v>0.4945454545454546</v>
      </c>
      <c r="R83">
        <v>38</v>
      </c>
      <c r="S83">
        <v>0.0801851873035635</v>
      </c>
      <c r="T83" t="s">
        <v>884</v>
      </c>
      <c r="U83">
        <v>0.153385097694535</v>
      </c>
      <c r="V83" t="s">
        <v>978</v>
      </c>
      <c r="W83" t="s">
        <v>987</v>
      </c>
      <c r="X83">
        <v>14832.740066</v>
      </c>
      <c r="Y83" s="2">
        <v>44789</v>
      </c>
      <c r="Z83" t="s">
        <v>1001</v>
      </c>
    </row>
    <row r="84" spans="1:26">
      <c r="A84" s="1" t="s">
        <v>108</v>
      </c>
      <c r="B84">
        <f>HYPERLINK("https://www.suredividend.com/sure-analysis-WST/","West Pharmaceutical Services, Inc.")</f>
        <v>0</v>
      </c>
      <c r="C84" t="s">
        <v>870</v>
      </c>
      <c r="D84">
        <v>226</v>
      </c>
      <c r="E84">
        <v>215.59</v>
      </c>
      <c r="F84">
        <v>205</v>
      </c>
      <c r="G84">
        <v>1.051658536585366</v>
      </c>
      <c r="H84">
        <v>0.003525209889141426</v>
      </c>
      <c r="I84">
        <v>-0.01002312560797003</v>
      </c>
      <c r="J84">
        <v>0.09</v>
      </c>
      <c r="K84">
        <v>0.08216980491505388</v>
      </c>
      <c r="L84" t="s">
        <v>872</v>
      </c>
      <c r="M84" t="s">
        <v>568</v>
      </c>
      <c r="N84">
        <v>26.35574572127139</v>
      </c>
      <c r="O84">
        <v>8.18</v>
      </c>
      <c r="P84">
        <v>0.76</v>
      </c>
      <c r="Q84">
        <v>0.09290953545232274</v>
      </c>
      <c r="R84">
        <v>30</v>
      </c>
      <c r="S84">
        <v>0.06061390336787298</v>
      </c>
      <c r="T84" t="s">
        <v>917</v>
      </c>
      <c r="U84">
        <v>-0.501416957327544</v>
      </c>
      <c r="V84" t="s">
        <v>978</v>
      </c>
      <c r="W84" t="s">
        <v>988</v>
      </c>
      <c r="X84">
        <v>15960.771667</v>
      </c>
      <c r="Y84" s="2">
        <v>44866</v>
      </c>
      <c r="Z84" t="s">
        <v>994</v>
      </c>
    </row>
    <row r="85" spans="1:26">
      <c r="A85" s="1" t="s">
        <v>109</v>
      </c>
      <c r="B85">
        <f>HYPERLINK("https://www.suredividend.com/sure-analysis-COST/","Costco Wholesale Corp")</f>
        <v>0</v>
      </c>
      <c r="C85" t="s">
        <v>870</v>
      </c>
      <c r="D85">
        <v>466</v>
      </c>
      <c r="E85">
        <v>486.41</v>
      </c>
      <c r="F85">
        <v>453</v>
      </c>
      <c r="G85">
        <v>1.073752759381899</v>
      </c>
      <c r="H85">
        <v>0.007401163627392529</v>
      </c>
      <c r="I85">
        <v>-0.01413115733174108</v>
      </c>
      <c r="J85">
        <v>0.09</v>
      </c>
      <c r="K85">
        <v>0.08195218359961398</v>
      </c>
      <c r="L85" t="s">
        <v>872</v>
      </c>
      <c r="M85" t="s">
        <v>586</v>
      </c>
      <c r="N85">
        <v>33.31575342465754</v>
      </c>
      <c r="O85">
        <v>14.6</v>
      </c>
      <c r="P85">
        <v>3.6</v>
      </c>
      <c r="Q85">
        <v>0.2465753424657534</v>
      </c>
      <c r="R85">
        <v>19</v>
      </c>
      <c r="S85">
        <v>0.100082101138866</v>
      </c>
      <c r="T85" t="s">
        <v>918</v>
      </c>
      <c r="U85">
        <v>-0.05033863205107501</v>
      </c>
      <c r="V85" t="s">
        <v>978</v>
      </c>
      <c r="W85" t="s">
        <v>990</v>
      </c>
      <c r="X85">
        <v>215287.082169</v>
      </c>
      <c r="Y85" s="2">
        <v>44828</v>
      </c>
      <c r="Z85" t="s">
        <v>1001</v>
      </c>
    </row>
    <row r="86" spans="1:26">
      <c r="A86" s="1" t="s">
        <v>110</v>
      </c>
      <c r="B86">
        <f>HYPERLINK("https://www.suredividend.com/sure-analysis-KO/","Coca-Cola Co")</f>
        <v>0</v>
      </c>
      <c r="C86" t="s">
        <v>870</v>
      </c>
      <c r="D86">
        <v>60</v>
      </c>
      <c r="E86">
        <v>59.26</v>
      </c>
      <c r="F86">
        <v>58</v>
      </c>
      <c r="G86">
        <v>1.021724137931034</v>
      </c>
      <c r="H86">
        <v>0.02969962875464057</v>
      </c>
      <c r="I86">
        <v>-0.004289081822494989</v>
      </c>
      <c r="J86">
        <v>0.06</v>
      </c>
      <c r="K86">
        <v>0.0818950659901021</v>
      </c>
      <c r="L86" t="s">
        <v>872</v>
      </c>
      <c r="M86" t="s">
        <v>873</v>
      </c>
      <c r="N86">
        <v>23.704</v>
      </c>
      <c r="O86">
        <v>2.5</v>
      </c>
      <c r="P86">
        <v>1.76</v>
      </c>
      <c r="Q86">
        <v>0.704</v>
      </c>
      <c r="R86">
        <v>60</v>
      </c>
      <c r="S86">
        <v>0.05034983139121563</v>
      </c>
      <c r="T86" t="s">
        <v>887</v>
      </c>
      <c r="U86">
        <v>0.07868228201553</v>
      </c>
      <c r="V86" t="s">
        <v>978</v>
      </c>
      <c r="W86" t="s">
        <v>990</v>
      </c>
      <c r="X86">
        <v>256270.656025</v>
      </c>
      <c r="Y86" s="2">
        <v>44866</v>
      </c>
      <c r="Z86" t="s">
        <v>1001</v>
      </c>
    </row>
    <row r="87" spans="1:26">
      <c r="A87" s="1" t="s">
        <v>111</v>
      </c>
      <c r="B87">
        <f>HYPERLINK("https://www.suredividend.com/sure-analysis-ROP/","Roper Technologies Inc")</f>
        <v>0</v>
      </c>
      <c r="C87" t="s">
        <v>870</v>
      </c>
      <c r="D87">
        <v>396</v>
      </c>
      <c r="E87">
        <v>396.03</v>
      </c>
      <c r="F87">
        <v>353</v>
      </c>
      <c r="G87">
        <v>1.121898016997167</v>
      </c>
      <c r="H87">
        <v>0.006262151857182537</v>
      </c>
      <c r="I87">
        <v>-0.02274179839146373</v>
      </c>
      <c r="J87">
        <v>0.1</v>
      </c>
      <c r="K87">
        <v>0.08120590215546142</v>
      </c>
      <c r="L87" t="s">
        <v>872</v>
      </c>
      <c r="M87" t="s">
        <v>568</v>
      </c>
      <c r="N87">
        <v>28.06732813607371</v>
      </c>
      <c r="O87">
        <v>14.11</v>
      </c>
      <c r="P87">
        <v>2.48</v>
      </c>
      <c r="Q87">
        <v>0.1757618710134656</v>
      </c>
      <c r="R87">
        <v>29</v>
      </c>
      <c r="S87">
        <v>0.09977601258252333</v>
      </c>
      <c r="T87" t="s">
        <v>893</v>
      </c>
      <c r="U87">
        <v>-0.183170798010552</v>
      </c>
      <c r="V87" t="s">
        <v>978</v>
      </c>
      <c r="W87" t="s">
        <v>984</v>
      </c>
      <c r="X87">
        <v>41999.794946</v>
      </c>
      <c r="Y87" s="2">
        <v>44860</v>
      </c>
      <c r="Z87" t="s">
        <v>1000</v>
      </c>
    </row>
    <row r="88" spans="1:26">
      <c r="A88" s="1" t="s">
        <v>112</v>
      </c>
      <c r="B88">
        <f>HYPERLINK("https://www.suredividend.com/sure-analysis-BAM/","Brookfield Asset Management Inc.")</f>
        <v>0</v>
      </c>
      <c r="C88" t="s">
        <v>870</v>
      </c>
      <c r="D88">
        <v>49</v>
      </c>
      <c r="E88">
        <v>40.45</v>
      </c>
      <c r="F88">
        <v>42</v>
      </c>
      <c r="G88">
        <v>0.9630952380952381</v>
      </c>
      <c r="H88">
        <v>0.0138442521631644</v>
      </c>
      <c r="I88">
        <v>0.007548945656833839</v>
      </c>
      <c r="J88">
        <v>0.06</v>
      </c>
      <c r="K88">
        <v>0.08083300104630942</v>
      </c>
      <c r="L88" t="s">
        <v>872</v>
      </c>
      <c r="M88" t="s">
        <v>568</v>
      </c>
      <c r="N88">
        <v>12.640625</v>
      </c>
      <c r="O88">
        <v>3.2</v>
      </c>
      <c r="P88">
        <v>0.5600000000000001</v>
      </c>
      <c r="Q88">
        <v>0.175</v>
      </c>
      <c r="R88">
        <v>11</v>
      </c>
      <c r="S88">
        <v>0.07124254564338495</v>
      </c>
      <c r="T88" t="s">
        <v>881</v>
      </c>
      <c r="U88">
        <v>-0.324919724694085</v>
      </c>
      <c r="V88" t="s">
        <v>978</v>
      </c>
      <c r="W88" t="s">
        <v>986</v>
      </c>
      <c r="X88">
        <v>65519.464357</v>
      </c>
      <c r="Y88" s="2">
        <v>44802</v>
      </c>
      <c r="Z88" t="s">
        <v>1001</v>
      </c>
    </row>
    <row r="89" spans="1:26">
      <c r="A89" s="1" t="s">
        <v>113</v>
      </c>
      <c r="B89">
        <f>HYPERLINK("https://www.suredividend.com/sure-analysis-SCL/","Stepan Co.")</f>
        <v>0</v>
      </c>
      <c r="C89" t="s">
        <v>870</v>
      </c>
      <c r="D89">
        <v>112</v>
      </c>
      <c r="E89">
        <v>104.85</v>
      </c>
      <c r="F89">
        <v>114</v>
      </c>
      <c r="G89">
        <v>0.9197368421052631</v>
      </c>
      <c r="H89">
        <v>0.01392465426800191</v>
      </c>
      <c r="I89">
        <v>0.01687432806767641</v>
      </c>
      <c r="J89">
        <v>0.05</v>
      </c>
      <c r="K89">
        <v>0.08028870686440448</v>
      </c>
      <c r="L89" t="s">
        <v>872</v>
      </c>
      <c r="M89" t="s">
        <v>873</v>
      </c>
      <c r="N89">
        <v>15.64925373134328</v>
      </c>
      <c r="O89">
        <v>6.7</v>
      </c>
      <c r="P89">
        <v>1.46</v>
      </c>
      <c r="Q89">
        <v>0.217910447761194</v>
      </c>
      <c r="R89">
        <v>55</v>
      </c>
      <c r="S89">
        <v>0.06175098869641915</v>
      </c>
      <c r="T89" t="s">
        <v>881</v>
      </c>
      <c r="U89">
        <v>-0.144479711481188</v>
      </c>
      <c r="V89" t="s">
        <v>978</v>
      </c>
      <c r="W89" t="s">
        <v>989</v>
      </c>
      <c r="X89">
        <v>2338.67233</v>
      </c>
      <c r="Y89" s="2">
        <v>44773</v>
      </c>
      <c r="Z89" t="s">
        <v>1001</v>
      </c>
    </row>
    <row r="90" spans="1:26">
      <c r="A90" s="1" t="s">
        <v>114</v>
      </c>
      <c r="B90">
        <f>HYPERLINK("https://www.suredividend.com/sure-analysis-NIDB/","Northeast Indiana Bancorp Inc.")</f>
        <v>0</v>
      </c>
      <c r="C90" t="s">
        <v>870</v>
      </c>
      <c r="D90">
        <v>42</v>
      </c>
      <c r="E90">
        <v>41.5</v>
      </c>
      <c r="F90">
        <v>47</v>
      </c>
      <c r="G90">
        <v>0.8829787234042553</v>
      </c>
      <c r="H90">
        <v>0.02891566265060241</v>
      </c>
      <c r="I90">
        <v>0.02520319800044013</v>
      </c>
      <c r="J90">
        <v>0.03</v>
      </c>
      <c r="K90">
        <v>0.08023935364227719</v>
      </c>
      <c r="L90" t="s">
        <v>872</v>
      </c>
      <c r="M90" t="s">
        <v>872</v>
      </c>
      <c r="N90">
        <v>7.904761904761905</v>
      </c>
      <c r="O90">
        <v>5.25</v>
      </c>
      <c r="P90">
        <v>1.2</v>
      </c>
      <c r="Q90">
        <v>0.2285714285714286</v>
      </c>
      <c r="R90">
        <v>27</v>
      </c>
      <c r="S90">
        <v>0.02983277847878951</v>
      </c>
      <c r="T90" t="s">
        <v>898</v>
      </c>
      <c r="U90">
        <v>-0.09782608695652101</v>
      </c>
      <c r="V90" t="s">
        <v>978</v>
      </c>
      <c r="W90" t="s">
        <v>986</v>
      </c>
      <c r="X90">
        <v>50.000653</v>
      </c>
      <c r="Y90" s="2">
        <v>44858</v>
      </c>
      <c r="Z90" t="s">
        <v>993</v>
      </c>
    </row>
    <row r="91" spans="1:26">
      <c r="A91" s="1" t="s">
        <v>115</v>
      </c>
      <c r="B91">
        <f>HYPERLINK("https://www.suredividend.com/sure-analysis-AXP/","American Express Co.")</f>
        <v>0</v>
      </c>
      <c r="C91" t="s">
        <v>870</v>
      </c>
      <c r="D91">
        <v>150</v>
      </c>
      <c r="E91">
        <v>144.72</v>
      </c>
      <c r="F91">
        <v>142</v>
      </c>
      <c r="G91">
        <v>1.019154929577465</v>
      </c>
      <c r="H91">
        <v>0.01437258153676064</v>
      </c>
      <c r="I91">
        <v>-0.003787565706855678</v>
      </c>
      <c r="J91">
        <v>0.07000000000000001</v>
      </c>
      <c r="K91">
        <v>0.07970550812243693</v>
      </c>
      <c r="L91" t="s">
        <v>872</v>
      </c>
      <c r="M91" t="s">
        <v>568</v>
      </c>
      <c r="N91">
        <v>15.31428571428571</v>
      </c>
      <c r="O91">
        <v>9.449999999999999</v>
      </c>
      <c r="P91">
        <v>2.08</v>
      </c>
      <c r="Q91">
        <v>0.2201058201058201</v>
      </c>
      <c r="R91">
        <v>10</v>
      </c>
      <c r="S91">
        <v>0.08026826569151013</v>
      </c>
      <c r="T91" t="s">
        <v>910</v>
      </c>
      <c r="U91">
        <v>-0.150309797564479</v>
      </c>
      <c r="V91" t="s">
        <v>978</v>
      </c>
      <c r="W91" t="s">
        <v>986</v>
      </c>
      <c r="X91">
        <v>108139.515765</v>
      </c>
      <c r="Y91" s="2">
        <v>44864</v>
      </c>
      <c r="Z91" t="s">
        <v>994</v>
      </c>
    </row>
    <row r="92" spans="1:26">
      <c r="A92" s="1" t="s">
        <v>116</v>
      </c>
      <c r="B92">
        <f>HYPERLINK("https://www.suredividend.com/sure-analysis-CTBI/","Community Trust Bancorp, Inc.")</f>
        <v>0</v>
      </c>
      <c r="C92" t="s">
        <v>869</v>
      </c>
      <c r="D92">
        <v>43</v>
      </c>
      <c r="E92">
        <v>47.1</v>
      </c>
      <c r="F92">
        <v>53</v>
      </c>
      <c r="G92">
        <v>0.8886792452830189</v>
      </c>
      <c r="H92">
        <v>0.03736730360934182</v>
      </c>
      <c r="I92">
        <v>0.0238845565378687</v>
      </c>
      <c r="J92">
        <v>0.02</v>
      </c>
      <c r="K92">
        <v>0.07737848672972625</v>
      </c>
      <c r="L92" t="s">
        <v>872</v>
      </c>
      <c r="M92" t="s">
        <v>872</v>
      </c>
      <c r="N92">
        <v>10.70454545454545</v>
      </c>
      <c r="O92">
        <v>4.4</v>
      </c>
      <c r="P92">
        <v>1.76</v>
      </c>
      <c r="Q92">
        <v>0.4</v>
      </c>
      <c r="R92">
        <v>42</v>
      </c>
      <c r="S92">
        <v>0.03792181163298758</v>
      </c>
      <c r="T92" t="s">
        <v>883</v>
      </c>
      <c r="U92">
        <v>0.095229126118773</v>
      </c>
      <c r="V92" t="s">
        <v>978</v>
      </c>
      <c r="W92" t="s">
        <v>986</v>
      </c>
      <c r="X92">
        <v>843.154668</v>
      </c>
      <c r="Y92" s="2">
        <v>44854</v>
      </c>
      <c r="Z92" t="s">
        <v>996</v>
      </c>
    </row>
    <row r="93" spans="1:26">
      <c r="A93" s="1" t="s">
        <v>117</v>
      </c>
      <c r="B93">
        <f>HYPERLINK("https://www.suredividend.com/sure-analysis-EFSI/","Eagle Financial Services, Inc.")</f>
        <v>0</v>
      </c>
      <c r="C93" t="s">
        <v>870</v>
      </c>
      <c r="D93">
        <v>38</v>
      </c>
      <c r="E93">
        <v>37.01</v>
      </c>
      <c r="F93">
        <v>36</v>
      </c>
      <c r="G93">
        <v>1.028055555555556</v>
      </c>
      <c r="H93">
        <v>0.03134288030262091</v>
      </c>
      <c r="I93">
        <v>-0.005518558092173276</v>
      </c>
      <c r="J93">
        <v>0.055</v>
      </c>
      <c r="K93">
        <v>0.07726478578237383</v>
      </c>
      <c r="L93" t="s">
        <v>872</v>
      </c>
      <c r="M93" t="s">
        <v>872</v>
      </c>
      <c r="N93">
        <v>10.28055555555556</v>
      </c>
      <c r="O93">
        <v>3.6</v>
      </c>
      <c r="P93">
        <v>1.16</v>
      </c>
      <c r="Q93">
        <v>0.3222222222222222</v>
      </c>
      <c r="R93">
        <v>35</v>
      </c>
      <c r="S93">
        <v>0.04563955259127317</v>
      </c>
      <c r="T93" t="s">
        <v>919</v>
      </c>
      <c r="U93">
        <v>0.100931076538655</v>
      </c>
      <c r="V93" t="s">
        <v>978</v>
      </c>
      <c r="W93" t="s">
        <v>986</v>
      </c>
      <c r="X93">
        <v>129.171229</v>
      </c>
      <c r="Y93" s="2">
        <v>44791</v>
      </c>
      <c r="Z93" t="s">
        <v>994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870</v>
      </c>
      <c r="D94">
        <v>81</v>
      </c>
      <c r="E94">
        <v>81.17</v>
      </c>
      <c r="F94">
        <v>80</v>
      </c>
      <c r="G94">
        <v>1.014625</v>
      </c>
      <c r="H94">
        <v>0.009609461623752619</v>
      </c>
      <c r="I94">
        <v>-0.002899605220562429</v>
      </c>
      <c r="J94">
        <v>0.07000000000000001</v>
      </c>
      <c r="K94">
        <v>0.07630323057984834</v>
      </c>
      <c r="L94" t="s">
        <v>872</v>
      </c>
      <c r="M94" t="s">
        <v>568</v>
      </c>
      <c r="N94">
        <v>19.32619047619048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920</v>
      </c>
      <c r="U94">
        <v>-0.09409392093159701</v>
      </c>
      <c r="V94" t="s">
        <v>978</v>
      </c>
      <c r="W94" t="s">
        <v>984</v>
      </c>
      <c r="X94">
        <v>3759.675486</v>
      </c>
      <c r="Y94" s="2">
        <v>44860</v>
      </c>
      <c r="Z94" t="s">
        <v>996</v>
      </c>
    </row>
    <row r="95" spans="1:26">
      <c r="A95" s="1" t="s">
        <v>119</v>
      </c>
      <c r="B95">
        <f>HYPERLINK("https://www.suredividend.com/sure-analysis-LHX/","L3Harris Technologies Inc")</f>
        <v>0</v>
      </c>
      <c r="C95" t="s">
        <v>870</v>
      </c>
      <c r="D95">
        <v>230</v>
      </c>
      <c r="E95">
        <v>229.33</v>
      </c>
      <c r="F95">
        <v>206</v>
      </c>
      <c r="G95">
        <v>1.113252427184466</v>
      </c>
      <c r="H95">
        <v>0.01953516766232067</v>
      </c>
      <c r="I95">
        <v>-0.02122860176604835</v>
      </c>
      <c r="J95">
        <v>0.08</v>
      </c>
      <c r="K95">
        <v>0.07619021081403354</v>
      </c>
      <c r="L95" t="s">
        <v>872</v>
      </c>
      <c r="M95" t="s">
        <v>568</v>
      </c>
      <c r="N95">
        <v>17.80512422360248</v>
      </c>
      <c r="O95">
        <v>12.88</v>
      </c>
      <c r="P95">
        <v>4.48</v>
      </c>
      <c r="Q95">
        <v>0.3478260869565217</v>
      </c>
      <c r="R95">
        <v>21</v>
      </c>
      <c r="S95">
        <v>0.0799150058822331</v>
      </c>
      <c r="T95" t="s">
        <v>889</v>
      </c>
      <c r="U95">
        <v>0.051731736634595</v>
      </c>
      <c r="V95" t="s">
        <v>978</v>
      </c>
      <c r="W95" t="s">
        <v>984</v>
      </c>
      <c r="X95">
        <v>43665.072977</v>
      </c>
      <c r="Y95" s="2">
        <v>44870</v>
      </c>
      <c r="Z95" t="s">
        <v>1007</v>
      </c>
    </row>
    <row r="96" spans="1:26">
      <c r="A96" s="1" t="s">
        <v>120</v>
      </c>
      <c r="B96">
        <f>HYPERLINK("https://www.suredividend.com/sure-analysis-KR/","Kroger Co.")</f>
        <v>0</v>
      </c>
      <c r="C96" t="s">
        <v>870</v>
      </c>
      <c r="D96">
        <v>47</v>
      </c>
      <c r="E96">
        <v>46.4</v>
      </c>
      <c r="F96">
        <v>52</v>
      </c>
      <c r="G96">
        <v>0.8923076923076922</v>
      </c>
      <c r="H96">
        <v>0.02241379310344828</v>
      </c>
      <c r="I96">
        <v>0.02305050153955368</v>
      </c>
      <c r="J96">
        <v>0.03</v>
      </c>
      <c r="K96">
        <v>0.07523285430279336</v>
      </c>
      <c r="L96" t="s">
        <v>872</v>
      </c>
      <c r="M96" t="s">
        <v>873</v>
      </c>
      <c r="N96">
        <v>11.6</v>
      </c>
      <c r="O96">
        <v>4</v>
      </c>
      <c r="P96">
        <v>1.04</v>
      </c>
      <c r="Q96">
        <v>0.26</v>
      </c>
      <c r="R96">
        <v>17</v>
      </c>
      <c r="S96">
        <v>0.07019742897422021</v>
      </c>
      <c r="T96" t="s">
        <v>905</v>
      </c>
      <c r="U96">
        <v>0.089051046920731</v>
      </c>
      <c r="V96" t="s">
        <v>978</v>
      </c>
      <c r="W96" t="s">
        <v>990</v>
      </c>
      <c r="X96">
        <v>33213.413202</v>
      </c>
      <c r="Y96" s="2">
        <v>44823</v>
      </c>
      <c r="Z96" t="s">
        <v>998</v>
      </c>
    </row>
    <row r="97" spans="1:26">
      <c r="A97" s="1" t="s">
        <v>121</v>
      </c>
      <c r="B97">
        <f>HYPERLINK("https://www.suredividend.com/sure-analysis-SHW/","Sherwin-Williams Co.")</f>
        <v>0</v>
      </c>
      <c r="C97" t="s">
        <v>870</v>
      </c>
      <c r="D97">
        <v>221</v>
      </c>
      <c r="E97">
        <v>216.23</v>
      </c>
      <c r="F97">
        <v>199</v>
      </c>
      <c r="G97">
        <v>1.086582914572864</v>
      </c>
      <c r="H97">
        <v>0.01109929242010822</v>
      </c>
      <c r="I97">
        <v>-0.01647042089030937</v>
      </c>
      <c r="J97">
        <v>0.08</v>
      </c>
      <c r="K97">
        <v>0.07382874022302777</v>
      </c>
      <c r="L97" t="s">
        <v>872</v>
      </c>
      <c r="M97" t="s">
        <v>568</v>
      </c>
      <c r="N97">
        <v>24.99768786127168</v>
      </c>
      <c r="O97">
        <v>8.65</v>
      </c>
      <c r="P97">
        <v>2.4</v>
      </c>
      <c r="Q97">
        <v>0.2774566473988439</v>
      </c>
      <c r="R97">
        <v>44</v>
      </c>
      <c r="S97">
        <v>0.1047834780592649</v>
      </c>
      <c r="T97" t="s">
        <v>895</v>
      </c>
      <c r="U97">
        <v>-0.315377737475873</v>
      </c>
      <c r="V97" t="s">
        <v>978</v>
      </c>
      <c r="W97" t="s">
        <v>989</v>
      </c>
      <c r="X97">
        <v>56034.580842</v>
      </c>
      <c r="Y97" s="2">
        <v>44859</v>
      </c>
      <c r="Z97" t="s">
        <v>1008</v>
      </c>
    </row>
    <row r="98" spans="1:26">
      <c r="A98" s="1" t="s">
        <v>122</v>
      </c>
      <c r="B98">
        <f>HYPERLINK("https://www.suredividend.com/sure-analysis-GL/","Globe Life Inc")</f>
        <v>0</v>
      </c>
      <c r="C98" t="s">
        <v>870</v>
      </c>
      <c r="D98">
        <v>114</v>
      </c>
      <c r="E98">
        <v>113.99</v>
      </c>
      <c r="F98">
        <v>107</v>
      </c>
      <c r="G98">
        <v>1.065327102803738</v>
      </c>
      <c r="H98">
        <v>0.007193613474866216</v>
      </c>
      <c r="I98">
        <v>-0.01257662302825802</v>
      </c>
      <c r="J98">
        <v>0.08</v>
      </c>
      <c r="K98">
        <v>0.07378312959261812</v>
      </c>
      <c r="L98" t="s">
        <v>872</v>
      </c>
      <c r="M98" t="s">
        <v>568</v>
      </c>
      <c r="N98">
        <v>13.8169696969697</v>
      </c>
      <c r="O98">
        <v>8.25</v>
      </c>
      <c r="P98">
        <v>0.82</v>
      </c>
      <c r="Q98">
        <v>0.09939393939393938</v>
      </c>
      <c r="R98">
        <v>16</v>
      </c>
      <c r="S98">
        <v>0.0998969956090936</v>
      </c>
      <c r="T98" t="s">
        <v>885</v>
      </c>
      <c r="U98">
        <v>0.2416345701389</v>
      </c>
      <c r="V98" t="s">
        <v>978</v>
      </c>
      <c r="W98" t="s">
        <v>986</v>
      </c>
      <c r="X98">
        <v>11106.901537</v>
      </c>
      <c r="Y98" s="2">
        <v>44864</v>
      </c>
      <c r="Z98" t="s">
        <v>1006</v>
      </c>
    </row>
    <row r="99" spans="1:26">
      <c r="A99" s="1" t="s">
        <v>123</v>
      </c>
      <c r="B99">
        <f>HYPERLINK("https://www.suredividend.com/sure-analysis-MORN/","Morningstar Inc")</f>
        <v>0</v>
      </c>
      <c r="C99" t="s">
        <v>870</v>
      </c>
      <c r="D99">
        <v>249</v>
      </c>
      <c r="E99">
        <v>231.81</v>
      </c>
      <c r="F99">
        <v>182</v>
      </c>
      <c r="G99">
        <v>1.273681318681319</v>
      </c>
      <c r="H99">
        <v>0.006211983952374789</v>
      </c>
      <c r="I99">
        <v>-0.04723050413383545</v>
      </c>
      <c r="J99">
        <v>0.12</v>
      </c>
      <c r="K99">
        <v>0.07311210651547095</v>
      </c>
      <c r="L99" t="s">
        <v>872</v>
      </c>
      <c r="M99" t="s">
        <v>586</v>
      </c>
      <c r="N99">
        <v>42.14727272727273</v>
      </c>
      <c r="O99">
        <v>5.5</v>
      </c>
      <c r="P99">
        <v>1.44</v>
      </c>
      <c r="Q99">
        <v>0.2618181818181818</v>
      </c>
      <c r="R99">
        <v>11</v>
      </c>
      <c r="S99">
        <v>0.0804251218424088</v>
      </c>
      <c r="T99" t="s">
        <v>921</v>
      </c>
      <c r="U99">
        <v>-0.258389783496269</v>
      </c>
      <c r="V99" t="s">
        <v>978</v>
      </c>
      <c r="W99" t="s">
        <v>986</v>
      </c>
      <c r="X99">
        <v>9839.45084</v>
      </c>
      <c r="Y99" s="2">
        <v>44779</v>
      </c>
      <c r="Z99" t="s">
        <v>1001</v>
      </c>
    </row>
    <row r="100" spans="1:26">
      <c r="A100" s="1" t="s">
        <v>124</v>
      </c>
      <c r="B100">
        <f>HYPERLINK("https://www.suredividend.com/sure-analysis-UNM/","Unum Group")</f>
        <v>0</v>
      </c>
      <c r="C100" t="s">
        <v>869</v>
      </c>
      <c r="D100">
        <v>39</v>
      </c>
      <c r="E100">
        <v>45.14</v>
      </c>
      <c r="F100">
        <v>49</v>
      </c>
      <c r="G100">
        <v>0.9212244897959184</v>
      </c>
      <c r="H100">
        <v>0.02924235711120957</v>
      </c>
      <c r="I100">
        <v>0.01654569398073313</v>
      </c>
      <c r="J100">
        <v>0.03</v>
      </c>
      <c r="K100">
        <v>0.07239203850709286</v>
      </c>
      <c r="L100" t="s">
        <v>872</v>
      </c>
      <c r="M100" t="s">
        <v>873</v>
      </c>
      <c r="N100">
        <v>7.339837398373984</v>
      </c>
      <c r="O100">
        <v>6.15</v>
      </c>
      <c r="P100">
        <v>1.32</v>
      </c>
      <c r="Q100">
        <v>0.2146341463414634</v>
      </c>
      <c r="R100">
        <v>14</v>
      </c>
      <c r="S100">
        <v>0.02996744995959233</v>
      </c>
      <c r="T100" t="s">
        <v>918</v>
      </c>
      <c r="U100">
        <v>0.8078996483527041</v>
      </c>
      <c r="V100" t="s">
        <v>978</v>
      </c>
      <c r="W100" t="s">
        <v>986</v>
      </c>
      <c r="X100">
        <v>8980.191504</v>
      </c>
      <c r="Y100" s="2">
        <v>44802</v>
      </c>
      <c r="Z100" t="s">
        <v>996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870</v>
      </c>
      <c r="D101">
        <v>59</v>
      </c>
      <c r="E101">
        <v>55.77</v>
      </c>
      <c r="F101">
        <v>54</v>
      </c>
      <c r="G101">
        <v>1.032777777777778</v>
      </c>
      <c r="H101">
        <v>0.00824816209431594</v>
      </c>
      <c r="I101">
        <v>-0.006429649539954285</v>
      </c>
      <c r="J101">
        <v>0.07000000000000001</v>
      </c>
      <c r="K101">
        <v>0.07143036631427724</v>
      </c>
      <c r="L101" t="s">
        <v>872</v>
      </c>
      <c r="M101" t="s">
        <v>568</v>
      </c>
      <c r="N101">
        <v>24.78666666666667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922</v>
      </c>
      <c r="U101">
        <v>-0.08745060501190301</v>
      </c>
      <c r="V101" t="s">
        <v>978</v>
      </c>
      <c r="W101" t="s">
        <v>986</v>
      </c>
      <c r="X101">
        <v>15795.311408</v>
      </c>
      <c r="Y101" s="2">
        <v>44866</v>
      </c>
      <c r="Z101" t="s">
        <v>1001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870</v>
      </c>
      <c r="D102">
        <v>52.7</v>
      </c>
      <c r="E102">
        <v>46.64</v>
      </c>
      <c r="F102">
        <v>50.6</v>
      </c>
      <c r="G102">
        <v>0.9217391304347826</v>
      </c>
      <c r="H102">
        <v>0.04159519725557461</v>
      </c>
      <c r="I102">
        <v>0.01643215369887963</v>
      </c>
      <c r="J102">
        <v>0.018</v>
      </c>
      <c r="K102">
        <v>0.07083766877004494</v>
      </c>
      <c r="L102" t="s">
        <v>872</v>
      </c>
      <c r="M102" t="s">
        <v>872</v>
      </c>
      <c r="N102">
        <v>18.58167330677291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911</v>
      </c>
      <c r="U102">
        <v>0.05043152375632801</v>
      </c>
      <c r="V102" t="s">
        <v>978</v>
      </c>
      <c r="W102" t="s">
        <v>987</v>
      </c>
      <c r="X102">
        <v>1597.672322</v>
      </c>
      <c r="Y102" s="2">
        <v>44786</v>
      </c>
      <c r="Z102" t="s">
        <v>999</v>
      </c>
    </row>
    <row r="103" spans="1:26">
      <c r="A103" s="1" t="s">
        <v>127</v>
      </c>
      <c r="B103">
        <f>HYPERLINK("https://www.suredividend.com/sure-analysis-DG/","Dollar General Corp.")</f>
        <v>0</v>
      </c>
      <c r="C103" t="s">
        <v>870</v>
      </c>
      <c r="D103">
        <v>243</v>
      </c>
      <c r="E103">
        <v>248.1</v>
      </c>
      <c r="F103">
        <v>208</v>
      </c>
      <c r="G103">
        <v>1.192788461538461</v>
      </c>
      <c r="H103">
        <v>0.00886739218057235</v>
      </c>
      <c r="I103">
        <v>-0.03464441359893267</v>
      </c>
      <c r="J103">
        <v>0.1</v>
      </c>
      <c r="K103">
        <v>0.07082953681336956</v>
      </c>
      <c r="L103" t="s">
        <v>872</v>
      </c>
      <c r="M103" t="s">
        <v>586</v>
      </c>
      <c r="N103">
        <v>21.44338807260155</v>
      </c>
      <c r="O103">
        <v>11.57</v>
      </c>
      <c r="P103">
        <v>2.2</v>
      </c>
      <c r="Q103">
        <v>0.1901469317199654</v>
      </c>
      <c r="R103">
        <v>8</v>
      </c>
      <c r="S103">
        <v>0.08967955831920404</v>
      </c>
      <c r="T103" t="s">
        <v>923</v>
      </c>
      <c r="U103">
        <v>0.106412734315562</v>
      </c>
      <c r="V103" t="s">
        <v>978</v>
      </c>
      <c r="W103" t="s">
        <v>990</v>
      </c>
      <c r="X103">
        <v>55964.345965</v>
      </c>
      <c r="Y103" s="2">
        <v>44805</v>
      </c>
      <c r="Z103" t="s">
        <v>1007</v>
      </c>
    </row>
    <row r="104" spans="1:26">
      <c r="A104" s="1" t="s">
        <v>128</v>
      </c>
      <c r="B104">
        <f>HYPERLINK("https://www.suredividend.com/sure-analysis-CL/","Colgate-Palmolive Co.")</f>
        <v>0</v>
      </c>
      <c r="C104" t="s">
        <v>870</v>
      </c>
      <c r="D104">
        <v>80</v>
      </c>
      <c r="E104">
        <v>73.19</v>
      </c>
      <c r="F104">
        <v>69</v>
      </c>
      <c r="G104">
        <v>1.060724637681159</v>
      </c>
      <c r="H104">
        <v>0.02568656920344309</v>
      </c>
      <c r="I104">
        <v>-0.01172122391306241</v>
      </c>
      <c r="J104">
        <v>0.06</v>
      </c>
      <c r="K104">
        <v>0.06993128799351522</v>
      </c>
      <c r="L104" t="s">
        <v>872</v>
      </c>
      <c r="M104" t="s">
        <v>873</v>
      </c>
      <c r="N104">
        <v>24.39666666666666</v>
      </c>
      <c r="O104">
        <v>3</v>
      </c>
      <c r="P104">
        <v>1.88</v>
      </c>
      <c r="Q104">
        <v>0.6266666666666666</v>
      </c>
      <c r="R104">
        <v>60</v>
      </c>
      <c r="S104">
        <v>0.03005337366563188</v>
      </c>
      <c r="T104" t="s">
        <v>878</v>
      </c>
      <c r="U104">
        <v>-0.030124577112318</v>
      </c>
      <c r="V104" t="s">
        <v>978</v>
      </c>
      <c r="W104" t="s">
        <v>990</v>
      </c>
      <c r="X104">
        <v>61129.32803</v>
      </c>
      <c r="Y104" s="2">
        <v>44781</v>
      </c>
      <c r="Z104" t="s">
        <v>1001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870</v>
      </c>
      <c r="D105">
        <v>98</v>
      </c>
      <c r="E105">
        <v>98.06999999999999</v>
      </c>
      <c r="F105">
        <v>98</v>
      </c>
      <c r="G105">
        <v>1.000714285714286</v>
      </c>
      <c r="H105">
        <v>0.01916998062608341</v>
      </c>
      <c r="I105">
        <v>-0.0001427959504189946</v>
      </c>
      <c r="J105">
        <v>0.05</v>
      </c>
      <c r="K105">
        <v>0.06860287311388213</v>
      </c>
      <c r="L105" t="s">
        <v>872</v>
      </c>
      <c r="M105" t="s">
        <v>873</v>
      </c>
      <c r="N105">
        <v>18.85961538461538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910</v>
      </c>
      <c r="U105">
        <v>-0.227549551195813</v>
      </c>
      <c r="V105" t="s">
        <v>978</v>
      </c>
      <c r="W105" t="s">
        <v>988</v>
      </c>
      <c r="X105">
        <v>170992.28031</v>
      </c>
      <c r="Y105" s="2">
        <v>44854</v>
      </c>
      <c r="Z105" t="s">
        <v>993</v>
      </c>
    </row>
    <row r="106" spans="1:26">
      <c r="A106" s="1" t="s">
        <v>130</v>
      </c>
      <c r="B106">
        <f>HYPERLINK("https://www.suredividend.com/sure-analysis-AMP/","Ameriprise Financial Inc")</f>
        <v>0</v>
      </c>
      <c r="C106" t="s">
        <v>869</v>
      </c>
      <c r="D106">
        <v>297</v>
      </c>
      <c r="E106">
        <v>313.87</v>
      </c>
      <c r="F106">
        <v>276</v>
      </c>
      <c r="G106">
        <v>1.137210144927536</v>
      </c>
      <c r="H106">
        <v>0.01593016216905088</v>
      </c>
      <c r="I106">
        <v>-0.02538777431903361</v>
      </c>
      <c r="J106">
        <v>0.08</v>
      </c>
      <c r="K106">
        <v>0.06853980301982188</v>
      </c>
      <c r="L106" t="s">
        <v>872</v>
      </c>
      <c r="M106" t="s">
        <v>568</v>
      </c>
      <c r="N106">
        <v>13.09974958263773</v>
      </c>
      <c r="O106">
        <v>23.96</v>
      </c>
      <c r="P106">
        <v>5</v>
      </c>
      <c r="Q106">
        <v>0.2086811352253756</v>
      </c>
      <c r="R106">
        <v>18</v>
      </c>
      <c r="S106">
        <v>0.08009875865888949</v>
      </c>
      <c r="T106" t="s">
        <v>919</v>
      </c>
      <c r="U106">
        <v>0.044677112661172</v>
      </c>
      <c r="V106" t="s">
        <v>978</v>
      </c>
      <c r="W106" t="s">
        <v>986</v>
      </c>
      <c r="X106">
        <v>33401.16625</v>
      </c>
      <c r="Y106" s="2">
        <v>44862</v>
      </c>
      <c r="Z106" t="s">
        <v>993</v>
      </c>
    </row>
    <row r="107" spans="1:26">
      <c r="A107" s="1" t="s">
        <v>131</v>
      </c>
      <c r="B107">
        <f>HYPERLINK("https://www.suredividend.com/sure-analysis-FUL/","H.B. Fuller Company")</f>
        <v>0</v>
      </c>
      <c r="C107" t="s">
        <v>870</v>
      </c>
      <c r="D107">
        <v>61</v>
      </c>
      <c r="E107">
        <v>70.11</v>
      </c>
      <c r="F107">
        <v>63</v>
      </c>
      <c r="G107">
        <v>1.112857142857143</v>
      </c>
      <c r="H107">
        <v>0.01084010840108401</v>
      </c>
      <c r="I107">
        <v>-0.02115908016778312</v>
      </c>
      <c r="J107">
        <v>0.08</v>
      </c>
      <c r="K107">
        <v>0.06734092035743888</v>
      </c>
      <c r="L107" t="s">
        <v>872</v>
      </c>
      <c r="M107" t="s">
        <v>568</v>
      </c>
      <c r="N107">
        <v>16.69285714285714</v>
      </c>
      <c r="O107">
        <v>4.2</v>
      </c>
      <c r="P107">
        <v>0.76</v>
      </c>
      <c r="Q107">
        <v>0.1809523809523809</v>
      </c>
      <c r="R107">
        <v>53</v>
      </c>
      <c r="S107">
        <v>0.06061390336787298</v>
      </c>
      <c r="T107" t="s">
        <v>924</v>
      </c>
      <c r="U107">
        <v>-0.036141596862201</v>
      </c>
      <c r="V107" t="s">
        <v>978</v>
      </c>
      <c r="W107" t="s">
        <v>989</v>
      </c>
      <c r="X107">
        <v>3737.770434</v>
      </c>
      <c r="Y107" s="2">
        <v>44826</v>
      </c>
      <c r="Z107" t="s">
        <v>996</v>
      </c>
    </row>
    <row r="108" spans="1:26">
      <c r="A108" s="1" t="s">
        <v>132</v>
      </c>
      <c r="B108">
        <f>HYPERLINK("https://www.suredividend.com/sure-analysis-OZK/","Bank OZK")</f>
        <v>0</v>
      </c>
      <c r="C108" t="s">
        <v>870</v>
      </c>
      <c r="D108">
        <v>42</v>
      </c>
      <c r="E108">
        <v>44.2</v>
      </c>
      <c r="F108">
        <v>46</v>
      </c>
      <c r="G108">
        <v>0.9608695652173914</v>
      </c>
      <c r="H108">
        <v>0.02986425339366516</v>
      </c>
      <c r="I108">
        <v>0.008015273162274905</v>
      </c>
      <c r="J108">
        <v>0.03</v>
      </c>
      <c r="K108">
        <v>0.06645249173949663</v>
      </c>
      <c r="L108" t="s">
        <v>872</v>
      </c>
      <c r="M108" t="s">
        <v>872</v>
      </c>
      <c r="N108">
        <v>10.52380952380952</v>
      </c>
      <c r="O108">
        <v>4.2</v>
      </c>
      <c r="P108">
        <v>1.32</v>
      </c>
      <c r="Q108">
        <v>0.3142857142857143</v>
      </c>
      <c r="R108">
        <v>26</v>
      </c>
      <c r="S108">
        <v>0.04941452284458392</v>
      </c>
      <c r="T108" t="s">
        <v>910</v>
      </c>
      <c r="U108">
        <v>-0.029420419062007</v>
      </c>
      <c r="V108" t="s">
        <v>978</v>
      </c>
      <c r="W108" t="s">
        <v>986</v>
      </c>
      <c r="X108">
        <v>5373.711223</v>
      </c>
      <c r="Y108" s="2">
        <v>44860</v>
      </c>
      <c r="Z108" t="s">
        <v>996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870</v>
      </c>
      <c r="D109">
        <v>121</v>
      </c>
      <c r="E109">
        <v>119.24</v>
      </c>
      <c r="F109">
        <v>107</v>
      </c>
      <c r="G109">
        <v>1.114392523364486</v>
      </c>
      <c r="H109">
        <v>0.01886950687688695</v>
      </c>
      <c r="I109">
        <v>-0.02142895315787308</v>
      </c>
      <c r="J109">
        <v>0.07000000000000001</v>
      </c>
      <c r="K109">
        <v>0.06572980060142819</v>
      </c>
      <c r="L109" t="s">
        <v>872</v>
      </c>
      <c r="M109" t="s">
        <v>568</v>
      </c>
      <c r="N109">
        <v>20.07407407407407</v>
      </c>
      <c r="O109">
        <v>5.94</v>
      </c>
      <c r="P109">
        <v>2.25</v>
      </c>
      <c r="Q109">
        <v>0.3787878787878788</v>
      </c>
      <c r="R109">
        <v>27</v>
      </c>
      <c r="S109">
        <v>0.0702886326912322</v>
      </c>
      <c r="T109" t="s">
        <v>925</v>
      </c>
      <c r="U109">
        <v>-0.07880027719428001</v>
      </c>
      <c r="V109" t="s">
        <v>978</v>
      </c>
      <c r="W109" t="s">
        <v>984</v>
      </c>
      <c r="X109">
        <v>81042.296864</v>
      </c>
      <c r="Y109" s="2">
        <v>44862</v>
      </c>
      <c r="Z109" t="s">
        <v>993</v>
      </c>
    </row>
    <row r="110" spans="1:26">
      <c r="A110" s="1" t="s">
        <v>134</v>
      </c>
      <c r="B110">
        <f>HYPERLINK("https://www.suredividend.com/sure-analysis-WMT/","Walmart Inc")</f>
        <v>0</v>
      </c>
      <c r="C110" t="s">
        <v>870</v>
      </c>
      <c r="D110">
        <v>132</v>
      </c>
      <c r="E110">
        <v>140.97</v>
      </c>
      <c r="F110">
        <v>123</v>
      </c>
      <c r="G110">
        <v>1.14609756097561</v>
      </c>
      <c r="H110">
        <v>0.01588990565368518</v>
      </c>
      <c r="I110">
        <v>-0.02690401123438191</v>
      </c>
      <c r="J110">
        <v>0.08</v>
      </c>
      <c r="K110">
        <v>0.06441181826640019</v>
      </c>
      <c r="L110" t="s">
        <v>872</v>
      </c>
      <c r="M110" t="s">
        <v>873</v>
      </c>
      <c r="N110">
        <v>24.0974358974359</v>
      </c>
      <c r="O110">
        <v>5.85</v>
      </c>
      <c r="P110">
        <v>2.24</v>
      </c>
      <c r="Q110">
        <v>0.382905982905983</v>
      </c>
      <c r="R110">
        <v>49</v>
      </c>
      <c r="S110">
        <v>0.01974077919609152</v>
      </c>
      <c r="T110" t="s">
        <v>913</v>
      </c>
      <c r="U110">
        <v>-0.053261670361522</v>
      </c>
      <c r="V110" t="s">
        <v>978</v>
      </c>
      <c r="W110" t="s">
        <v>990</v>
      </c>
      <c r="X110">
        <v>382626.121979</v>
      </c>
      <c r="Y110" s="2">
        <v>44800</v>
      </c>
      <c r="Z110" t="s">
        <v>1001</v>
      </c>
    </row>
    <row r="111" spans="1:26">
      <c r="A111" s="1" t="s">
        <v>135</v>
      </c>
      <c r="B111">
        <f>HYPERLINK("https://www.suredividend.com/sure-analysis-LNN/","Lindsay Corporation")</f>
        <v>0</v>
      </c>
      <c r="C111" t="s">
        <v>870</v>
      </c>
      <c r="D111">
        <v>162</v>
      </c>
      <c r="E111">
        <v>163.19</v>
      </c>
      <c r="F111">
        <v>165</v>
      </c>
      <c r="G111">
        <v>0.989030303030303</v>
      </c>
      <c r="H111">
        <v>0.00833384398553833</v>
      </c>
      <c r="I111">
        <v>0.00220849669569545</v>
      </c>
      <c r="J111">
        <v>0.05</v>
      </c>
      <c r="K111">
        <v>0.0593468470009515</v>
      </c>
      <c r="L111" t="s">
        <v>872</v>
      </c>
      <c r="M111" t="s">
        <v>568</v>
      </c>
      <c r="N111">
        <v>24.72575757575758</v>
      </c>
      <c r="O111">
        <v>6.6</v>
      </c>
      <c r="P111">
        <v>1.36</v>
      </c>
      <c r="Q111">
        <v>0.2060606060606061</v>
      </c>
      <c r="R111">
        <v>20</v>
      </c>
      <c r="S111">
        <v>0.01567715741293152</v>
      </c>
      <c r="T111" t="s">
        <v>900</v>
      </c>
      <c r="U111">
        <v>0.07083214399375301</v>
      </c>
      <c r="V111" t="s">
        <v>978</v>
      </c>
      <c r="W111" t="s">
        <v>984</v>
      </c>
      <c r="X111">
        <v>1791.865039</v>
      </c>
      <c r="Y111" s="2">
        <v>44862</v>
      </c>
      <c r="Z111" t="s">
        <v>995</v>
      </c>
    </row>
    <row r="112" spans="1:26">
      <c r="A112" s="1" t="s">
        <v>136</v>
      </c>
      <c r="B112">
        <f>HYPERLINK("https://www.suredividend.com/sure-analysis-ELV/","Elevance Health Inc")</f>
        <v>0</v>
      </c>
      <c r="C112" t="s">
        <v>870</v>
      </c>
      <c r="D112">
        <v>483</v>
      </c>
      <c r="E112">
        <v>526.66</v>
      </c>
      <c r="F112">
        <v>434</v>
      </c>
      <c r="G112">
        <v>1.213502304147465</v>
      </c>
      <c r="H112">
        <v>0.009721642046101851</v>
      </c>
      <c r="I112">
        <v>-0.03796277052654895</v>
      </c>
      <c r="J112">
        <v>0.09</v>
      </c>
      <c r="K112">
        <v>0.05890838843364676</v>
      </c>
      <c r="L112" t="s">
        <v>872</v>
      </c>
      <c r="M112" t="s">
        <v>568</v>
      </c>
      <c r="N112">
        <v>18.19205526770294</v>
      </c>
      <c r="O112">
        <v>28.95</v>
      </c>
      <c r="P112">
        <v>5.12</v>
      </c>
      <c r="Q112">
        <v>0.1768566493955095</v>
      </c>
      <c r="R112">
        <v>12</v>
      </c>
      <c r="S112">
        <v>0.09006212819819304</v>
      </c>
      <c r="T112" t="s">
        <v>901</v>
      </c>
      <c r="U112">
        <v>0.256442530386413</v>
      </c>
      <c r="V112" t="s">
        <v>978</v>
      </c>
      <c r="W112" t="s">
        <v>988</v>
      </c>
      <c r="X112">
        <v>126398.765502</v>
      </c>
      <c r="Y112" s="2">
        <v>44854</v>
      </c>
      <c r="Z112" t="s">
        <v>993</v>
      </c>
    </row>
    <row r="113" spans="1:26">
      <c r="A113" s="1" t="s">
        <v>137</v>
      </c>
      <c r="B113">
        <f>HYPERLINK("https://www.suredividend.com/sure-analysis-ITW/","Illinois Tool Works, Inc.")</f>
        <v>0</v>
      </c>
      <c r="C113" t="s">
        <v>870</v>
      </c>
      <c r="D113">
        <v>214</v>
      </c>
      <c r="E113">
        <v>215.15</v>
      </c>
      <c r="F113">
        <v>184</v>
      </c>
      <c r="G113">
        <v>1.169293478260869</v>
      </c>
      <c r="H113">
        <v>0.0226818498721822</v>
      </c>
      <c r="I113">
        <v>-0.03079578425709262</v>
      </c>
      <c r="J113">
        <v>0.07000000000000001</v>
      </c>
      <c r="K113">
        <v>0.05855645577025026</v>
      </c>
      <c r="L113" t="s">
        <v>872</v>
      </c>
      <c r="M113" t="s">
        <v>873</v>
      </c>
      <c r="N113">
        <v>22.76719576719577</v>
      </c>
      <c r="O113">
        <v>9.449999999999999</v>
      </c>
      <c r="P113">
        <v>4.88</v>
      </c>
      <c r="Q113">
        <v>0.5164021164021164</v>
      </c>
      <c r="R113">
        <v>58</v>
      </c>
      <c r="S113">
        <v>0.04495298630467759</v>
      </c>
      <c r="T113" t="s">
        <v>886</v>
      </c>
      <c r="U113">
        <v>-0.05243431671992001</v>
      </c>
      <c r="V113" t="s">
        <v>978</v>
      </c>
      <c r="W113" t="s">
        <v>984</v>
      </c>
      <c r="X113">
        <v>66091.14944199999</v>
      </c>
      <c r="Y113" s="2">
        <v>44867</v>
      </c>
      <c r="Z113" t="s">
        <v>998</v>
      </c>
    </row>
    <row r="114" spans="1:26">
      <c r="A114" s="1" t="s">
        <v>138</v>
      </c>
      <c r="B114">
        <f>HYPERLINK("https://www.suredividend.com/sure-analysis-AXS/","Axis Capital Holdings Ltd")</f>
        <v>0</v>
      </c>
      <c r="C114" t="s">
        <v>870</v>
      </c>
      <c r="D114">
        <v>55</v>
      </c>
      <c r="E114">
        <v>54.8</v>
      </c>
      <c r="F114">
        <v>43</v>
      </c>
      <c r="G114">
        <v>1.274418604651163</v>
      </c>
      <c r="H114">
        <v>0.03138686131386861</v>
      </c>
      <c r="I114">
        <v>-0.04734077028868122</v>
      </c>
      <c r="J114">
        <v>0.08</v>
      </c>
      <c r="K114">
        <v>0.05779554773716544</v>
      </c>
      <c r="L114" t="s">
        <v>872</v>
      </c>
      <c r="M114" t="s">
        <v>873</v>
      </c>
      <c r="N114">
        <v>9.945553539019963</v>
      </c>
      <c r="O114">
        <v>5.51</v>
      </c>
      <c r="P114">
        <v>1.72</v>
      </c>
      <c r="Q114">
        <v>0.3121597096188748</v>
      </c>
      <c r="R114">
        <v>19</v>
      </c>
      <c r="S114">
        <v>0.02959144640951838</v>
      </c>
      <c r="T114" t="s">
        <v>891</v>
      </c>
      <c r="U114">
        <v>0.090723081730587</v>
      </c>
      <c r="V114" t="s">
        <v>978</v>
      </c>
      <c r="W114" t="s">
        <v>986</v>
      </c>
      <c r="X114">
        <v>4639.745901</v>
      </c>
      <c r="Y114" s="2">
        <v>44866</v>
      </c>
      <c r="Z114" t="s">
        <v>1001</v>
      </c>
    </row>
    <row r="115" spans="1:26">
      <c r="A115" s="1" t="s">
        <v>139</v>
      </c>
      <c r="B115">
        <f>HYPERLINK("https://www.suredividend.com/sure-analysis-HRL/","Hormel Foods Corp.")</f>
        <v>0</v>
      </c>
      <c r="C115" t="s">
        <v>870</v>
      </c>
      <c r="D115">
        <v>47</v>
      </c>
      <c r="E115">
        <v>46.06</v>
      </c>
      <c r="F115">
        <v>41</v>
      </c>
      <c r="G115">
        <v>1.123414634146342</v>
      </c>
      <c r="H115">
        <v>0.02257924446374295</v>
      </c>
      <c r="I115">
        <v>-0.02300580199330338</v>
      </c>
      <c r="J115">
        <v>0.06</v>
      </c>
      <c r="K115">
        <v>0.05747752747705892</v>
      </c>
      <c r="L115" t="s">
        <v>872</v>
      </c>
      <c r="M115" t="s">
        <v>873</v>
      </c>
      <c r="N115">
        <v>24.8972972972973</v>
      </c>
      <c r="O115">
        <v>1.85</v>
      </c>
      <c r="P115">
        <v>1.04</v>
      </c>
      <c r="Q115">
        <v>0.5621621621621622</v>
      </c>
      <c r="R115">
        <v>56</v>
      </c>
      <c r="S115">
        <v>0.05042164036374652</v>
      </c>
      <c r="T115" t="s">
        <v>914</v>
      </c>
      <c r="U115">
        <v>0.090624089864015</v>
      </c>
      <c r="V115" t="s">
        <v>978</v>
      </c>
      <c r="W115" t="s">
        <v>990</v>
      </c>
      <c r="X115">
        <v>25157.86164</v>
      </c>
      <c r="Y115" s="2">
        <v>44811</v>
      </c>
      <c r="Z115" t="s">
        <v>1001</v>
      </c>
    </row>
    <row r="116" spans="1:26">
      <c r="A116" s="1" t="s">
        <v>140</v>
      </c>
      <c r="B116">
        <f>HYPERLINK("https://www.suredividend.com/sure-analysis-ABBV/","Abbvie Inc")</f>
        <v>0</v>
      </c>
      <c r="C116" t="s">
        <v>870</v>
      </c>
      <c r="D116">
        <v>147</v>
      </c>
      <c r="E116">
        <v>145.28</v>
      </c>
      <c r="F116">
        <v>139</v>
      </c>
      <c r="G116">
        <v>1.045179856115108</v>
      </c>
      <c r="H116">
        <v>0.04074889867841409</v>
      </c>
      <c r="I116">
        <v>-0.008798857817036043</v>
      </c>
      <c r="J116">
        <v>0.025</v>
      </c>
      <c r="K116">
        <v>0.05693794741343039</v>
      </c>
      <c r="L116" t="s">
        <v>872</v>
      </c>
      <c r="M116" t="s">
        <v>872</v>
      </c>
      <c r="N116">
        <v>10.48196248196248</v>
      </c>
      <c r="O116">
        <v>13.86</v>
      </c>
      <c r="P116">
        <v>5.92</v>
      </c>
      <c r="Q116">
        <v>0.4271284271284271</v>
      </c>
      <c r="R116">
        <v>51</v>
      </c>
      <c r="S116">
        <v>0.0501226304546607</v>
      </c>
      <c r="T116" t="s">
        <v>910</v>
      </c>
      <c r="U116">
        <v>0.289425873544314</v>
      </c>
      <c r="V116" t="s">
        <v>978</v>
      </c>
      <c r="W116" t="s">
        <v>988</v>
      </c>
      <c r="X116">
        <v>256869.058794</v>
      </c>
      <c r="Y116" s="2">
        <v>44864</v>
      </c>
      <c r="Z116" t="s">
        <v>994</v>
      </c>
    </row>
    <row r="117" spans="1:26">
      <c r="A117" s="1" t="s">
        <v>141</v>
      </c>
      <c r="B117">
        <f>HYPERLINK("https://www.suredividend.com/sure-analysis-AIT/","Applied Industrial Technologies Inc.")</f>
        <v>0</v>
      </c>
      <c r="C117" t="s">
        <v>870</v>
      </c>
      <c r="D117">
        <v>110</v>
      </c>
      <c r="E117">
        <v>125.72</v>
      </c>
      <c r="F117">
        <v>130</v>
      </c>
      <c r="G117">
        <v>0.9670769230769231</v>
      </c>
      <c r="H117">
        <v>0.01081769010499523</v>
      </c>
      <c r="I117">
        <v>0.006717912324136988</v>
      </c>
      <c r="J117">
        <v>0.04</v>
      </c>
      <c r="K117">
        <v>0.05666499912834144</v>
      </c>
      <c r="L117" t="s">
        <v>872</v>
      </c>
      <c r="M117" t="s">
        <v>568</v>
      </c>
      <c r="N117">
        <v>17.96</v>
      </c>
      <c r="O117">
        <v>7</v>
      </c>
      <c r="P117">
        <v>1.36</v>
      </c>
      <c r="Q117">
        <v>0.1942857142857143</v>
      </c>
      <c r="R117">
        <v>14</v>
      </c>
      <c r="S117">
        <v>0.03044219892825617</v>
      </c>
      <c r="T117" t="s">
        <v>905</v>
      </c>
      <c r="U117">
        <v>0.290546429183677</v>
      </c>
      <c r="V117" t="s">
        <v>978</v>
      </c>
      <c r="W117" t="s">
        <v>984</v>
      </c>
      <c r="X117">
        <v>4849.267063</v>
      </c>
      <c r="Y117" s="2">
        <v>44796</v>
      </c>
      <c r="Z117" t="s">
        <v>995</v>
      </c>
    </row>
    <row r="118" spans="1:26">
      <c r="A118" s="1" t="s">
        <v>142</v>
      </c>
      <c r="B118">
        <f>HYPERLINK("https://www.suredividend.com/sure-analysis-CINF/","Cincinnati Financial Corp.")</f>
        <v>0</v>
      </c>
      <c r="C118" t="s">
        <v>870</v>
      </c>
      <c r="D118">
        <v>99</v>
      </c>
      <c r="E118">
        <v>99.79000000000001</v>
      </c>
      <c r="F118">
        <v>86</v>
      </c>
      <c r="G118">
        <v>1.160348837209302</v>
      </c>
      <c r="H118">
        <v>0.02765808197214149</v>
      </c>
      <c r="I118">
        <v>-0.02930613292591977</v>
      </c>
      <c r="J118">
        <v>0.06</v>
      </c>
      <c r="K118">
        <v>0.05608493947166893</v>
      </c>
      <c r="L118" t="s">
        <v>872</v>
      </c>
      <c r="M118" t="s">
        <v>872</v>
      </c>
      <c r="N118">
        <v>23.20697674418605</v>
      </c>
      <c r="O118">
        <v>4.3</v>
      </c>
      <c r="P118">
        <v>2.76</v>
      </c>
      <c r="Q118">
        <v>0.641860465116279</v>
      </c>
      <c r="R118">
        <v>62</v>
      </c>
      <c r="S118">
        <v>0.04984870359842875</v>
      </c>
      <c r="T118" t="s">
        <v>887</v>
      </c>
      <c r="U118">
        <v>-0.177258396432999</v>
      </c>
      <c r="V118" t="s">
        <v>978</v>
      </c>
      <c r="W118" t="s">
        <v>986</v>
      </c>
      <c r="X118">
        <v>15685.422095</v>
      </c>
      <c r="Y118" s="2">
        <v>44867</v>
      </c>
      <c r="Z118" t="s">
        <v>997</v>
      </c>
    </row>
    <row r="119" spans="1:26">
      <c r="A119" s="1" t="s">
        <v>143</v>
      </c>
      <c r="B119">
        <f>HYPERLINK("https://www.suredividend.com/sure-analysis-NFG/","National Fuel Gas Co.")</f>
        <v>0</v>
      </c>
      <c r="C119" t="s">
        <v>870</v>
      </c>
      <c r="D119">
        <v>72</v>
      </c>
      <c r="E119">
        <v>63.35</v>
      </c>
      <c r="F119">
        <v>85</v>
      </c>
      <c r="G119">
        <v>0.7452941176470589</v>
      </c>
      <c r="H119">
        <v>0.02999210734017364</v>
      </c>
      <c r="I119">
        <v>0.06055809039575055</v>
      </c>
      <c r="J119">
        <v>-0.03</v>
      </c>
      <c r="K119">
        <v>0.05573412585825643</v>
      </c>
      <c r="L119" t="s">
        <v>872</v>
      </c>
      <c r="M119" t="s">
        <v>872</v>
      </c>
      <c r="N119">
        <v>10.38524590163935</v>
      </c>
      <c r="O119">
        <v>6.1</v>
      </c>
      <c r="P119">
        <v>1.9</v>
      </c>
      <c r="Q119">
        <v>0.3114754098360656</v>
      </c>
      <c r="R119">
        <v>52</v>
      </c>
      <c r="S119">
        <v>0.02021836907521157</v>
      </c>
      <c r="T119" t="s">
        <v>886</v>
      </c>
      <c r="U119">
        <v>0.128563615536588</v>
      </c>
      <c r="V119" t="s">
        <v>978</v>
      </c>
      <c r="W119" t="s">
        <v>987</v>
      </c>
      <c r="X119">
        <v>5794.995794</v>
      </c>
      <c r="Y119" s="2">
        <v>44797</v>
      </c>
      <c r="Z119" t="s">
        <v>996</v>
      </c>
    </row>
    <row r="120" spans="1:26">
      <c r="A120" s="1" t="s">
        <v>144</v>
      </c>
      <c r="B120">
        <f>HYPERLINK("https://www.suredividend.com/sure-analysis-MSA/","MSA Safety Inc")</f>
        <v>0</v>
      </c>
      <c r="C120" t="s">
        <v>870</v>
      </c>
      <c r="D120">
        <v>131</v>
      </c>
      <c r="E120">
        <v>131.71</v>
      </c>
      <c r="F120">
        <v>121</v>
      </c>
      <c r="G120">
        <v>1.088512396694215</v>
      </c>
      <c r="H120">
        <v>0.01397008579454863</v>
      </c>
      <c r="I120">
        <v>-0.01681934658266293</v>
      </c>
      <c r="J120">
        <v>0.06</v>
      </c>
      <c r="K120">
        <v>0.05518886911747201</v>
      </c>
      <c r="L120" t="s">
        <v>872</v>
      </c>
      <c r="M120" t="s">
        <v>873</v>
      </c>
      <c r="N120">
        <v>23.94727272727273</v>
      </c>
      <c r="O120">
        <v>5.5</v>
      </c>
      <c r="P120">
        <v>1.84</v>
      </c>
      <c r="Q120">
        <v>0.3345454545454545</v>
      </c>
      <c r="R120">
        <v>52</v>
      </c>
      <c r="S120">
        <v>0.04012620718096094</v>
      </c>
      <c r="T120" t="s">
        <v>888</v>
      </c>
      <c r="U120">
        <v>-0.135048307529039</v>
      </c>
      <c r="V120" t="s">
        <v>978</v>
      </c>
      <c r="W120" t="s">
        <v>984</v>
      </c>
      <c r="X120">
        <v>5162.814679</v>
      </c>
      <c r="Y120" s="2">
        <v>44862</v>
      </c>
      <c r="Z120" t="s">
        <v>1000</v>
      </c>
    </row>
    <row r="121" spans="1:26">
      <c r="A121" s="1" t="s">
        <v>145</v>
      </c>
      <c r="B121">
        <f>HYPERLINK("https://www.suredividend.com/sure-analysis-BANF/","Bancfirst Corp.")</f>
        <v>0</v>
      </c>
      <c r="C121" t="s">
        <v>870</v>
      </c>
      <c r="D121">
        <v>96</v>
      </c>
      <c r="E121">
        <v>95.95999999999999</v>
      </c>
      <c r="F121">
        <v>87</v>
      </c>
      <c r="G121">
        <v>1.102988505747126</v>
      </c>
      <c r="H121">
        <v>0.01583993330554398</v>
      </c>
      <c r="I121">
        <v>-0.01941374212857727</v>
      </c>
      <c r="J121">
        <v>0.06</v>
      </c>
      <c r="K121">
        <v>0.05513591338416224</v>
      </c>
      <c r="L121" t="s">
        <v>872</v>
      </c>
      <c r="M121" t="s">
        <v>873</v>
      </c>
      <c r="N121">
        <v>16.573402417962</v>
      </c>
      <c r="O121">
        <v>5.79</v>
      </c>
      <c r="P121">
        <v>1.52</v>
      </c>
      <c r="Q121">
        <v>0.2625215889464594</v>
      </c>
      <c r="R121">
        <v>29</v>
      </c>
      <c r="S121">
        <v>0.0595720409403111</v>
      </c>
      <c r="T121" t="s">
        <v>886</v>
      </c>
      <c r="U121">
        <v>0.464217758904552</v>
      </c>
      <c r="V121" t="s">
        <v>978</v>
      </c>
      <c r="W121" t="s">
        <v>986</v>
      </c>
      <c r="X121">
        <v>3140.932493</v>
      </c>
      <c r="Y121" s="2">
        <v>44867</v>
      </c>
      <c r="Z121" t="s">
        <v>997</v>
      </c>
    </row>
    <row r="122" spans="1:26">
      <c r="A122" s="1" t="s">
        <v>146</v>
      </c>
      <c r="B122">
        <f>HYPERLINK("https://www.suredividend.com/sure-analysis-PSX/","Phillips 66")</f>
        <v>0</v>
      </c>
      <c r="C122" t="s">
        <v>870</v>
      </c>
      <c r="D122">
        <v>107</v>
      </c>
      <c r="E122">
        <v>103.48</v>
      </c>
      <c r="F122">
        <v>204</v>
      </c>
      <c r="G122">
        <v>0.5072549019607844</v>
      </c>
      <c r="H122">
        <v>0.03749516814843448</v>
      </c>
      <c r="I122">
        <v>0.1453935930256185</v>
      </c>
      <c r="J122">
        <v>-0.11</v>
      </c>
      <c r="K122">
        <v>0.05420031221173249</v>
      </c>
      <c r="L122" t="s">
        <v>872</v>
      </c>
      <c r="M122" t="s">
        <v>872</v>
      </c>
      <c r="N122">
        <v>6.087058823529412</v>
      </c>
      <c r="O122">
        <v>17</v>
      </c>
      <c r="P122">
        <v>3.88</v>
      </c>
      <c r="Q122">
        <v>0.2282352941176471</v>
      </c>
      <c r="R122">
        <v>10</v>
      </c>
      <c r="S122">
        <v>0.02360159215131685</v>
      </c>
      <c r="T122" t="s">
        <v>876</v>
      </c>
      <c r="U122">
        <v>0.405829273528077</v>
      </c>
      <c r="V122" t="s">
        <v>978</v>
      </c>
      <c r="W122" t="s">
        <v>991</v>
      </c>
      <c r="X122">
        <v>49779.167518</v>
      </c>
      <c r="Y122" s="2">
        <v>44867</v>
      </c>
      <c r="Z122" t="s">
        <v>996</v>
      </c>
    </row>
    <row r="123" spans="1:26">
      <c r="A123" s="1" t="s">
        <v>147</v>
      </c>
      <c r="B123">
        <f>HYPERLINK("https://www.suredividend.com/sure-analysis-GWW/","W.W. Grainger Inc.")</f>
        <v>0</v>
      </c>
      <c r="C123" t="s">
        <v>870</v>
      </c>
      <c r="D123">
        <v>529</v>
      </c>
      <c r="E123">
        <v>593.64</v>
      </c>
      <c r="F123">
        <v>529</v>
      </c>
      <c r="G123">
        <v>1.122192816635161</v>
      </c>
      <c r="H123">
        <v>0.01158951553129843</v>
      </c>
      <c r="I123">
        <v>-0.02279314886129036</v>
      </c>
      <c r="J123">
        <v>0.065</v>
      </c>
      <c r="K123">
        <v>0.05228239304467963</v>
      </c>
      <c r="L123" t="s">
        <v>872</v>
      </c>
      <c r="M123" t="s">
        <v>873</v>
      </c>
      <c r="N123">
        <v>20.19183673469388</v>
      </c>
      <c r="O123">
        <v>29.4</v>
      </c>
      <c r="P123">
        <v>6.88</v>
      </c>
      <c r="Q123">
        <v>0.2340136054421769</v>
      </c>
      <c r="R123">
        <v>51</v>
      </c>
      <c r="S123">
        <v>0.06029935340278625</v>
      </c>
      <c r="T123" t="s">
        <v>904</v>
      </c>
      <c r="U123">
        <v>0.254061005872522</v>
      </c>
      <c r="V123" t="s">
        <v>978</v>
      </c>
      <c r="W123" t="s">
        <v>984</v>
      </c>
      <c r="X123">
        <v>29996.191687</v>
      </c>
      <c r="Y123" s="2">
        <v>44864</v>
      </c>
      <c r="Z123" t="s">
        <v>1000</v>
      </c>
    </row>
    <row r="124" spans="1:26">
      <c r="A124" s="1" t="s">
        <v>148</v>
      </c>
      <c r="B124">
        <f>HYPERLINK("https://www.suredividend.com/sure-analysis-CAT/","Caterpillar Inc.")</f>
        <v>0</v>
      </c>
      <c r="C124" t="s">
        <v>870</v>
      </c>
      <c r="D124">
        <v>219</v>
      </c>
      <c r="E124">
        <v>227.85</v>
      </c>
      <c r="F124">
        <v>206</v>
      </c>
      <c r="G124">
        <v>1.106067961165049</v>
      </c>
      <c r="H124">
        <v>0.02106649111257406</v>
      </c>
      <c r="I124">
        <v>-0.01996037041595589</v>
      </c>
      <c r="J124">
        <v>0.05</v>
      </c>
      <c r="K124">
        <v>0.05181220801135078</v>
      </c>
      <c r="L124" t="s">
        <v>872</v>
      </c>
      <c r="M124" t="s">
        <v>873</v>
      </c>
      <c r="N124">
        <v>16.63138686131387</v>
      </c>
      <c r="O124">
        <v>13.7</v>
      </c>
      <c r="P124">
        <v>4.8</v>
      </c>
      <c r="Q124">
        <v>0.3503649635036497</v>
      </c>
      <c r="R124">
        <v>29</v>
      </c>
      <c r="S124">
        <v>0.0799150058822331</v>
      </c>
      <c r="T124" t="s">
        <v>926</v>
      </c>
      <c r="U124">
        <v>0.145468749842897</v>
      </c>
      <c r="V124" t="s">
        <v>978</v>
      </c>
      <c r="W124" t="s">
        <v>984</v>
      </c>
      <c r="X124">
        <v>118575.271537</v>
      </c>
      <c r="Y124" s="2">
        <v>44864</v>
      </c>
      <c r="Z124" t="s">
        <v>1000</v>
      </c>
    </row>
    <row r="125" spans="1:26">
      <c r="A125" s="1" t="s">
        <v>149</v>
      </c>
      <c r="B125">
        <f>HYPERLINK("https://www.suredividend.com/sure-analysis-AROW/","Arrow Financial Corp.")</f>
        <v>0</v>
      </c>
      <c r="C125" t="s">
        <v>870</v>
      </c>
      <c r="D125">
        <v>34</v>
      </c>
      <c r="E125">
        <v>34.4</v>
      </c>
      <c r="F125">
        <v>33</v>
      </c>
      <c r="G125">
        <v>1.042424242424242</v>
      </c>
      <c r="H125">
        <v>0.03139534883720931</v>
      </c>
      <c r="I125">
        <v>-0.008275369627177676</v>
      </c>
      <c r="J125">
        <v>0.03</v>
      </c>
      <c r="K125">
        <v>0.0503713487817028</v>
      </c>
      <c r="L125" t="s">
        <v>872</v>
      </c>
      <c r="M125" t="s">
        <v>872</v>
      </c>
      <c r="N125">
        <v>11.46666666666667</v>
      </c>
      <c r="O125">
        <v>3</v>
      </c>
      <c r="P125">
        <v>1.08</v>
      </c>
      <c r="Q125">
        <v>0.36</v>
      </c>
      <c r="R125">
        <v>27</v>
      </c>
      <c r="S125">
        <v>0.01958782572000284</v>
      </c>
      <c r="T125" t="s">
        <v>927</v>
      </c>
      <c r="U125">
        <v>-0.012765175865552</v>
      </c>
      <c r="V125" t="s">
        <v>978</v>
      </c>
      <c r="W125" t="s">
        <v>986</v>
      </c>
      <c r="X125">
        <v>550.993916</v>
      </c>
      <c r="Y125" s="2">
        <v>44772</v>
      </c>
      <c r="Z125" t="s">
        <v>1001</v>
      </c>
    </row>
    <row r="126" spans="1:26">
      <c r="A126" s="1" t="s">
        <v>150</v>
      </c>
      <c r="B126">
        <f>HYPERLINK("https://www.suredividend.com/sure-analysis-CTAS/","Cintas Corporation")</f>
        <v>0</v>
      </c>
      <c r="C126" t="s">
        <v>870</v>
      </c>
      <c r="D126">
        <v>381</v>
      </c>
      <c r="E126">
        <v>410.64</v>
      </c>
      <c r="F126">
        <v>351</v>
      </c>
      <c r="G126">
        <v>1.16991452991453</v>
      </c>
      <c r="H126">
        <v>0.01120202610559127</v>
      </c>
      <c r="I126">
        <v>-0.03089870694412888</v>
      </c>
      <c r="J126">
        <v>0.07000000000000001</v>
      </c>
      <c r="K126">
        <v>0.04963896905674026</v>
      </c>
      <c r="L126" t="s">
        <v>872</v>
      </c>
      <c r="M126" t="s">
        <v>568</v>
      </c>
      <c r="N126">
        <v>32.7203187250996</v>
      </c>
      <c r="O126">
        <v>12.55</v>
      </c>
      <c r="P126">
        <v>4.6</v>
      </c>
      <c r="Q126">
        <v>0.3665338645418326</v>
      </c>
      <c r="R126">
        <v>40</v>
      </c>
      <c r="S126">
        <v>0.1000491131904697</v>
      </c>
      <c r="T126" t="s">
        <v>905</v>
      </c>
      <c r="U126">
        <v>-0.058614454889764</v>
      </c>
      <c r="V126" t="s">
        <v>978</v>
      </c>
      <c r="W126" t="s">
        <v>984</v>
      </c>
      <c r="X126">
        <v>41698.571437</v>
      </c>
      <c r="Y126" s="2">
        <v>44851</v>
      </c>
      <c r="Z126" t="s">
        <v>1001</v>
      </c>
    </row>
    <row r="127" spans="1:26">
      <c r="A127" s="1" t="s">
        <v>151</v>
      </c>
      <c r="B127">
        <f>HYPERLINK("https://www.suredividend.com/sure-analysis-TRV/","Travelers Companies Inc.")</f>
        <v>0</v>
      </c>
      <c r="C127" t="s">
        <v>870</v>
      </c>
      <c r="D127">
        <v>180</v>
      </c>
      <c r="E127">
        <v>183.06</v>
      </c>
      <c r="F127">
        <v>157</v>
      </c>
      <c r="G127">
        <v>1.165987261146497</v>
      </c>
      <c r="H127">
        <v>0.02032120616191413</v>
      </c>
      <c r="I127">
        <v>-0.03024676089344203</v>
      </c>
      <c r="J127">
        <v>0.06</v>
      </c>
      <c r="K127">
        <v>0.04882756094441687</v>
      </c>
      <c r="L127" t="s">
        <v>872</v>
      </c>
      <c r="M127" t="s">
        <v>873</v>
      </c>
      <c r="N127">
        <v>13.97404580152672</v>
      </c>
      <c r="O127">
        <v>13.1</v>
      </c>
      <c r="P127">
        <v>3.72</v>
      </c>
      <c r="Q127">
        <v>0.283969465648855</v>
      </c>
      <c r="R127">
        <v>17</v>
      </c>
      <c r="S127">
        <v>0.06007667938522787</v>
      </c>
      <c r="T127" t="s">
        <v>901</v>
      </c>
      <c r="U127">
        <v>0.195689873082869</v>
      </c>
      <c r="V127" t="s">
        <v>978</v>
      </c>
      <c r="W127" t="s">
        <v>986</v>
      </c>
      <c r="X127">
        <v>42899.657927</v>
      </c>
      <c r="Y127" s="2">
        <v>44859</v>
      </c>
      <c r="Z127" t="s">
        <v>1001</v>
      </c>
    </row>
    <row r="128" spans="1:26">
      <c r="A128" s="1" t="s">
        <v>152</v>
      </c>
      <c r="B128">
        <f>HYPERLINK("https://www.suredividend.com/sure-analysis-BOKF/","BOK Financial Corp.")</f>
        <v>0</v>
      </c>
      <c r="C128" t="s">
        <v>870</v>
      </c>
      <c r="D128">
        <v>102</v>
      </c>
      <c r="E128">
        <v>106.01</v>
      </c>
      <c r="F128">
        <v>91</v>
      </c>
      <c r="G128">
        <v>1.164945054945055</v>
      </c>
      <c r="H128">
        <v>0.01999811338552967</v>
      </c>
      <c r="I128">
        <v>-0.03007330698665656</v>
      </c>
      <c r="J128">
        <v>0.06</v>
      </c>
      <c r="K128">
        <v>0.04754208061431009</v>
      </c>
      <c r="L128" t="s">
        <v>872</v>
      </c>
      <c r="M128" t="s">
        <v>873</v>
      </c>
      <c r="N128">
        <v>15.14428571428572</v>
      </c>
      <c r="O128">
        <v>7</v>
      </c>
      <c r="P128">
        <v>2.12</v>
      </c>
      <c r="Q128">
        <v>0.3028571428571429</v>
      </c>
      <c r="R128">
        <v>17</v>
      </c>
      <c r="S128">
        <v>0.04005610836598383</v>
      </c>
      <c r="T128" t="s">
        <v>888</v>
      </c>
      <c r="U128">
        <v>0.006492211814344001</v>
      </c>
      <c r="V128" t="s">
        <v>978</v>
      </c>
      <c r="W128" t="s">
        <v>986</v>
      </c>
      <c r="X128">
        <v>7129.637142</v>
      </c>
      <c r="Y128" s="2">
        <v>44860</v>
      </c>
      <c r="Z128" t="s">
        <v>1002</v>
      </c>
    </row>
    <row r="129" spans="1:26">
      <c r="A129" s="1" t="s">
        <v>153</v>
      </c>
      <c r="B129">
        <f>HYPERLINK("https://www.suredividend.com/sure-analysis-RPM/","RPM International, Inc.")</f>
        <v>0</v>
      </c>
      <c r="C129" t="s">
        <v>870</v>
      </c>
      <c r="D129">
        <v>89</v>
      </c>
      <c r="E129">
        <v>92.83</v>
      </c>
      <c r="F129">
        <v>83</v>
      </c>
      <c r="G129">
        <v>1.118433734939759</v>
      </c>
      <c r="H129">
        <v>0.01809759775934504</v>
      </c>
      <c r="I129">
        <v>-0.02213714723072513</v>
      </c>
      <c r="J129">
        <v>0.05</v>
      </c>
      <c r="K129">
        <v>0.0449707581912393</v>
      </c>
      <c r="L129" t="s">
        <v>872</v>
      </c>
      <c r="M129" t="s">
        <v>873</v>
      </c>
      <c r="N129">
        <v>20.1804347826087</v>
      </c>
      <c r="O129">
        <v>4.6</v>
      </c>
      <c r="P129">
        <v>1.68</v>
      </c>
      <c r="Q129">
        <v>0.3652173913043478</v>
      </c>
      <c r="R129">
        <v>49</v>
      </c>
      <c r="S129">
        <v>0.04959293402845044</v>
      </c>
      <c r="T129" t="s">
        <v>914</v>
      </c>
      <c r="U129">
        <v>0.058987533538978</v>
      </c>
      <c r="V129" t="s">
        <v>978</v>
      </c>
      <c r="W129" t="s">
        <v>989</v>
      </c>
      <c r="X129">
        <v>11984.253115</v>
      </c>
      <c r="Y129" s="2">
        <v>44858</v>
      </c>
      <c r="Z129" t="s">
        <v>993</v>
      </c>
    </row>
    <row r="130" spans="1:26">
      <c r="A130" s="1" t="s">
        <v>154</v>
      </c>
      <c r="B130">
        <f>HYPERLINK("https://www.suredividend.com/sure-analysis-LANC/","Lancaster Colony Corp.")</f>
        <v>0</v>
      </c>
      <c r="C130" t="s">
        <v>870</v>
      </c>
      <c r="D130">
        <v>173</v>
      </c>
      <c r="E130">
        <v>200.88</v>
      </c>
      <c r="F130">
        <v>157</v>
      </c>
      <c r="G130">
        <v>1.279490445859873</v>
      </c>
      <c r="H130">
        <v>0.01592990840302668</v>
      </c>
      <c r="I130">
        <v>-0.04809723013386369</v>
      </c>
      <c r="J130">
        <v>0.08</v>
      </c>
      <c r="K130">
        <v>0.04455382048041434</v>
      </c>
      <c r="L130" t="s">
        <v>872</v>
      </c>
      <c r="M130" t="s">
        <v>873</v>
      </c>
      <c r="N130">
        <v>37.2</v>
      </c>
      <c r="O130">
        <v>5.4</v>
      </c>
      <c r="P130">
        <v>3.2</v>
      </c>
      <c r="Q130">
        <v>0.5925925925925926</v>
      </c>
      <c r="R130">
        <v>59</v>
      </c>
      <c r="S130">
        <v>0.05988502997905321</v>
      </c>
      <c r="T130" t="s">
        <v>901</v>
      </c>
      <c r="U130">
        <v>0.283700492890377</v>
      </c>
      <c r="V130" t="s">
        <v>978</v>
      </c>
      <c r="W130" t="s">
        <v>990</v>
      </c>
      <c r="X130">
        <v>5534.84664</v>
      </c>
      <c r="Y130" s="2">
        <v>44800</v>
      </c>
      <c r="Z130" t="s">
        <v>1001</v>
      </c>
    </row>
    <row r="131" spans="1:26">
      <c r="A131" s="1" t="s">
        <v>155</v>
      </c>
      <c r="B131">
        <f>HYPERLINK("https://www.suredividend.com/sure-analysis-PG/","Procter &amp; Gamble Co.")</f>
        <v>0</v>
      </c>
      <c r="C131" t="s">
        <v>871</v>
      </c>
      <c r="D131">
        <v>149</v>
      </c>
      <c r="E131">
        <v>134.44</v>
      </c>
      <c r="F131">
        <v>120</v>
      </c>
      <c r="G131">
        <v>1.120333333333333</v>
      </c>
      <c r="H131">
        <v>0.02714965783992859</v>
      </c>
      <c r="I131">
        <v>-0.02246897844004392</v>
      </c>
      <c r="J131">
        <v>0.04</v>
      </c>
      <c r="K131">
        <v>0.04416581054256463</v>
      </c>
      <c r="L131" t="s">
        <v>872</v>
      </c>
      <c r="M131" t="s">
        <v>872</v>
      </c>
      <c r="N131">
        <v>22.40666666666667</v>
      </c>
      <c r="O131">
        <v>6</v>
      </c>
      <c r="P131">
        <v>3.65</v>
      </c>
      <c r="Q131">
        <v>0.6083333333333333</v>
      </c>
      <c r="R131">
        <v>66</v>
      </c>
      <c r="S131">
        <v>0.04506597048373795</v>
      </c>
      <c r="T131" t="s">
        <v>878</v>
      </c>
      <c r="U131">
        <v>-0.051897404071961</v>
      </c>
      <c r="V131" t="s">
        <v>978</v>
      </c>
      <c r="W131" t="s">
        <v>990</v>
      </c>
      <c r="X131">
        <v>320706.548478</v>
      </c>
      <c r="Y131" s="2">
        <v>44796</v>
      </c>
      <c r="Z131" t="s">
        <v>996</v>
      </c>
    </row>
    <row r="132" spans="1:26">
      <c r="A132" s="1" t="s">
        <v>156</v>
      </c>
      <c r="B132">
        <f>HYPERLINK("https://www.suredividend.com/sure-analysis-AAPL/","Apple Inc")</f>
        <v>0</v>
      </c>
      <c r="C132" t="s">
        <v>871</v>
      </c>
      <c r="D132">
        <v>157</v>
      </c>
      <c r="E132">
        <v>138.38</v>
      </c>
      <c r="F132">
        <v>117</v>
      </c>
      <c r="G132">
        <v>1.182735042735043</v>
      </c>
      <c r="H132">
        <v>0.006648359589536061</v>
      </c>
      <c r="I132">
        <v>-0.03300883285264855</v>
      </c>
      <c r="J132">
        <v>0.07000000000000001</v>
      </c>
      <c r="K132">
        <v>0.04318097228023143</v>
      </c>
      <c r="L132" t="s">
        <v>872</v>
      </c>
      <c r="M132" t="s">
        <v>586</v>
      </c>
      <c r="N132">
        <v>21.28923076923077</v>
      </c>
      <c r="O132">
        <v>6.5</v>
      </c>
      <c r="P132">
        <v>0.92</v>
      </c>
      <c r="Q132">
        <v>0.1415384615384616</v>
      </c>
      <c r="R132">
        <v>10</v>
      </c>
      <c r="S132">
        <v>0.1359318694594955</v>
      </c>
      <c r="T132" t="s">
        <v>919</v>
      </c>
      <c r="U132">
        <v>-0.076667676429336</v>
      </c>
      <c r="V132" t="s">
        <v>978</v>
      </c>
      <c r="W132" t="s">
        <v>982</v>
      </c>
      <c r="X132">
        <v>2201365.36884</v>
      </c>
      <c r="Y132" s="2">
        <v>44862</v>
      </c>
      <c r="Z132" t="s">
        <v>1008</v>
      </c>
    </row>
    <row r="133" spans="1:26">
      <c r="A133" s="1" t="s">
        <v>157</v>
      </c>
      <c r="B133">
        <f>HYPERLINK("https://www.suredividend.com/sure-analysis-NDSN/","Nordson Corp.")</f>
        <v>0</v>
      </c>
      <c r="C133" t="s">
        <v>870</v>
      </c>
      <c r="D133">
        <v>224</v>
      </c>
      <c r="E133">
        <v>220.05</v>
      </c>
      <c r="F133">
        <v>204</v>
      </c>
      <c r="G133">
        <v>1.078676470588235</v>
      </c>
      <c r="H133">
        <v>0.01181549647807316</v>
      </c>
      <c r="I133">
        <v>-0.01503282169459419</v>
      </c>
      <c r="J133">
        <v>0.045</v>
      </c>
      <c r="K133">
        <v>0.04229679147551146</v>
      </c>
      <c r="L133" t="s">
        <v>872</v>
      </c>
      <c r="M133" t="s">
        <v>873</v>
      </c>
      <c r="N133">
        <v>23.78918918918919</v>
      </c>
      <c r="O133">
        <v>9.25</v>
      </c>
      <c r="P133">
        <v>2.6</v>
      </c>
      <c r="Q133">
        <v>0.2810810810810811</v>
      </c>
      <c r="R133">
        <v>58</v>
      </c>
      <c r="S133">
        <v>0.07998569482738827</v>
      </c>
      <c r="T133" t="s">
        <v>916</v>
      </c>
      <c r="U133">
        <v>-0.154473681480379</v>
      </c>
      <c r="V133" t="s">
        <v>978</v>
      </c>
      <c r="W133" t="s">
        <v>984</v>
      </c>
      <c r="X133">
        <v>12589.213655</v>
      </c>
      <c r="Y133" s="2">
        <v>44809</v>
      </c>
      <c r="Z133" t="s">
        <v>998</v>
      </c>
    </row>
    <row r="134" spans="1:26">
      <c r="A134" s="1" t="s">
        <v>158</v>
      </c>
      <c r="B134">
        <f>HYPERLINK("https://www.suredividend.com/sure-analysis-UNF/","Unifirst Corp.")</f>
        <v>0</v>
      </c>
      <c r="C134" t="s">
        <v>870</v>
      </c>
      <c r="D134">
        <v>172</v>
      </c>
      <c r="E134">
        <v>179.56</v>
      </c>
      <c r="F134">
        <v>161</v>
      </c>
      <c r="G134">
        <v>1.11527950310559</v>
      </c>
      <c r="H134">
        <v>0.006905769659166852</v>
      </c>
      <c r="I134">
        <v>-0.02158465384851238</v>
      </c>
      <c r="J134">
        <v>0.05</v>
      </c>
      <c r="K134">
        <v>0.03535761490196876</v>
      </c>
      <c r="L134" t="s">
        <v>872</v>
      </c>
      <c r="M134" t="s">
        <v>586</v>
      </c>
      <c r="N134">
        <v>24.5972602739726</v>
      </c>
      <c r="O134">
        <v>7.3</v>
      </c>
      <c r="P134">
        <v>1.24</v>
      </c>
      <c r="Q134">
        <v>0.1698630136986301</v>
      </c>
      <c r="R134">
        <v>5</v>
      </c>
      <c r="S134">
        <v>0.09251428635796377</v>
      </c>
      <c r="T134" t="s">
        <v>897</v>
      </c>
      <c r="U134">
        <v>-0.108378491244918</v>
      </c>
      <c r="V134" t="s">
        <v>978</v>
      </c>
      <c r="W134" t="s">
        <v>984</v>
      </c>
      <c r="X134">
        <v>2707.342295</v>
      </c>
      <c r="Y134" s="2">
        <v>44854</v>
      </c>
      <c r="Z134" t="s">
        <v>998</v>
      </c>
    </row>
    <row r="135" spans="1:26">
      <c r="A135" s="1" t="s">
        <v>159</v>
      </c>
      <c r="B135">
        <f>HYPERLINK("https://www.suredividend.com/sure-analysis-SJW/","SJW Group")</f>
        <v>0</v>
      </c>
      <c r="C135" t="s">
        <v>870</v>
      </c>
      <c r="D135">
        <v>70</v>
      </c>
      <c r="E135">
        <v>70.37</v>
      </c>
      <c r="F135">
        <v>52</v>
      </c>
      <c r="G135">
        <v>1.353269230769231</v>
      </c>
      <c r="H135">
        <v>0.02046326559613472</v>
      </c>
      <c r="I135">
        <v>-0.05871062067546562</v>
      </c>
      <c r="J135">
        <v>0.076</v>
      </c>
      <c r="K135">
        <v>0.03508862625533249</v>
      </c>
      <c r="L135" t="s">
        <v>872</v>
      </c>
      <c r="M135" t="s">
        <v>873</v>
      </c>
      <c r="N135">
        <v>29.94468085106383</v>
      </c>
      <c r="O135">
        <v>2.35</v>
      </c>
      <c r="P135">
        <v>1.44</v>
      </c>
      <c r="Q135">
        <v>0.6127659574468085</v>
      </c>
      <c r="R135">
        <v>54</v>
      </c>
      <c r="S135">
        <v>0.06032490771095733</v>
      </c>
      <c r="T135" t="s">
        <v>919</v>
      </c>
      <c r="U135">
        <v>0.02573296834323</v>
      </c>
      <c r="V135" t="s">
        <v>978</v>
      </c>
      <c r="W135" t="s">
        <v>987</v>
      </c>
      <c r="X135">
        <v>2133.570337</v>
      </c>
      <c r="Y135" s="2">
        <v>44866</v>
      </c>
      <c r="Z135" t="s">
        <v>993</v>
      </c>
    </row>
    <row r="136" spans="1:26">
      <c r="A136" s="1" t="s">
        <v>160</v>
      </c>
      <c r="B136">
        <f>HYPERLINK("https://www.suredividend.com/sure-analysis-GPC/","Genuine Parts Co.")</f>
        <v>0</v>
      </c>
      <c r="C136" t="s">
        <v>870</v>
      </c>
      <c r="D136">
        <v>151</v>
      </c>
      <c r="E136">
        <v>178.2</v>
      </c>
      <c r="F136">
        <v>135</v>
      </c>
      <c r="G136">
        <v>1.32</v>
      </c>
      <c r="H136">
        <v>0.02008978675645343</v>
      </c>
      <c r="I136">
        <v>-0.05401290088240229</v>
      </c>
      <c r="J136">
        <v>0.07000000000000001</v>
      </c>
      <c r="K136">
        <v>0.03473035014733084</v>
      </c>
      <c r="L136" t="s">
        <v>872</v>
      </c>
      <c r="M136" t="s">
        <v>873</v>
      </c>
      <c r="N136">
        <v>22.41509433962264</v>
      </c>
      <c r="O136">
        <v>7.95</v>
      </c>
      <c r="P136">
        <v>3.58</v>
      </c>
      <c r="Q136">
        <v>0.450314465408805</v>
      </c>
      <c r="R136">
        <v>66</v>
      </c>
      <c r="S136">
        <v>0.06995161375136361</v>
      </c>
      <c r="T136" t="s">
        <v>889</v>
      </c>
      <c r="U136">
        <v>0.367568069511136</v>
      </c>
      <c r="V136" t="s">
        <v>978</v>
      </c>
      <c r="W136" t="s">
        <v>983</v>
      </c>
      <c r="X136">
        <v>25154.952392</v>
      </c>
      <c r="Y136" s="2">
        <v>44779</v>
      </c>
      <c r="Z136" t="s">
        <v>1001</v>
      </c>
    </row>
    <row r="137" spans="1:26">
      <c r="A137" s="1" t="s">
        <v>161</v>
      </c>
      <c r="B137">
        <f>HYPERLINK("https://www.suredividend.com/sure-analysis-LIN/","Linde Plc")</f>
        <v>0</v>
      </c>
      <c r="C137" t="s">
        <v>870</v>
      </c>
      <c r="D137">
        <v>302</v>
      </c>
      <c r="E137">
        <v>308.93</v>
      </c>
      <c r="F137">
        <v>252</v>
      </c>
      <c r="G137">
        <v>1.225912698412698</v>
      </c>
      <c r="H137">
        <v>0.01514906289450684</v>
      </c>
      <c r="I137">
        <v>-0.03991852209228475</v>
      </c>
      <c r="J137">
        <v>0.06</v>
      </c>
      <c r="K137">
        <v>0.03449597295461149</v>
      </c>
      <c r="L137" t="s">
        <v>872</v>
      </c>
      <c r="M137" t="s">
        <v>568</v>
      </c>
      <c r="N137">
        <v>25.78714524207012</v>
      </c>
      <c r="O137">
        <v>11.98</v>
      </c>
      <c r="P137">
        <v>4.68</v>
      </c>
      <c r="Q137">
        <v>0.3906510851419031</v>
      </c>
      <c r="R137">
        <v>29</v>
      </c>
      <c r="S137">
        <v>0.06987144736362261</v>
      </c>
      <c r="T137" t="s">
        <v>889</v>
      </c>
      <c r="U137">
        <v>-0.05385605797960701</v>
      </c>
      <c r="V137" t="s">
        <v>978</v>
      </c>
      <c r="W137" t="s">
        <v>989</v>
      </c>
      <c r="X137">
        <v>152728.668821</v>
      </c>
      <c r="Y137" s="2">
        <v>44864</v>
      </c>
      <c r="Z137" t="s">
        <v>994</v>
      </c>
    </row>
    <row r="138" spans="1:26">
      <c r="A138" s="1" t="s">
        <v>162</v>
      </c>
      <c r="B138">
        <f>HYPERLINK("https://www.suredividend.com/sure-analysis-ATR/","Aptargroup Inc.")</f>
        <v>0</v>
      </c>
      <c r="C138" t="s">
        <v>871</v>
      </c>
      <c r="D138">
        <v>110</v>
      </c>
      <c r="E138">
        <v>98.77</v>
      </c>
      <c r="F138">
        <v>77</v>
      </c>
      <c r="G138">
        <v>1.282727272727273</v>
      </c>
      <c r="H138">
        <v>0.01538928824541865</v>
      </c>
      <c r="I138">
        <v>-0.04857812100136194</v>
      </c>
      <c r="J138">
        <v>0.07000000000000001</v>
      </c>
      <c r="K138">
        <v>0.03367810825810613</v>
      </c>
      <c r="L138" t="s">
        <v>872</v>
      </c>
      <c r="M138" t="s">
        <v>568</v>
      </c>
      <c r="N138">
        <v>25.65454545454545</v>
      </c>
      <c r="O138">
        <v>3.85</v>
      </c>
      <c r="P138">
        <v>1.52</v>
      </c>
      <c r="Q138">
        <v>0.3948051948051948</v>
      </c>
      <c r="R138">
        <v>28</v>
      </c>
      <c r="S138">
        <v>0.04007732447526613</v>
      </c>
      <c r="T138" t="s">
        <v>928</v>
      </c>
      <c r="U138">
        <v>-0.220757499134131</v>
      </c>
      <c r="V138" t="s">
        <v>978</v>
      </c>
      <c r="W138" t="s">
        <v>983</v>
      </c>
      <c r="X138">
        <v>6448.10147</v>
      </c>
      <c r="Y138" s="2">
        <v>44794</v>
      </c>
      <c r="Z138" t="s">
        <v>997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871</v>
      </c>
      <c r="D139">
        <v>203</v>
      </c>
      <c r="E139">
        <v>180.46</v>
      </c>
      <c r="F139">
        <v>127</v>
      </c>
      <c r="G139">
        <v>1.420944881889764</v>
      </c>
      <c r="H139">
        <v>0.0108611326609775</v>
      </c>
      <c r="I139">
        <v>-0.06785268363816999</v>
      </c>
      <c r="J139">
        <v>0.095</v>
      </c>
      <c r="K139">
        <v>0.03344594438226811</v>
      </c>
      <c r="L139" t="s">
        <v>872</v>
      </c>
      <c r="M139" t="s">
        <v>568</v>
      </c>
      <c r="N139">
        <v>35.59368836291913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901</v>
      </c>
      <c r="U139">
        <v>0.149964378250723</v>
      </c>
      <c r="V139" t="s">
        <v>978</v>
      </c>
      <c r="W139" t="s">
        <v>982</v>
      </c>
      <c r="X139">
        <v>13152.449036</v>
      </c>
      <c r="Y139" s="2">
        <v>44792</v>
      </c>
      <c r="Z139" t="s">
        <v>994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870</v>
      </c>
      <c r="D140">
        <v>54</v>
      </c>
      <c r="E140">
        <v>61.5</v>
      </c>
      <c r="F140">
        <v>49</v>
      </c>
      <c r="G140">
        <v>1.255102040816326</v>
      </c>
      <c r="H140">
        <v>0.02601626016260163</v>
      </c>
      <c r="I140">
        <v>-0.0444262899238842</v>
      </c>
      <c r="J140">
        <v>0.05</v>
      </c>
      <c r="K140">
        <v>0.03309173148937528</v>
      </c>
      <c r="L140" t="s">
        <v>872</v>
      </c>
      <c r="M140" t="s">
        <v>873</v>
      </c>
      <c r="N140">
        <v>12.55102040816326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886</v>
      </c>
      <c r="U140">
        <v>0.231751550705102</v>
      </c>
      <c r="V140" t="s">
        <v>978</v>
      </c>
      <c r="W140" t="s">
        <v>986</v>
      </c>
      <c r="X140">
        <v>431.790147</v>
      </c>
      <c r="Y140" s="2">
        <v>44666</v>
      </c>
      <c r="Z140" t="s">
        <v>1001</v>
      </c>
    </row>
    <row r="141" spans="1:26">
      <c r="A141" s="1" t="s">
        <v>165</v>
      </c>
      <c r="B141">
        <f>HYPERLINK("https://www.suredividend.com/sure-analysis-CBSH/","Commerce Bancshares, Inc.")</f>
        <v>0</v>
      </c>
      <c r="C141" t="s">
        <v>871</v>
      </c>
      <c r="D141">
        <v>70</v>
      </c>
      <c r="E141">
        <v>70.37</v>
      </c>
      <c r="F141">
        <v>56</v>
      </c>
      <c r="G141">
        <v>1.256607142857143</v>
      </c>
      <c r="H141">
        <v>0.0150632371749325</v>
      </c>
      <c r="I141">
        <v>-0.04465530748186886</v>
      </c>
      <c r="J141">
        <v>0.06</v>
      </c>
      <c r="K141">
        <v>0.02973235746975278</v>
      </c>
      <c r="L141" t="s">
        <v>872</v>
      </c>
      <c r="M141" t="s">
        <v>873</v>
      </c>
      <c r="N141">
        <v>17.5925</v>
      </c>
      <c r="O141">
        <v>4</v>
      </c>
      <c r="P141">
        <v>1.06</v>
      </c>
      <c r="Q141">
        <v>0.265</v>
      </c>
      <c r="R141">
        <v>53</v>
      </c>
      <c r="S141">
        <v>0.07047389437638896</v>
      </c>
      <c r="T141" t="s">
        <v>897</v>
      </c>
      <c r="U141">
        <v>0.014990473195857</v>
      </c>
      <c r="V141" t="s">
        <v>978</v>
      </c>
      <c r="W141" t="s">
        <v>986</v>
      </c>
      <c r="X141">
        <v>8436.150666</v>
      </c>
      <c r="Y141" s="2">
        <v>44796</v>
      </c>
      <c r="Z141" t="s">
        <v>994</v>
      </c>
    </row>
    <row r="142" spans="1:26">
      <c r="A142" s="1" t="s">
        <v>166</v>
      </c>
      <c r="B142">
        <f>HYPERLINK("https://www.suredividend.com/sure-analysis-MCK/","Mckesson Corporation")</f>
        <v>0</v>
      </c>
      <c r="C142" t="s">
        <v>870</v>
      </c>
      <c r="D142">
        <v>364</v>
      </c>
      <c r="E142">
        <v>396.65</v>
      </c>
      <c r="F142">
        <v>317</v>
      </c>
      <c r="G142">
        <v>1.251261829652997</v>
      </c>
      <c r="H142">
        <v>0.005445606958275558</v>
      </c>
      <c r="I142">
        <v>-0.04384046398260122</v>
      </c>
      <c r="J142">
        <v>0.07000000000000001</v>
      </c>
      <c r="K142">
        <v>0.02913629046378219</v>
      </c>
      <c r="L142" t="s">
        <v>872</v>
      </c>
      <c r="M142" t="s">
        <v>568</v>
      </c>
      <c r="N142">
        <v>16.28952772073922</v>
      </c>
      <c r="O142">
        <v>24.35</v>
      </c>
      <c r="P142">
        <v>2.16</v>
      </c>
      <c r="Q142">
        <v>0.08870636550308009</v>
      </c>
      <c r="R142">
        <v>15</v>
      </c>
      <c r="S142">
        <v>0.07003448782339894</v>
      </c>
      <c r="T142" t="s">
        <v>874</v>
      </c>
      <c r="U142">
        <v>0.787430709740449</v>
      </c>
      <c r="V142" t="s">
        <v>978</v>
      </c>
      <c r="W142" t="s">
        <v>988</v>
      </c>
      <c r="X142">
        <v>56242.383842</v>
      </c>
      <c r="Y142" s="2">
        <v>44796</v>
      </c>
      <c r="Z142" t="s">
        <v>1001</v>
      </c>
    </row>
    <row r="143" spans="1:26">
      <c r="A143" s="1" t="s">
        <v>167</v>
      </c>
      <c r="B143">
        <f>HYPERLINK("https://www.suredividend.com/sure-analysis-CFR/","Cullen Frost Bankers Inc.")</f>
        <v>0</v>
      </c>
      <c r="C143" t="s">
        <v>871</v>
      </c>
      <c r="D143">
        <v>155</v>
      </c>
      <c r="E143">
        <v>156.61</v>
      </c>
      <c r="F143">
        <v>120</v>
      </c>
      <c r="G143">
        <v>1.305083333333333</v>
      </c>
      <c r="H143">
        <v>0.02222080326926761</v>
      </c>
      <c r="I143">
        <v>-0.05186025678805939</v>
      </c>
      <c r="J143">
        <v>0.06</v>
      </c>
      <c r="K143">
        <v>0.0287266889748683</v>
      </c>
      <c r="L143" t="s">
        <v>872</v>
      </c>
      <c r="M143" t="s">
        <v>873</v>
      </c>
      <c r="N143">
        <v>18.21046511627907</v>
      </c>
      <c r="O143">
        <v>8.6</v>
      </c>
      <c r="P143">
        <v>3.48</v>
      </c>
      <c r="Q143">
        <v>0.4046511627906977</v>
      </c>
      <c r="R143">
        <v>29</v>
      </c>
      <c r="S143">
        <v>0.04419329594385624</v>
      </c>
      <c r="T143" t="s">
        <v>881</v>
      </c>
      <c r="U143">
        <v>0.205393290251869</v>
      </c>
      <c r="V143" t="s">
        <v>978</v>
      </c>
      <c r="W143" t="s">
        <v>986</v>
      </c>
      <c r="X143">
        <v>10069.822539</v>
      </c>
      <c r="Y143" s="2">
        <v>44866</v>
      </c>
      <c r="Z143" t="s">
        <v>996</v>
      </c>
    </row>
    <row r="144" spans="1:26">
      <c r="A144" s="1" t="s">
        <v>168</v>
      </c>
      <c r="B144">
        <f>HYPERLINK("https://www.suredividend.com/sure-analysis-ABC/","Amerisource Bergen Corp.")</f>
        <v>0</v>
      </c>
      <c r="C144" t="s">
        <v>870</v>
      </c>
      <c r="D144">
        <v>141</v>
      </c>
      <c r="E144">
        <v>161.64</v>
      </c>
      <c r="F144">
        <v>143</v>
      </c>
      <c r="G144">
        <v>1.13034965034965</v>
      </c>
      <c r="H144">
        <v>0.01200197970799307</v>
      </c>
      <c r="I144">
        <v>-0.02420758231678399</v>
      </c>
      <c r="J144">
        <v>0.04</v>
      </c>
      <c r="K144">
        <v>0.02795084943126902</v>
      </c>
      <c r="L144" t="s">
        <v>872</v>
      </c>
      <c r="M144" t="s">
        <v>568</v>
      </c>
      <c r="N144">
        <v>14.69454545454545</v>
      </c>
      <c r="O144">
        <v>11</v>
      </c>
      <c r="P144">
        <v>1.94</v>
      </c>
      <c r="Q144">
        <v>0.1763636363636364</v>
      </c>
      <c r="R144">
        <v>19</v>
      </c>
      <c r="S144">
        <v>0.05867728562815433</v>
      </c>
      <c r="T144" t="s">
        <v>905</v>
      </c>
      <c r="U144">
        <v>0.291736292083919</v>
      </c>
      <c r="V144" t="s">
        <v>978</v>
      </c>
      <c r="W144" t="s">
        <v>988</v>
      </c>
      <c r="X144">
        <v>33501.197991</v>
      </c>
      <c r="Y144" s="2">
        <v>44776</v>
      </c>
      <c r="Z144" t="s">
        <v>998</v>
      </c>
    </row>
    <row r="145" spans="1:26">
      <c r="A145" s="1" t="s">
        <v>169</v>
      </c>
      <c r="B145">
        <f>HYPERLINK("https://www.suredividend.com/sure-analysis-MGEE/","MGE Energy, Inc.")</f>
        <v>0</v>
      </c>
      <c r="C145" t="s">
        <v>871</v>
      </c>
      <c r="D145">
        <v>83.40000000000001</v>
      </c>
      <c r="E145">
        <v>67.76000000000001</v>
      </c>
      <c r="F145">
        <v>55.3</v>
      </c>
      <c r="G145">
        <v>1.225316455696203</v>
      </c>
      <c r="H145">
        <v>0.02287485242030696</v>
      </c>
      <c r="I145">
        <v>-0.03982510455960153</v>
      </c>
      <c r="J145">
        <v>0.044</v>
      </c>
      <c r="K145">
        <v>0.02646468759875309</v>
      </c>
      <c r="L145" t="s">
        <v>872</v>
      </c>
      <c r="M145" t="s">
        <v>873</v>
      </c>
      <c r="N145">
        <v>22.07166123778502</v>
      </c>
      <c r="O145">
        <v>3.07</v>
      </c>
      <c r="P145">
        <v>1.55</v>
      </c>
      <c r="Q145">
        <v>0.504885993485342</v>
      </c>
      <c r="R145">
        <v>45</v>
      </c>
      <c r="S145">
        <v>0.03601968190208304</v>
      </c>
      <c r="T145" t="s">
        <v>874</v>
      </c>
      <c r="U145">
        <v>-0.104427506340774</v>
      </c>
      <c r="V145" t="s">
        <v>978</v>
      </c>
      <c r="W145" t="s">
        <v>987</v>
      </c>
      <c r="X145">
        <v>2450.429951</v>
      </c>
      <c r="Y145" s="2">
        <v>44784</v>
      </c>
      <c r="Z145" t="s">
        <v>999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87.88</v>
      </c>
      <c r="F146">
        <v>78.90000000000001</v>
      </c>
      <c r="G146">
        <v>1.113814955640051</v>
      </c>
      <c r="H146">
        <v>0.01422394173873464</v>
      </c>
      <c r="I146">
        <v>-0.02132748677791441</v>
      </c>
      <c r="J146">
        <v>0.035</v>
      </c>
      <c r="K146">
        <v>0.02609103353633335</v>
      </c>
      <c r="L146" t="s">
        <v>872</v>
      </c>
      <c r="M146" t="s">
        <v>568</v>
      </c>
      <c r="N146">
        <v>34.87301587301587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913</v>
      </c>
      <c r="U146">
        <v>-0.122392668363693</v>
      </c>
      <c r="V146" t="s">
        <v>978</v>
      </c>
      <c r="W146" t="s">
        <v>987</v>
      </c>
      <c r="X146">
        <v>1550.079729</v>
      </c>
      <c r="Y146" s="2">
        <v>44776</v>
      </c>
      <c r="Z146" t="s">
        <v>999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869</v>
      </c>
      <c r="D147">
        <v>56</v>
      </c>
      <c r="E147">
        <v>57.77</v>
      </c>
      <c r="F147">
        <v>41</v>
      </c>
      <c r="G147">
        <v>1.409024390243903</v>
      </c>
      <c r="H147">
        <v>0.02007962610351393</v>
      </c>
      <c r="I147">
        <v>-0.0662807815723101</v>
      </c>
      <c r="J147">
        <v>0.07000000000000001</v>
      </c>
      <c r="K147">
        <v>0.02488915446647333</v>
      </c>
      <c r="L147" t="s">
        <v>872</v>
      </c>
      <c r="M147" t="s">
        <v>873</v>
      </c>
      <c r="N147">
        <v>23.108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0.07631054829051601</v>
      </c>
      <c r="V147" t="s">
        <v>978</v>
      </c>
      <c r="W147" t="s">
        <v>982</v>
      </c>
      <c r="X147">
        <v>1588.616941</v>
      </c>
      <c r="Y147" s="2">
        <v>44838</v>
      </c>
      <c r="Z147" t="s">
        <v>996</v>
      </c>
    </row>
    <row r="148" spans="1:26">
      <c r="A148" s="1" t="s">
        <v>172</v>
      </c>
      <c r="B148">
        <f>HYPERLINK("https://www.suredividend.com/sure-analysis-NOC/","Northrop Grumman Corp.")</f>
        <v>0</v>
      </c>
      <c r="C148" t="s">
        <v>870</v>
      </c>
      <c r="D148">
        <v>475</v>
      </c>
      <c r="E148">
        <v>522.77</v>
      </c>
      <c r="F148">
        <v>372</v>
      </c>
      <c r="G148">
        <v>1.405295698924731</v>
      </c>
      <c r="H148">
        <v>0.01323717887407464</v>
      </c>
      <c r="I148">
        <v>-0.0657858164828915</v>
      </c>
      <c r="J148">
        <v>0.08</v>
      </c>
      <c r="K148">
        <v>0.02464432584338505</v>
      </c>
      <c r="L148" t="s">
        <v>872</v>
      </c>
      <c r="M148" t="s">
        <v>568</v>
      </c>
      <c r="N148">
        <v>21.07943548387097</v>
      </c>
      <c r="O148">
        <v>24.8</v>
      </c>
      <c r="P148">
        <v>6.92</v>
      </c>
      <c r="Q148">
        <v>0.2790322580645161</v>
      </c>
      <c r="R148">
        <v>19</v>
      </c>
      <c r="S148">
        <v>0.08004778776327726</v>
      </c>
      <c r="T148" t="s">
        <v>882</v>
      </c>
      <c r="U148">
        <v>0.482231902080886</v>
      </c>
      <c r="V148" t="s">
        <v>978</v>
      </c>
      <c r="W148" t="s">
        <v>984</v>
      </c>
      <c r="X148">
        <v>80460.657792</v>
      </c>
      <c r="Y148" s="2">
        <v>44776</v>
      </c>
      <c r="Z148" t="s">
        <v>1007</v>
      </c>
    </row>
    <row r="149" spans="1:26">
      <c r="A149" s="1" t="s">
        <v>173</v>
      </c>
      <c r="B149">
        <f>HYPERLINK("https://www.suredividend.com/sure-analysis-THFF/","First Financial Corp. - Indiana")</f>
        <v>0</v>
      </c>
      <c r="C149" t="s">
        <v>871</v>
      </c>
      <c r="D149">
        <v>48</v>
      </c>
      <c r="E149">
        <v>48.34</v>
      </c>
      <c r="F149">
        <v>63</v>
      </c>
      <c r="G149">
        <v>0.7673015873015874</v>
      </c>
      <c r="H149">
        <v>0.02234174596607364</v>
      </c>
      <c r="I149">
        <v>0.05440335875135105</v>
      </c>
      <c r="J149">
        <v>-0.05</v>
      </c>
      <c r="K149">
        <v>0.02418029491278206</v>
      </c>
      <c r="L149" t="s">
        <v>872</v>
      </c>
      <c r="M149" t="s">
        <v>873</v>
      </c>
      <c r="N149">
        <v>8.480701754385965</v>
      </c>
      <c r="O149">
        <v>5.7</v>
      </c>
      <c r="P149">
        <v>1.08</v>
      </c>
      <c r="Q149">
        <v>0.1894736842105263</v>
      </c>
      <c r="R149">
        <v>34</v>
      </c>
      <c r="S149">
        <v>0.01958782572000284</v>
      </c>
      <c r="T149" t="s">
        <v>929</v>
      </c>
      <c r="U149">
        <v>0.117938589695261</v>
      </c>
      <c r="V149" t="s">
        <v>978</v>
      </c>
      <c r="W149" t="s">
        <v>986</v>
      </c>
      <c r="X149">
        <v>581.143383</v>
      </c>
      <c r="Y149" s="2">
        <v>44866</v>
      </c>
      <c r="Z149" t="s">
        <v>1001</v>
      </c>
    </row>
    <row r="150" spans="1:26">
      <c r="A150" s="1" t="s">
        <v>174</v>
      </c>
      <c r="B150">
        <f>HYPERLINK("https://www.suredividend.com/sure-analysis-CASY/","Casey`s General Stores, Inc.")</f>
        <v>0</v>
      </c>
      <c r="C150" t="s">
        <v>870</v>
      </c>
      <c r="D150">
        <v>198</v>
      </c>
      <c r="E150">
        <v>224.94</v>
      </c>
      <c r="F150">
        <v>211</v>
      </c>
      <c r="G150">
        <v>1.066066350710901</v>
      </c>
      <c r="H150">
        <v>0.006757357517560238</v>
      </c>
      <c r="I150">
        <v>-0.01271360384902787</v>
      </c>
      <c r="J150">
        <v>0.03</v>
      </c>
      <c r="K150">
        <v>0.02371910985771342</v>
      </c>
      <c r="L150" t="s">
        <v>872</v>
      </c>
      <c r="M150" t="s">
        <v>568</v>
      </c>
      <c r="N150">
        <v>23.43125</v>
      </c>
      <c r="O150">
        <v>9.6</v>
      </c>
      <c r="P150">
        <v>1.52</v>
      </c>
      <c r="Q150">
        <v>0.1583333333333334</v>
      </c>
      <c r="R150">
        <v>23</v>
      </c>
      <c r="S150">
        <v>0.02975477857041309</v>
      </c>
      <c r="T150" t="s">
        <v>930</v>
      </c>
      <c r="U150">
        <v>0.138958623001353</v>
      </c>
      <c r="V150" t="s">
        <v>978</v>
      </c>
      <c r="W150" t="s">
        <v>990</v>
      </c>
      <c r="X150">
        <v>8380.158820000001</v>
      </c>
      <c r="Y150" s="2">
        <v>44831</v>
      </c>
      <c r="Z150" t="s">
        <v>995</v>
      </c>
    </row>
    <row r="151" spans="1:26">
      <c r="A151" s="1" t="s">
        <v>175</v>
      </c>
      <c r="B151">
        <f>HYPERLINK("https://www.suredividend.com/sure-analysis-GD/","General Dynamics Corp.")</f>
        <v>0</v>
      </c>
      <c r="C151" t="s">
        <v>871</v>
      </c>
      <c r="D151">
        <v>248</v>
      </c>
      <c r="E151">
        <v>249.36</v>
      </c>
      <c r="F151">
        <v>182</v>
      </c>
      <c r="G151">
        <v>1.37010989010989</v>
      </c>
      <c r="H151">
        <v>0.02021174205967276</v>
      </c>
      <c r="I151">
        <v>-0.06103604742659252</v>
      </c>
      <c r="J151">
        <v>0.06</v>
      </c>
      <c r="K151">
        <v>0.01877155656490381</v>
      </c>
      <c r="L151" t="s">
        <v>872</v>
      </c>
      <c r="M151" t="s">
        <v>873</v>
      </c>
      <c r="N151">
        <v>20.50657894736842</v>
      </c>
      <c r="O151">
        <v>12.16</v>
      </c>
      <c r="P151">
        <v>5.04</v>
      </c>
      <c r="Q151">
        <v>0.4144736842105263</v>
      </c>
      <c r="R151">
        <v>31</v>
      </c>
      <c r="S151">
        <v>0.05985358218414349</v>
      </c>
      <c r="T151" t="s">
        <v>885</v>
      </c>
      <c r="U151">
        <v>0.286644152801892</v>
      </c>
      <c r="V151" t="s">
        <v>978</v>
      </c>
      <c r="W151" t="s">
        <v>984</v>
      </c>
      <c r="X151">
        <v>68461.528915</v>
      </c>
      <c r="Y151" s="2">
        <v>44867</v>
      </c>
      <c r="Z151" t="s">
        <v>1007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871</v>
      </c>
      <c r="D152">
        <v>274</v>
      </c>
      <c r="E152">
        <v>274.62</v>
      </c>
      <c r="F152">
        <v>199</v>
      </c>
      <c r="G152">
        <v>1.38</v>
      </c>
      <c r="H152">
        <v>0.02213968392688078</v>
      </c>
      <c r="I152">
        <v>-0.06238578557100172</v>
      </c>
      <c r="J152">
        <v>0.06</v>
      </c>
      <c r="K152">
        <v>0.01844907599228596</v>
      </c>
      <c r="L152" t="s">
        <v>872</v>
      </c>
      <c r="M152" t="s">
        <v>873</v>
      </c>
      <c r="N152">
        <v>27.65558912386707</v>
      </c>
      <c r="O152">
        <v>9.93</v>
      </c>
      <c r="P152">
        <v>6.08</v>
      </c>
      <c r="Q152">
        <v>0.6122860020140987</v>
      </c>
      <c r="R152">
        <v>47</v>
      </c>
      <c r="S152">
        <v>0.04342887836291864</v>
      </c>
      <c r="T152" t="s">
        <v>874</v>
      </c>
      <c r="U152">
        <v>0.10765403376929</v>
      </c>
      <c r="V152" t="s">
        <v>978</v>
      </c>
      <c r="W152" t="s">
        <v>983</v>
      </c>
      <c r="X152">
        <v>202042.676962</v>
      </c>
      <c r="Y152" s="2">
        <v>44868</v>
      </c>
      <c r="Z152" t="s">
        <v>1007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67.15000000000001</v>
      </c>
      <c r="F153">
        <v>47</v>
      </c>
      <c r="G153">
        <v>1.428723404255319</v>
      </c>
      <c r="H153">
        <v>0.01116902457185406</v>
      </c>
      <c r="I153">
        <v>-0.06886989534100552</v>
      </c>
      <c r="J153">
        <v>0.08</v>
      </c>
      <c r="K153">
        <v>0.01831782682270844</v>
      </c>
      <c r="L153" t="s">
        <v>872</v>
      </c>
      <c r="M153" t="s">
        <v>568</v>
      </c>
      <c r="N153">
        <v>34.43589743589744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894</v>
      </c>
      <c r="U153">
        <v>-0.034281219034798</v>
      </c>
      <c r="V153" t="s">
        <v>978</v>
      </c>
      <c r="W153" t="s">
        <v>990</v>
      </c>
      <c r="X153">
        <v>32288.096147</v>
      </c>
      <c r="Y153" s="2">
        <v>44830</v>
      </c>
      <c r="Z153" t="s">
        <v>994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871</v>
      </c>
      <c r="D154">
        <v>66</v>
      </c>
      <c r="E154">
        <v>67.18000000000001</v>
      </c>
      <c r="F154">
        <v>53</v>
      </c>
      <c r="G154">
        <v>1.267547169811321</v>
      </c>
      <c r="H154">
        <v>0.02381661208693063</v>
      </c>
      <c r="I154">
        <v>-0.04631012035237847</v>
      </c>
      <c r="J154">
        <v>0.04</v>
      </c>
      <c r="K154">
        <v>0.01815826305992996</v>
      </c>
      <c r="L154" t="s">
        <v>872</v>
      </c>
      <c r="M154" t="s">
        <v>873</v>
      </c>
      <c r="N154">
        <v>12.62781954887218</v>
      </c>
      <c r="O154">
        <v>5.32</v>
      </c>
      <c r="P154">
        <v>1.6</v>
      </c>
      <c r="Q154">
        <v>0.3007518796992481</v>
      </c>
      <c r="R154">
        <v>40</v>
      </c>
      <c r="S154">
        <v>0.0403582746309219</v>
      </c>
      <c r="T154" t="s">
        <v>931</v>
      </c>
      <c r="U154">
        <v>0.237369365254196</v>
      </c>
      <c r="V154" t="s">
        <v>978</v>
      </c>
      <c r="W154" t="s">
        <v>986</v>
      </c>
      <c r="X154">
        <v>41771.755461</v>
      </c>
      <c r="Y154" s="2">
        <v>44867</v>
      </c>
      <c r="Z154" t="s">
        <v>993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871</v>
      </c>
      <c r="D155">
        <v>88</v>
      </c>
      <c r="E155">
        <v>88.92</v>
      </c>
      <c r="F155">
        <v>62</v>
      </c>
      <c r="G155">
        <v>1.434193548387097</v>
      </c>
      <c r="H155">
        <v>0.01788124156545209</v>
      </c>
      <c r="I155">
        <v>-0.0695812643767979</v>
      </c>
      <c r="J155">
        <v>0.07099999999999999</v>
      </c>
      <c r="K155">
        <v>0.01710311372278506</v>
      </c>
      <c r="L155" t="s">
        <v>872</v>
      </c>
      <c r="M155" t="s">
        <v>873</v>
      </c>
      <c r="N155">
        <v>35.85483870967742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905</v>
      </c>
      <c r="U155">
        <v>-0.019015131790882</v>
      </c>
      <c r="V155" t="s">
        <v>978</v>
      </c>
      <c r="W155" t="s">
        <v>987</v>
      </c>
      <c r="X155">
        <v>3286.20079</v>
      </c>
      <c r="Y155" s="2">
        <v>44778</v>
      </c>
      <c r="Z155" t="s">
        <v>999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57.61</v>
      </c>
      <c r="F156">
        <v>56</v>
      </c>
      <c r="G156">
        <v>1.02875</v>
      </c>
      <c r="H156">
        <v>0.02221836486721055</v>
      </c>
      <c r="I156">
        <v>-0.005652856738788126</v>
      </c>
      <c r="J156">
        <v>-0.01</v>
      </c>
      <c r="K156">
        <v>0.008298590560706254</v>
      </c>
      <c r="L156" t="s">
        <v>872</v>
      </c>
      <c r="M156" t="s">
        <v>873</v>
      </c>
      <c r="N156">
        <v>11.87835051546392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0.201996302833798</v>
      </c>
      <c r="V156" t="s">
        <v>978</v>
      </c>
      <c r="W156" t="s">
        <v>986</v>
      </c>
      <c r="X156">
        <v>1420.500025</v>
      </c>
      <c r="Y156" s="2">
        <v>44864</v>
      </c>
      <c r="Z156" t="s">
        <v>1001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96.73</v>
      </c>
      <c r="F157">
        <v>76</v>
      </c>
      <c r="G157">
        <v>1.272763157894737</v>
      </c>
      <c r="H157">
        <v>0.01881525896826217</v>
      </c>
      <c r="I157">
        <v>-0.0470930797803063</v>
      </c>
      <c r="J157">
        <v>0.03</v>
      </c>
      <c r="K157">
        <v>0.002730188108040377</v>
      </c>
      <c r="L157" t="s">
        <v>872</v>
      </c>
      <c r="M157" t="s">
        <v>568</v>
      </c>
      <c r="N157">
        <v>22.28801843317973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914</v>
      </c>
      <c r="U157">
        <v>0.295519989285474</v>
      </c>
      <c r="V157" t="s">
        <v>978</v>
      </c>
      <c r="W157" t="s">
        <v>984</v>
      </c>
      <c r="X157">
        <v>2358.513905</v>
      </c>
      <c r="Y157" s="2">
        <v>44864</v>
      </c>
      <c r="Z157" t="s">
        <v>993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871</v>
      </c>
      <c r="D158">
        <v>185</v>
      </c>
      <c r="E158">
        <v>209.16</v>
      </c>
      <c r="F158">
        <v>147</v>
      </c>
      <c r="G158">
        <v>1.422857142857143</v>
      </c>
      <c r="H158">
        <v>0.01587301587301587</v>
      </c>
      <c r="I158">
        <v>-0.06810337190417504</v>
      </c>
      <c r="J158">
        <v>0.05</v>
      </c>
      <c r="K158">
        <v>-0.002733492973670204</v>
      </c>
      <c r="L158" t="s">
        <v>872</v>
      </c>
      <c r="M158" t="s">
        <v>873</v>
      </c>
      <c r="N158">
        <v>13.2379746835443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887</v>
      </c>
      <c r="U158">
        <v>0.119056217647766</v>
      </c>
      <c r="V158" t="s">
        <v>978</v>
      </c>
      <c r="W158" t="s">
        <v>986</v>
      </c>
      <c r="X158">
        <v>86811.91531</v>
      </c>
      <c r="Y158" s="2">
        <v>44778</v>
      </c>
      <c r="Z158" t="s">
        <v>994</v>
      </c>
    </row>
    <row r="159" spans="1:26">
      <c r="A159" s="1" t="s">
        <v>183</v>
      </c>
      <c r="B159">
        <f>HYPERLINK("https://www.suredividend.com/sure-analysis-RNR/","RenaissanceRe Holdings Ltd")</f>
        <v>0</v>
      </c>
      <c r="C159" t="s">
        <v>870</v>
      </c>
      <c r="D159">
        <v>134</v>
      </c>
      <c r="E159">
        <v>182.87</v>
      </c>
      <c r="F159">
        <v>131</v>
      </c>
      <c r="G159">
        <v>1.395954198473282</v>
      </c>
      <c r="H159">
        <v>0.008093180948214578</v>
      </c>
      <c r="I159">
        <v>-0.06453882774763786</v>
      </c>
      <c r="J159">
        <v>0.05</v>
      </c>
      <c r="K159">
        <v>-0.008552382142264059</v>
      </c>
      <c r="L159" t="s">
        <v>872</v>
      </c>
      <c r="M159" t="s">
        <v>568</v>
      </c>
      <c r="N159">
        <v>11.429375</v>
      </c>
      <c r="O159">
        <v>16</v>
      </c>
      <c r="P159">
        <v>1.48</v>
      </c>
      <c r="Q159">
        <v>0.0925</v>
      </c>
      <c r="R159">
        <v>27</v>
      </c>
      <c r="S159">
        <v>0.02567439351051015</v>
      </c>
      <c r="T159" t="s">
        <v>883</v>
      </c>
      <c r="U159">
        <v>0.25198371674921</v>
      </c>
      <c r="V159" t="s">
        <v>978</v>
      </c>
      <c r="W159" t="s">
        <v>986</v>
      </c>
      <c r="X159">
        <v>7991.764624</v>
      </c>
      <c r="Y159" s="2">
        <v>44768</v>
      </c>
      <c r="Z159" t="s">
        <v>1000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57.21</v>
      </c>
      <c r="F160">
        <v>112</v>
      </c>
      <c r="G160">
        <v>0.5108035714285715</v>
      </c>
      <c r="H160">
        <v>0.02377206782031114</v>
      </c>
      <c r="I160">
        <v>0.1437976896451201</v>
      </c>
      <c r="J160">
        <v>-0.16</v>
      </c>
      <c r="K160">
        <v>-0.00939454311944099</v>
      </c>
      <c r="L160" t="s">
        <v>872</v>
      </c>
      <c r="M160" t="s">
        <v>873</v>
      </c>
      <c r="N160">
        <v>7.15125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889</v>
      </c>
      <c r="U160">
        <v>0.771569422854205</v>
      </c>
      <c r="V160" t="s">
        <v>978</v>
      </c>
      <c r="W160" t="s">
        <v>991</v>
      </c>
      <c r="X160">
        <v>34984.805817</v>
      </c>
      <c r="Y160" s="2">
        <v>44870</v>
      </c>
      <c r="Z160" t="s">
        <v>996</v>
      </c>
    </row>
    <row r="161" spans="1:26">
      <c r="A161" s="1" t="s">
        <v>185</v>
      </c>
      <c r="B161">
        <f>HYPERLINK("https://www.suredividend.com/sure-analysis-CWT/","California Water Service Group")</f>
        <v>0</v>
      </c>
      <c r="C161" t="s">
        <v>871</v>
      </c>
      <c r="D161">
        <v>61</v>
      </c>
      <c r="E161">
        <v>59.81</v>
      </c>
      <c r="F161">
        <v>39</v>
      </c>
      <c r="G161">
        <v>1.533589743589744</v>
      </c>
      <c r="H161">
        <v>0.01671961210499916</v>
      </c>
      <c r="I161">
        <v>-0.08196727879742882</v>
      </c>
      <c r="J161">
        <v>0.05</v>
      </c>
      <c r="K161">
        <v>-0.01394220071957897</v>
      </c>
      <c r="L161" t="s">
        <v>872</v>
      </c>
      <c r="M161" t="s">
        <v>873</v>
      </c>
      <c r="N161">
        <v>30.67179487179487</v>
      </c>
      <c r="O161">
        <v>1.95</v>
      </c>
      <c r="P161">
        <v>1</v>
      </c>
      <c r="Q161">
        <v>0.5128205128205129</v>
      </c>
      <c r="R161">
        <v>54</v>
      </c>
      <c r="S161">
        <v>0.0602809527753625</v>
      </c>
      <c r="T161" t="s">
        <v>919</v>
      </c>
      <c r="U161">
        <v>-0.024177746162217</v>
      </c>
      <c r="V161" t="s">
        <v>978</v>
      </c>
      <c r="W161" t="s">
        <v>987</v>
      </c>
      <c r="X161">
        <v>3279.02344</v>
      </c>
      <c r="Y161" s="2">
        <v>44864</v>
      </c>
      <c r="Z161" t="s">
        <v>994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871</v>
      </c>
      <c r="D162">
        <v>111</v>
      </c>
      <c r="E162">
        <v>112.31</v>
      </c>
      <c r="F162">
        <v>169</v>
      </c>
      <c r="G162">
        <v>0.6645562130177515</v>
      </c>
      <c r="H162">
        <v>0.03241029293918618</v>
      </c>
      <c r="I162">
        <v>0.08515969662335188</v>
      </c>
      <c r="J162">
        <v>-0.13</v>
      </c>
      <c r="K162">
        <v>-0.01710281632830346</v>
      </c>
      <c r="L162" t="s">
        <v>872</v>
      </c>
      <c r="M162" t="s">
        <v>872</v>
      </c>
      <c r="N162">
        <v>8.639230769230769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913</v>
      </c>
      <c r="U162">
        <v>0.822536751759491</v>
      </c>
      <c r="V162" t="s">
        <v>978</v>
      </c>
      <c r="W162" t="s">
        <v>991</v>
      </c>
      <c r="X162">
        <v>462525.534113</v>
      </c>
      <c r="Y162" s="2">
        <v>44866</v>
      </c>
      <c r="Z162" t="s">
        <v>996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871</v>
      </c>
      <c r="D163">
        <v>40</v>
      </c>
      <c r="E163">
        <v>40</v>
      </c>
      <c r="F163">
        <v>30</v>
      </c>
      <c r="G163">
        <v>1.333333333333333</v>
      </c>
      <c r="H163">
        <v>0.008999999999999999</v>
      </c>
      <c r="I163">
        <v>-0.05591248870509802</v>
      </c>
      <c r="J163">
        <v>0.03</v>
      </c>
      <c r="K163">
        <v>-0.01772628999628945</v>
      </c>
      <c r="L163" t="s">
        <v>872</v>
      </c>
      <c r="M163" t="s">
        <v>568</v>
      </c>
      <c r="N163">
        <v>40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902</v>
      </c>
      <c r="U163">
        <v>0.252516775896567</v>
      </c>
      <c r="V163" t="s">
        <v>978</v>
      </c>
      <c r="W163" t="s">
        <v>990</v>
      </c>
      <c r="X163">
        <v>1615.14588</v>
      </c>
      <c r="Y163" s="2">
        <v>44867</v>
      </c>
      <c r="Z163" t="s">
        <v>1007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871</v>
      </c>
      <c r="D164">
        <v>111</v>
      </c>
      <c r="E164">
        <v>127.55</v>
      </c>
      <c r="F164">
        <v>95</v>
      </c>
      <c r="G164">
        <v>1.342631578947368</v>
      </c>
      <c r="H164">
        <v>0.008153665229321835</v>
      </c>
      <c r="I164">
        <v>-0.05722376078473468</v>
      </c>
      <c r="J164">
        <v>0.03</v>
      </c>
      <c r="K164">
        <v>-0.01851288795355721</v>
      </c>
      <c r="L164" t="s">
        <v>872</v>
      </c>
      <c r="M164" t="s">
        <v>568</v>
      </c>
      <c r="N164">
        <v>25.51</v>
      </c>
      <c r="O164">
        <v>5</v>
      </c>
      <c r="P164">
        <v>1.04</v>
      </c>
      <c r="Q164">
        <v>0.208</v>
      </c>
      <c r="R164">
        <v>47</v>
      </c>
      <c r="S164">
        <v>0.05042164036374652</v>
      </c>
      <c r="T164" t="s">
        <v>881</v>
      </c>
      <c r="U164">
        <v>0.177914495690061</v>
      </c>
      <c r="V164" t="s">
        <v>978</v>
      </c>
      <c r="W164" t="s">
        <v>986</v>
      </c>
      <c r="X164">
        <v>5787.985711</v>
      </c>
      <c r="Y164" s="2">
        <v>44781</v>
      </c>
      <c r="Z164" t="s">
        <v>994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871</v>
      </c>
      <c r="D165">
        <v>83</v>
      </c>
      <c r="E165">
        <v>83.79000000000001</v>
      </c>
      <c r="F165">
        <v>66</v>
      </c>
      <c r="G165">
        <v>1.269545454545455</v>
      </c>
      <c r="H165">
        <v>0.02864303616183315</v>
      </c>
      <c r="I165">
        <v>-0.0466105341616968</v>
      </c>
      <c r="J165">
        <v>-0.01</v>
      </c>
      <c r="K165">
        <v>-0.02060652628058346</v>
      </c>
      <c r="L165" t="s">
        <v>872</v>
      </c>
      <c r="M165" t="s">
        <v>872</v>
      </c>
      <c r="N165">
        <v>13.965</v>
      </c>
      <c r="O165">
        <v>6</v>
      </c>
      <c r="P165">
        <v>2.4</v>
      </c>
      <c r="Q165">
        <v>0.4</v>
      </c>
      <c r="R165">
        <v>36</v>
      </c>
      <c r="S165">
        <v>0.02001586442069092</v>
      </c>
      <c r="T165" t="s">
        <v>932</v>
      </c>
      <c r="U165">
        <v>0.033028812368236</v>
      </c>
      <c r="V165" t="s">
        <v>978</v>
      </c>
      <c r="W165" t="s">
        <v>986</v>
      </c>
      <c r="X165">
        <v>1214.167542</v>
      </c>
      <c r="Y165" s="2">
        <v>44864</v>
      </c>
      <c r="Z165" t="s">
        <v>1001</v>
      </c>
    </row>
    <row r="166" spans="1:26">
      <c r="A166" s="1" t="s">
        <v>190</v>
      </c>
      <c r="B166">
        <f>HYPERLINK("https://www.suredividend.com/sure-analysis-CAH/","Cardinal Health, Inc.")</f>
        <v>0</v>
      </c>
      <c r="C166" t="s">
        <v>871</v>
      </c>
      <c r="D166">
        <v>69</v>
      </c>
      <c r="E166">
        <v>79.52</v>
      </c>
      <c r="F166">
        <v>52</v>
      </c>
      <c r="G166">
        <v>1.529230769230769</v>
      </c>
      <c r="H166">
        <v>0.02489939637826962</v>
      </c>
      <c r="I166">
        <v>-0.08144451580490775</v>
      </c>
      <c r="J166">
        <v>0.03</v>
      </c>
      <c r="K166">
        <v>-0.02120632046227966</v>
      </c>
      <c r="L166" t="s">
        <v>872</v>
      </c>
      <c r="M166" t="s">
        <v>873</v>
      </c>
      <c r="N166">
        <v>15.20458891013384</v>
      </c>
      <c r="O166">
        <v>5.23</v>
      </c>
      <c r="P166">
        <v>1.98</v>
      </c>
      <c r="Q166">
        <v>0.378585086042065</v>
      </c>
      <c r="R166">
        <v>35</v>
      </c>
      <c r="S166">
        <v>0.04008868188296377</v>
      </c>
      <c r="T166" t="s">
        <v>891</v>
      </c>
      <c r="U166">
        <v>0.6745565120706211</v>
      </c>
      <c r="V166" t="s">
        <v>978</v>
      </c>
      <c r="W166" t="s">
        <v>988</v>
      </c>
      <c r="X166">
        <v>20835.309305</v>
      </c>
      <c r="Y166" s="2">
        <v>44792</v>
      </c>
      <c r="Z166" t="s">
        <v>993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871</v>
      </c>
      <c r="D167">
        <v>39</v>
      </c>
      <c r="E167">
        <v>42.92</v>
      </c>
      <c r="F167">
        <v>29</v>
      </c>
      <c r="G167">
        <v>1.48</v>
      </c>
      <c r="H167">
        <v>0.03355079217148182</v>
      </c>
      <c r="I167">
        <v>-0.07541326803240322</v>
      </c>
      <c r="J167">
        <v>0.01</v>
      </c>
      <c r="K167">
        <v>-0.0234235170468875</v>
      </c>
      <c r="L167" t="s">
        <v>872</v>
      </c>
      <c r="M167" t="s">
        <v>872</v>
      </c>
      <c r="N167">
        <v>16.50769230769231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901</v>
      </c>
      <c r="U167">
        <v>0.187692495012078</v>
      </c>
      <c r="V167" t="s">
        <v>978</v>
      </c>
      <c r="W167" t="s">
        <v>986</v>
      </c>
      <c r="X167">
        <v>5776.69658</v>
      </c>
      <c r="Y167" s="2">
        <v>44772</v>
      </c>
      <c r="Z167" t="s">
        <v>1001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183.42</v>
      </c>
      <c r="F168">
        <v>252</v>
      </c>
      <c r="G168">
        <v>0.7278571428571428</v>
      </c>
      <c r="H168">
        <v>0.03096717915167375</v>
      </c>
      <c r="I168">
        <v>0.06559155586968668</v>
      </c>
      <c r="J168">
        <v>-0.12</v>
      </c>
      <c r="K168">
        <v>-0.02433339899954401</v>
      </c>
      <c r="L168" t="s">
        <v>872</v>
      </c>
      <c r="M168" t="s">
        <v>872</v>
      </c>
      <c r="N168">
        <v>10.19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895</v>
      </c>
      <c r="U168">
        <v>0.68045053884908</v>
      </c>
      <c r="V168" t="s">
        <v>978</v>
      </c>
      <c r="W168" t="s">
        <v>991</v>
      </c>
      <c r="X168">
        <v>354667.982107</v>
      </c>
      <c r="Y168" s="2">
        <v>44866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108.91</v>
      </c>
      <c r="F169">
        <v>59</v>
      </c>
      <c r="G169">
        <v>1.84593220338983</v>
      </c>
      <c r="H169">
        <v>0.008263703975759802</v>
      </c>
      <c r="I169">
        <v>-0.1153798028374087</v>
      </c>
      <c r="J169">
        <v>0.07000000000000001</v>
      </c>
      <c r="K169">
        <v>-0.04030236074588756</v>
      </c>
      <c r="L169" t="s">
        <v>872</v>
      </c>
      <c r="M169" t="s">
        <v>586</v>
      </c>
      <c r="N169">
        <v>48.19026548672566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906</v>
      </c>
      <c r="U169">
        <v>0.048773606072891</v>
      </c>
      <c r="V169" t="s">
        <v>978</v>
      </c>
      <c r="W169" t="s">
        <v>984</v>
      </c>
      <c r="X169">
        <v>3187.703018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133.56</v>
      </c>
      <c r="F170">
        <v>60</v>
      </c>
      <c r="G170">
        <v>2.226</v>
      </c>
      <c r="H170">
        <v>0.01497454327643007</v>
      </c>
      <c r="I170">
        <v>-0.1478913617263788</v>
      </c>
      <c r="J170">
        <v>0.054</v>
      </c>
      <c r="K170">
        <v>-0.07872407956441463</v>
      </c>
      <c r="L170" t="s">
        <v>872</v>
      </c>
      <c r="M170" t="s">
        <v>873</v>
      </c>
      <c r="N170">
        <v>4.524390243902439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886</v>
      </c>
      <c r="U170">
        <v>0.215137358013346</v>
      </c>
      <c r="V170" t="s">
        <v>978</v>
      </c>
      <c r="W170" t="s">
        <v>989</v>
      </c>
      <c r="X170">
        <v>34964.061897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28.25</v>
      </c>
      <c r="F171">
        <v>46</v>
      </c>
      <c r="G171">
        <v>0.6141304347826086</v>
      </c>
      <c r="H171">
        <v>0.07221238938053097</v>
      </c>
      <c r="I171">
        <v>0.1024220112916276</v>
      </c>
      <c r="J171">
        <v>0.07000000000000001</v>
      </c>
      <c r="K171">
        <v>0.2153149140260018</v>
      </c>
      <c r="L171" t="s">
        <v>873</v>
      </c>
      <c r="M171" t="s">
        <v>872</v>
      </c>
      <c r="N171">
        <v>11.77083333333333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-0.6000396420885711</v>
      </c>
      <c r="V171" t="s">
        <v>978</v>
      </c>
      <c r="W171" t="s">
        <v>983</v>
      </c>
      <c r="X171">
        <v>10976.991901</v>
      </c>
      <c r="Y171" s="2">
        <v>44865</v>
      </c>
      <c r="Z171" t="s">
        <v>996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869</v>
      </c>
      <c r="D172">
        <v>58</v>
      </c>
      <c r="E172">
        <v>50.58</v>
      </c>
      <c r="F172">
        <v>73</v>
      </c>
      <c r="G172">
        <v>0.6928767123287671</v>
      </c>
      <c r="H172">
        <v>0.02293396599446421</v>
      </c>
      <c r="I172">
        <v>0.07614008090563784</v>
      </c>
      <c r="J172">
        <v>0.1</v>
      </c>
      <c r="K172">
        <v>0.1990506252706146</v>
      </c>
      <c r="L172" t="s">
        <v>873</v>
      </c>
      <c r="M172" t="s">
        <v>568</v>
      </c>
      <c r="N172">
        <v>13.85753424657534</v>
      </c>
      <c r="O172">
        <v>3.65</v>
      </c>
      <c r="P172">
        <v>1.16</v>
      </c>
      <c r="Q172">
        <v>0.3178082191780822</v>
      </c>
      <c r="R172">
        <v>6</v>
      </c>
      <c r="S172">
        <v>0.1002128764755552</v>
      </c>
      <c r="T172" t="s">
        <v>889</v>
      </c>
      <c r="U172">
        <v>-0.343708397885542</v>
      </c>
      <c r="V172" t="s">
        <v>978</v>
      </c>
      <c r="W172" t="s">
        <v>988</v>
      </c>
      <c r="X172">
        <v>25498.42799</v>
      </c>
      <c r="Y172" s="2">
        <v>44776</v>
      </c>
      <c r="Z172" t="s">
        <v>995</v>
      </c>
    </row>
    <row r="173" spans="1:26">
      <c r="A173" s="1" t="s">
        <v>197</v>
      </c>
      <c r="B173">
        <f>HYPERLINK("https://www.suredividend.com/sure-analysis-PNGAY/","Ping AN Insurance (Group) Co. of China, Ltd.")</f>
        <v>0</v>
      </c>
      <c r="C173" t="s">
        <v>869</v>
      </c>
      <c r="D173">
        <v>10.97</v>
      </c>
      <c r="E173">
        <v>9.09</v>
      </c>
      <c r="F173">
        <v>14.95</v>
      </c>
      <c r="G173">
        <v>0.6080267558528428</v>
      </c>
      <c r="H173">
        <v>0.08030803080308031</v>
      </c>
      <c r="I173">
        <v>0.1046265105463706</v>
      </c>
      <c r="J173">
        <v>0.04</v>
      </c>
      <c r="K173">
        <v>0.1966652434670486</v>
      </c>
      <c r="L173" t="s">
        <v>873</v>
      </c>
      <c r="M173" t="s">
        <v>872</v>
      </c>
      <c r="N173">
        <v>3.952173913043478</v>
      </c>
      <c r="O173">
        <v>2.3</v>
      </c>
      <c r="P173">
        <v>0.73</v>
      </c>
      <c r="Q173">
        <v>0.3173913043478261</v>
      </c>
      <c r="R173">
        <v>12</v>
      </c>
      <c r="S173">
        <v>0.04043134889410194</v>
      </c>
      <c r="T173" t="s">
        <v>934</v>
      </c>
      <c r="U173">
        <v>-0.353024911032028</v>
      </c>
      <c r="V173" t="s">
        <v>978</v>
      </c>
      <c r="W173" t="s">
        <v>986</v>
      </c>
      <c r="X173">
        <v>33849.237065</v>
      </c>
      <c r="Y173" s="2">
        <v>44796</v>
      </c>
      <c r="Z173" t="s">
        <v>1000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48.85</v>
      </c>
      <c r="F174">
        <v>76</v>
      </c>
      <c r="G174">
        <v>0.6427631578947368</v>
      </c>
      <c r="H174">
        <v>0.06550665301944729</v>
      </c>
      <c r="I174">
        <v>0.09242040812569363</v>
      </c>
      <c r="J174">
        <v>0.05</v>
      </c>
      <c r="K174">
        <v>0.1879073144678243</v>
      </c>
      <c r="L174" t="s">
        <v>873</v>
      </c>
      <c r="M174" t="s">
        <v>872</v>
      </c>
      <c r="N174">
        <v>7.291044776119403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923</v>
      </c>
      <c r="U174">
        <v>-0.227070414913664</v>
      </c>
      <c r="V174" t="s">
        <v>978</v>
      </c>
      <c r="W174" t="s">
        <v>986</v>
      </c>
      <c r="X174">
        <v>58198.203161</v>
      </c>
      <c r="Y174" s="2">
        <v>44796</v>
      </c>
      <c r="Z174" t="s">
        <v>1005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869</v>
      </c>
      <c r="D175">
        <v>32</v>
      </c>
      <c r="E175">
        <v>31</v>
      </c>
      <c r="F175">
        <v>43</v>
      </c>
      <c r="G175">
        <v>0.7209302325581395</v>
      </c>
      <c r="H175">
        <v>0.03483870967741936</v>
      </c>
      <c r="I175">
        <v>0.06763143454990095</v>
      </c>
      <c r="J175">
        <v>0.08</v>
      </c>
      <c r="K175">
        <v>0.1776654317363864</v>
      </c>
      <c r="L175" t="s">
        <v>873</v>
      </c>
      <c r="M175" t="s">
        <v>872</v>
      </c>
      <c r="N175">
        <v>8.659217877094973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935</v>
      </c>
      <c r="U175">
        <v>-0.4005700385568821</v>
      </c>
      <c r="V175" t="s">
        <v>978</v>
      </c>
      <c r="W175" t="s">
        <v>985</v>
      </c>
      <c r="X175">
        <v>133732.893889</v>
      </c>
      <c r="Y175" s="2">
        <v>44867</v>
      </c>
      <c r="Z175" t="s">
        <v>1005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869</v>
      </c>
      <c r="D176">
        <v>35</v>
      </c>
      <c r="E176">
        <v>37.24</v>
      </c>
      <c r="F176">
        <v>57</v>
      </c>
      <c r="G176">
        <v>0.6533333333333333</v>
      </c>
      <c r="H176">
        <v>0.07008592910848549</v>
      </c>
      <c r="I176">
        <v>0.08886248881996539</v>
      </c>
      <c r="J176">
        <v>0.04</v>
      </c>
      <c r="K176">
        <v>0.1744140933581719</v>
      </c>
      <c r="L176" t="s">
        <v>873</v>
      </c>
      <c r="M176" t="s">
        <v>872</v>
      </c>
      <c r="N176">
        <v>7.18918918918919</v>
      </c>
      <c r="O176">
        <v>5.18</v>
      </c>
      <c r="P176">
        <v>2.61</v>
      </c>
      <c r="Q176">
        <v>0.5038610038610039</v>
      </c>
      <c r="R176">
        <v>18</v>
      </c>
      <c r="S176">
        <v>0.01988310171094443</v>
      </c>
      <c r="T176" t="s">
        <v>885</v>
      </c>
      <c r="U176">
        <v>-0.242468932886083</v>
      </c>
      <c r="V176" t="s">
        <v>978</v>
      </c>
      <c r="W176" t="s">
        <v>985</v>
      </c>
      <c r="X176">
        <v>156401.201726</v>
      </c>
      <c r="Y176" s="2">
        <v>44856</v>
      </c>
      <c r="Z176" t="s">
        <v>993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41.94</v>
      </c>
      <c r="F177">
        <v>60</v>
      </c>
      <c r="G177">
        <v>0.699</v>
      </c>
      <c r="H177">
        <v>0.01812112541726276</v>
      </c>
      <c r="I177">
        <v>0.07424802733150404</v>
      </c>
      <c r="J177">
        <v>0.08</v>
      </c>
      <c r="K177">
        <v>0.1726163671338066</v>
      </c>
      <c r="L177" t="s">
        <v>873</v>
      </c>
      <c r="M177" t="s">
        <v>568</v>
      </c>
      <c r="N177">
        <v>13.98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895</v>
      </c>
      <c r="U177">
        <v>0.07879804303874201</v>
      </c>
      <c r="V177" t="s">
        <v>978</v>
      </c>
      <c r="W177" t="s">
        <v>988</v>
      </c>
      <c r="X177">
        <v>18333.617125</v>
      </c>
      <c r="Y177" s="2">
        <v>44784</v>
      </c>
      <c r="Z177" t="s">
        <v>995</v>
      </c>
    </row>
    <row r="178" spans="1:26">
      <c r="A178" s="1" t="s">
        <v>202</v>
      </c>
      <c r="B178">
        <f>HYPERLINK("https://www.suredividend.com/sure-analysis-BR/","Broadridge Financial Solutions, Inc.")</f>
        <v>0</v>
      </c>
      <c r="C178" t="s">
        <v>870</v>
      </c>
      <c r="D178">
        <v>183</v>
      </c>
      <c r="E178">
        <v>133.44</v>
      </c>
      <c r="F178">
        <v>176</v>
      </c>
      <c r="G178">
        <v>0.7581818181818182</v>
      </c>
      <c r="H178">
        <v>0.0217326139088729</v>
      </c>
      <c r="I178">
        <v>0.05692781401311753</v>
      </c>
      <c r="J178">
        <v>0.09</v>
      </c>
      <c r="K178">
        <v>0.1681638589797687</v>
      </c>
      <c r="L178" t="s">
        <v>873</v>
      </c>
      <c r="M178" t="s">
        <v>568</v>
      </c>
      <c r="N178">
        <v>18.95454545454545</v>
      </c>
      <c r="O178">
        <v>7.04</v>
      </c>
      <c r="P178">
        <v>2.9</v>
      </c>
      <c r="Q178">
        <v>0.4119318181818182</v>
      </c>
      <c r="R178">
        <v>16</v>
      </c>
      <c r="S178">
        <v>0.09997743607811183</v>
      </c>
      <c r="T178" t="s">
        <v>883</v>
      </c>
      <c r="U178">
        <v>-0.207929254976262</v>
      </c>
      <c r="V178" t="s">
        <v>978</v>
      </c>
      <c r="W178" t="s">
        <v>982</v>
      </c>
      <c r="X178">
        <v>15699.926301</v>
      </c>
      <c r="Y178" s="2">
        <v>44785</v>
      </c>
      <c r="Z178" t="s">
        <v>998</v>
      </c>
    </row>
    <row r="179" spans="1:26">
      <c r="A179" s="1" t="s">
        <v>203</v>
      </c>
      <c r="B179">
        <f>HYPERLINK("https://www.suredividend.com/sure-analysis-CTSH/","Cognizant Technology Solutions Corp.")</f>
        <v>0</v>
      </c>
      <c r="C179" t="s">
        <v>869</v>
      </c>
      <c r="D179">
        <v>69</v>
      </c>
      <c r="E179">
        <v>52.63</v>
      </c>
      <c r="F179">
        <v>73</v>
      </c>
      <c r="G179">
        <v>0.7209589041095891</v>
      </c>
      <c r="H179">
        <v>0.02052061561846855</v>
      </c>
      <c r="I179">
        <v>0.06762294276586722</v>
      </c>
      <c r="J179">
        <v>0.08</v>
      </c>
      <c r="K179">
        <v>0.1674558194514799</v>
      </c>
      <c r="L179" t="s">
        <v>873</v>
      </c>
      <c r="M179" t="s">
        <v>568</v>
      </c>
      <c r="N179">
        <v>11.56703296703297</v>
      </c>
      <c r="O179">
        <v>4.55</v>
      </c>
      <c r="P179">
        <v>1.08</v>
      </c>
      <c r="Q179">
        <v>0.2373626373626374</v>
      </c>
      <c r="R179">
        <v>3</v>
      </c>
      <c r="S179">
        <v>0.08178074106640287</v>
      </c>
      <c r="T179" t="s">
        <v>895</v>
      </c>
      <c r="U179">
        <v>-0.329145645373871</v>
      </c>
      <c r="V179" t="s">
        <v>978</v>
      </c>
      <c r="W179" t="s">
        <v>982</v>
      </c>
      <c r="X179">
        <v>27047.684966</v>
      </c>
      <c r="Y179" s="2">
        <v>44792</v>
      </c>
      <c r="Z179" t="s">
        <v>996</v>
      </c>
    </row>
    <row r="180" spans="1:26">
      <c r="A180" s="1" t="s">
        <v>204</v>
      </c>
      <c r="B180">
        <f>HYPERLINK("https://www.suredividend.com/sure-analysis-NUS/","Nu Skin Enterprises, Inc.")</f>
        <v>0</v>
      </c>
      <c r="C180" t="s">
        <v>869</v>
      </c>
      <c r="D180">
        <v>43</v>
      </c>
      <c r="E180">
        <v>34.15</v>
      </c>
      <c r="F180">
        <v>54</v>
      </c>
      <c r="G180">
        <v>0.6324074074074074</v>
      </c>
      <c r="H180">
        <v>0.04509516837481699</v>
      </c>
      <c r="I180">
        <v>0.09597490581498835</v>
      </c>
      <c r="J180">
        <v>0.039</v>
      </c>
      <c r="K180">
        <v>0.1660478002897419</v>
      </c>
      <c r="L180" t="s">
        <v>873</v>
      </c>
      <c r="M180" t="s">
        <v>872</v>
      </c>
      <c r="N180">
        <v>9.985380116959064</v>
      </c>
      <c r="O180">
        <v>3.42</v>
      </c>
      <c r="P180">
        <v>1.54</v>
      </c>
      <c r="Q180">
        <v>0.4502923976608187</v>
      </c>
      <c r="R180">
        <v>22</v>
      </c>
      <c r="S180">
        <v>0.02235457602127711</v>
      </c>
      <c r="T180" t="s">
        <v>906</v>
      </c>
      <c r="U180">
        <v>-0.171904401637277</v>
      </c>
      <c r="V180" t="s">
        <v>978</v>
      </c>
      <c r="W180" t="s">
        <v>990</v>
      </c>
      <c r="X180">
        <v>1687.699898</v>
      </c>
      <c r="Y180" s="2">
        <v>44781</v>
      </c>
      <c r="Z180" t="s">
        <v>1003</v>
      </c>
    </row>
    <row r="181" spans="1:26">
      <c r="A181" s="1" t="s">
        <v>205</v>
      </c>
      <c r="B181">
        <f>HYPERLINK("https://www.suredividend.com/sure-analysis-WU/","Western Union Company")</f>
        <v>0</v>
      </c>
      <c r="C181" t="s">
        <v>870</v>
      </c>
      <c r="D181">
        <v>16</v>
      </c>
      <c r="E181">
        <v>12.81</v>
      </c>
      <c r="F181">
        <v>20</v>
      </c>
      <c r="G181">
        <v>0.6405000000000001</v>
      </c>
      <c r="H181">
        <v>0.07650273224043716</v>
      </c>
      <c r="I181">
        <v>0.09319131615360376</v>
      </c>
      <c r="J181">
        <v>0.02</v>
      </c>
      <c r="K181">
        <v>0.165889130520968</v>
      </c>
      <c r="L181" t="s">
        <v>873</v>
      </c>
      <c r="M181" t="s">
        <v>872</v>
      </c>
      <c r="N181">
        <v>7.116666666666667</v>
      </c>
      <c r="O181">
        <v>1.8</v>
      </c>
      <c r="P181">
        <v>0.98</v>
      </c>
      <c r="Q181">
        <v>0.5444444444444444</v>
      </c>
      <c r="R181">
        <v>7</v>
      </c>
      <c r="S181">
        <v>0.03959498820755258</v>
      </c>
      <c r="T181" t="s">
        <v>887</v>
      </c>
      <c r="U181">
        <v>-0.24058287191283</v>
      </c>
      <c r="V181" t="s">
        <v>978</v>
      </c>
      <c r="W181" t="s">
        <v>982</v>
      </c>
      <c r="X181">
        <v>4946.84805</v>
      </c>
      <c r="Y181" s="2">
        <v>44777</v>
      </c>
      <c r="Z181" t="s">
        <v>1007</v>
      </c>
    </row>
    <row r="182" spans="1:26">
      <c r="A182" s="1" t="s">
        <v>206</v>
      </c>
      <c r="B182">
        <f>HYPERLINK("https://www.suredividend.com/sure-analysis-GWLIF/","Great-West Lifeco Inc.")</f>
        <v>0</v>
      </c>
      <c r="C182" t="s">
        <v>869</v>
      </c>
      <c r="D182">
        <v>31</v>
      </c>
      <c r="E182">
        <v>22.42</v>
      </c>
      <c r="F182">
        <v>31</v>
      </c>
      <c r="G182">
        <v>0.7232258064516129</v>
      </c>
      <c r="H182">
        <v>0.06824264049955396</v>
      </c>
      <c r="I182">
        <v>0.0669528236898238</v>
      </c>
      <c r="J182">
        <v>0.04</v>
      </c>
      <c r="K182">
        <v>0.1549435972420259</v>
      </c>
      <c r="L182" t="s">
        <v>873</v>
      </c>
      <c r="M182" t="s">
        <v>872</v>
      </c>
      <c r="N182">
        <v>7.950354609929079</v>
      </c>
      <c r="O182">
        <v>2.82</v>
      </c>
      <c r="P182">
        <v>1.53</v>
      </c>
      <c r="Q182">
        <v>0.5425531914893618</v>
      </c>
      <c r="R182">
        <v>6</v>
      </c>
      <c r="S182">
        <v>0.02957115609465299</v>
      </c>
      <c r="T182" t="s">
        <v>874</v>
      </c>
      <c r="U182">
        <v>-0.256631299734748</v>
      </c>
      <c r="V182" t="s">
        <v>978</v>
      </c>
      <c r="W182" t="s">
        <v>986</v>
      </c>
      <c r="X182">
        <v>20891.368752</v>
      </c>
      <c r="Y182" s="2">
        <v>44783</v>
      </c>
      <c r="Z182" t="s">
        <v>998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869</v>
      </c>
      <c r="D183">
        <v>109</v>
      </c>
      <c r="E183">
        <v>84.47</v>
      </c>
      <c r="F183">
        <v>109</v>
      </c>
      <c r="G183">
        <v>0.7749541284403669</v>
      </c>
      <c r="H183">
        <v>0.03551556765715639</v>
      </c>
      <c r="I183">
        <v>0.05231267327596489</v>
      </c>
      <c r="J183">
        <v>0.07000000000000001</v>
      </c>
      <c r="K183">
        <v>0.1512046539786214</v>
      </c>
      <c r="L183" t="s">
        <v>873</v>
      </c>
      <c r="M183" t="s">
        <v>873</v>
      </c>
      <c r="N183">
        <v>11.65103448275862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901</v>
      </c>
      <c r="U183">
        <v>-0.292308388328073</v>
      </c>
      <c r="V183" t="s">
        <v>978</v>
      </c>
      <c r="W183" t="s">
        <v>986</v>
      </c>
      <c r="X183">
        <v>17604.871898</v>
      </c>
      <c r="Y183" s="2">
        <v>44853</v>
      </c>
      <c r="Z183" t="s">
        <v>1002</v>
      </c>
    </row>
    <row r="184" spans="1:26">
      <c r="A184" s="1" t="s">
        <v>208</v>
      </c>
      <c r="B184">
        <f>HYPERLINK("https://www.suredividend.com/sure-analysis-LAZ/","Lazard Ltd.")</f>
        <v>0</v>
      </c>
      <c r="C184" t="s">
        <v>869</v>
      </c>
      <c r="D184">
        <v>39</v>
      </c>
      <c r="E184">
        <v>34.97</v>
      </c>
      <c r="F184">
        <v>47</v>
      </c>
      <c r="G184">
        <v>0.7440425531914894</v>
      </c>
      <c r="H184">
        <v>0.05719187875321705</v>
      </c>
      <c r="I184">
        <v>0.06091464650867939</v>
      </c>
      <c r="J184">
        <v>0.05</v>
      </c>
      <c r="K184">
        <v>0.148846899860047</v>
      </c>
      <c r="L184" t="s">
        <v>873</v>
      </c>
      <c r="M184" t="s">
        <v>872</v>
      </c>
      <c r="N184">
        <v>8.208920187793428</v>
      </c>
      <c r="O184">
        <v>4.26</v>
      </c>
      <c r="P184">
        <v>2</v>
      </c>
      <c r="Q184">
        <v>0.4694835680751174</v>
      </c>
      <c r="R184">
        <v>1</v>
      </c>
      <c r="S184">
        <v>0</v>
      </c>
      <c r="T184" t="s">
        <v>919</v>
      </c>
      <c r="U184">
        <v>-0.232738817448006</v>
      </c>
      <c r="V184" t="s">
        <v>979</v>
      </c>
      <c r="W184" t="s">
        <v>986</v>
      </c>
      <c r="X184">
        <v>3943.430202</v>
      </c>
      <c r="Y184" s="2">
        <v>44777</v>
      </c>
      <c r="Z184" t="s">
        <v>1007</v>
      </c>
    </row>
    <row r="185" spans="1:26">
      <c r="A185" s="1" t="s">
        <v>209</v>
      </c>
      <c r="B185">
        <f>HYPERLINK("https://www.suredividend.com/sure-analysis-FMS/","Fresenius Medical Care AG &amp; Co. KGaA")</f>
        <v>0</v>
      </c>
      <c r="C185" t="s">
        <v>869</v>
      </c>
      <c r="D185">
        <v>14</v>
      </c>
      <c r="E185">
        <v>14.28</v>
      </c>
      <c r="F185">
        <v>21</v>
      </c>
      <c r="G185">
        <v>0.6799999999999999</v>
      </c>
      <c r="H185">
        <v>0.04971988795518207</v>
      </c>
      <c r="I185">
        <v>0.0801851873035635</v>
      </c>
      <c r="J185">
        <v>0.03</v>
      </c>
      <c r="K185">
        <v>0.1459374098436803</v>
      </c>
      <c r="L185" t="s">
        <v>873</v>
      </c>
      <c r="M185" t="s">
        <v>872</v>
      </c>
      <c r="N185">
        <v>9.037974683544302</v>
      </c>
      <c r="O185">
        <v>1.58</v>
      </c>
      <c r="P185">
        <v>0.71</v>
      </c>
      <c r="Q185">
        <v>0.4493670886075949</v>
      </c>
      <c r="R185">
        <v>24</v>
      </c>
      <c r="S185">
        <v>0.02922683428943285</v>
      </c>
      <c r="T185" t="s">
        <v>936</v>
      </c>
      <c r="U185">
        <v>-0.572295020591538</v>
      </c>
      <c r="V185" t="s">
        <v>978</v>
      </c>
      <c r="W185" t="s">
        <v>988</v>
      </c>
      <c r="X185">
        <v>8379.888102999999</v>
      </c>
      <c r="Y185" s="2">
        <v>44866</v>
      </c>
      <c r="Z185" t="s">
        <v>993</v>
      </c>
    </row>
    <row r="186" spans="1:26">
      <c r="A186" s="1" t="s">
        <v>210</v>
      </c>
      <c r="B186">
        <f>HYPERLINK("https://www.suredividend.com/sure-analysis-ICE/","Intercontinental Exchange Inc")</f>
        <v>0</v>
      </c>
      <c r="C186" t="s">
        <v>869</v>
      </c>
      <c r="D186">
        <v>110</v>
      </c>
      <c r="E186">
        <v>96.62</v>
      </c>
      <c r="F186">
        <v>117</v>
      </c>
      <c r="G186">
        <v>0.8258119658119658</v>
      </c>
      <c r="H186">
        <v>0.01573173256054647</v>
      </c>
      <c r="I186">
        <v>0.03901966120090394</v>
      </c>
      <c r="J186">
        <v>0.09</v>
      </c>
      <c r="K186">
        <v>0.1458275382021452</v>
      </c>
      <c r="L186" t="s">
        <v>873</v>
      </c>
      <c r="M186" t="s">
        <v>568</v>
      </c>
      <c r="N186">
        <v>17.28443649373882</v>
      </c>
      <c r="O186">
        <v>5.59</v>
      </c>
      <c r="P186">
        <v>1.52</v>
      </c>
      <c r="Q186">
        <v>0.2719141323792487</v>
      </c>
      <c r="R186">
        <v>10</v>
      </c>
      <c r="S186">
        <v>0.1201037242237235</v>
      </c>
      <c r="T186" t="s">
        <v>887</v>
      </c>
      <c r="U186">
        <v>-0.282923759254751</v>
      </c>
      <c r="V186" t="s">
        <v>978</v>
      </c>
      <c r="W186" t="s">
        <v>986</v>
      </c>
      <c r="X186">
        <v>53967.258008</v>
      </c>
      <c r="Y186" s="2">
        <v>44785</v>
      </c>
      <c r="Z186" t="s">
        <v>1007</v>
      </c>
    </row>
    <row r="187" spans="1:26">
      <c r="A187" s="1" t="s">
        <v>211</v>
      </c>
      <c r="B187">
        <f>HYPERLINK("https://www.suredividend.com/sure-analysis-FDX/","Fedex Corp")</f>
        <v>0</v>
      </c>
      <c r="C187" t="s">
        <v>869</v>
      </c>
      <c r="D187">
        <v>149</v>
      </c>
      <c r="E187">
        <v>156.66</v>
      </c>
      <c r="F187">
        <v>210</v>
      </c>
      <c r="G187">
        <v>0.746</v>
      </c>
      <c r="H187">
        <v>0.02936295161496234</v>
      </c>
      <c r="I187">
        <v>0.06035730949780627</v>
      </c>
      <c r="J187">
        <v>0.06</v>
      </c>
      <c r="K187">
        <v>0.1451610440032087</v>
      </c>
      <c r="L187" t="s">
        <v>873</v>
      </c>
      <c r="M187" t="s">
        <v>873</v>
      </c>
      <c r="N187">
        <v>8.952</v>
      </c>
      <c r="O187">
        <v>17.5</v>
      </c>
      <c r="P187">
        <v>4.6</v>
      </c>
      <c r="Q187">
        <v>0.2628571428571428</v>
      </c>
      <c r="R187">
        <v>2</v>
      </c>
      <c r="S187">
        <v>0.06014330757368569</v>
      </c>
      <c r="T187" t="s">
        <v>889</v>
      </c>
      <c r="U187">
        <v>-0.3496468224398001</v>
      </c>
      <c r="V187" t="s">
        <v>978</v>
      </c>
      <c r="W187" t="s">
        <v>984</v>
      </c>
      <c r="X187">
        <v>40766.032615</v>
      </c>
      <c r="Y187" s="2">
        <v>44830</v>
      </c>
      <c r="Z187" t="s">
        <v>1000</v>
      </c>
    </row>
    <row r="188" spans="1:26">
      <c r="A188" s="1" t="s">
        <v>212</v>
      </c>
      <c r="B188">
        <f>HYPERLINK("https://www.suredividend.com/sure-analysis-OTTR/","Otter Tail Corporation")</f>
        <v>0</v>
      </c>
      <c r="C188" t="s">
        <v>870</v>
      </c>
      <c r="D188">
        <v>75.7</v>
      </c>
      <c r="E188">
        <v>55.74</v>
      </c>
      <c r="F188">
        <v>133</v>
      </c>
      <c r="G188">
        <v>0.4190977443609022</v>
      </c>
      <c r="H188">
        <v>0.02960172228202368</v>
      </c>
      <c r="I188">
        <v>0.189972528108189</v>
      </c>
      <c r="J188">
        <v>-0.055</v>
      </c>
      <c r="K188">
        <v>0.1435127381078651</v>
      </c>
      <c r="L188" t="s">
        <v>873</v>
      </c>
      <c r="M188" t="s">
        <v>873</v>
      </c>
      <c r="N188">
        <v>8.394578313253012</v>
      </c>
      <c r="O188">
        <v>6.64</v>
      </c>
      <c r="P188">
        <v>1.65</v>
      </c>
      <c r="Q188">
        <v>0.2484939759036145</v>
      </c>
      <c r="R188">
        <v>9</v>
      </c>
      <c r="S188">
        <v>0.01980582613029425</v>
      </c>
      <c r="T188" t="s">
        <v>905</v>
      </c>
      <c r="U188">
        <v>-0.102663996445428</v>
      </c>
      <c r="V188" t="s">
        <v>978</v>
      </c>
      <c r="W188" t="s">
        <v>987</v>
      </c>
      <c r="X188">
        <v>2320.509264</v>
      </c>
      <c r="Y188" s="2">
        <v>44778</v>
      </c>
      <c r="Z188" t="s">
        <v>999</v>
      </c>
    </row>
    <row r="189" spans="1:26">
      <c r="A189" s="1" t="s">
        <v>213</v>
      </c>
      <c r="B189">
        <f>HYPERLINK("https://www.suredividend.com/sure-analysis-SLF/","Sun Life Financial, Inc.")</f>
        <v>0</v>
      </c>
      <c r="C189" t="s">
        <v>869</v>
      </c>
      <c r="D189">
        <v>46</v>
      </c>
      <c r="E189">
        <v>44.48</v>
      </c>
      <c r="F189">
        <v>52</v>
      </c>
      <c r="G189">
        <v>0.8553846153846153</v>
      </c>
      <c r="H189">
        <v>0.04811151079136691</v>
      </c>
      <c r="I189">
        <v>0.03173392966687461</v>
      </c>
      <c r="J189">
        <v>0.07000000000000001</v>
      </c>
      <c r="K189">
        <v>0.1422203460395246</v>
      </c>
      <c r="L189" t="s">
        <v>873</v>
      </c>
      <c r="M189" t="s">
        <v>872</v>
      </c>
      <c r="N189">
        <v>9.463829787234042</v>
      </c>
      <c r="O189">
        <v>4.7</v>
      </c>
      <c r="P189">
        <v>2.14</v>
      </c>
      <c r="Q189">
        <v>0.4553191489361702</v>
      </c>
      <c r="R189">
        <v>8</v>
      </c>
      <c r="S189">
        <v>0.07970018290802217</v>
      </c>
      <c r="T189" t="s">
        <v>931</v>
      </c>
      <c r="U189">
        <v>-0.197712904593129</v>
      </c>
      <c r="V189" t="s">
        <v>978</v>
      </c>
      <c r="W189" t="s">
        <v>986</v>
      </c>
      <c r="X189">
        <v>26070.697041</v>
      </c>
      <c r="Y189" s="2">
        <v>44797</v>
      </c>
      <c r="Z189" t="s">
        <v>994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94.17</v>
      </c>
      <c r="F190">
        <v>119</v>
      </c>
      <c r="G190">
        <v>0.791344537815126</v>
      </c>
      <c r="H190">
        <v>0.045662100456621</v>
      </c>
      <c r="I190">
        <v>0.04791698158674484</v>
      </c>
      <c r="J190">
        <v>0.055</v>
      </c>
      <c r="K190">
        <v>0.1410802768026671</v>
      </c>
      <c r="L190" t="s">
        <v>873</v>
      </c>
      <c r="M190" t="s">
        <v>872</v>
      </c>
      <c r="N190">
        <v>8.768156424581006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-0.110554059555191</v>
      </c>
      <c r="V190" t="s">
        <v>978</v>
      </c>
      <c r="W190" t="s">
        <v>986</v>
      </c>
      <c r="X190">
        <v>63778.423048</v>
      </c>
      <c r="Y190" s="2">
        <v>44804</v>
      </c>
      <c r="Z190" t="s">
        <v>1005</v>
      </c>
    </row>
    <row r="191" spans="1:26">
      <c r="A191" s="1" t="s">
        <v>215</v>
      </c>
      <c r="B191">
        <f>HYPERLINK("https://www.suredividend.com/sure-analysis-CM/","Canadian Imperial Bank Of Commerce")</f>
        <v>0</v>
      </c>
      <c r="C191" t="s">
        <v>869</v>
      </c>
      <c r="D191">
        <v>49</v>
      </c>
      <c r="E191">
        <v>46.32</v>
      </c>
      <c r="F191">
        <v>58</v>
      </c>
      <c r="G191">
        <v>0.7986206896551724</v>
      </c>
      <c r="H191">
        <v>0.0559153713298791</v>
      </c>
      <c r="I191">
        <v>0.04600049142514595</v>
      </c>
      <c r="J191">
        <v>0.05</v>
      </c>
      <c r="K191">
        <v>0.1408330133598494</v>
      </c>
      <c r="L191" t="s">
        <v>873</v>
      </c>
      <c r="M191" t="s">
        <v>872</v>
      </c>
      <c r="N191">
        <v>7.986206896551725</v>
      </c>
      <c r="O191">
        <v>5.8</v>
      </c>
      <c r="P191">
        <v>2.59</v>
      </c>
      <c r="Q191">
        <v>0.446551724137931</v>
      </c>
      <c r="R191">
        <v>11</v>
      </c>
      <c r="S191">
        <v>0.06024428980246133</v>
      </c>
      <c r="T191" t="s">
        <v>937</v>
      </c>
      <c r="U191">
        <v>-0.192120735393378</v>
      </c>
      <c r="V191" t="s">
        <v>978</v>
      </c>
      <c r="W191" t="s">
        <v>986</v>
      </c>
      <c r="X191">
        <v>41925.277767</v>
      </c>
      <c r="Y191" s="2">
        <v>44802</v>
      </c>
      <c r="Z191" t="s">
        <v>1005</v>
      </c>
    </row>
    <row r="192" spans="1:26">
      <c r="A192" s="1" t="s">
        <v>216</v>
      </c>
      <c r="B192">
        <f>HYPERLINK("https://www.suredividend.com/sure-analysis-OGN/","Organon &amp; Co.")</f>
        <v>0</v>
      </c>
      <c r="C192" t="s">
        <v>870</v>
      </c>
      <c r="D192">
        <v>31</v>
      </c>
      <c r="E192">
        <v>24.35</v>
      </c>
      <c r="F192">
        <v>35</v>
      </c>
      <c r="G192">
        <v>0.6957142857142857</v>
      </c>
      <c r="H192">
        <v>0.04599589322381931</v>
      </c>
      <c r="I192">
        <v>0.07526080600546448</v>
      </c>
      <c r="J192">
        <v>0.03</v>
      </c>
      <c r="K192">
        <v>0.1391234006399664</v>
      </c>
      <c r="L192" t="s">
        <v>873</v>
      </c>
      <c r="M192" t="s">
        <v>872</v>
      </c>
      <c r="N192">
        <v>4.91919191919192</v>
      </c>
      <c r="O192">
        <v>4.95</v>
      </c>
      <c r="P192">
        <v>1.12</v>
      </c>
      <c r="Q192">
        <v>0.2262626262626263</v>
      </c>
      <c r="R192">
        <v>1</v>
      </c>
      <c r="S192">
        <v>0.03025579475561258</v>
      </c>
      <c r="T192" t="s">
        <v>905</v>
      </c>
      <c r="U192">
        <v>-0.305448591786323</v>
      </c>
      <c r="V192" t="s">
        <v>978</v>
      </c>
      <c r="W192" t="s">
        <v>988</v>
      </c>
      <c r="X192">
        <v>6192.931921</v>
      </c>
      <c r="Y192" s="2">
        <v>44788</v>
      </c>
      <c r="Z192" t="s">
        <v>993</v>
      </c>
    </row>
    <row r="193" spans="1:26">
      <c r="A193" s="1" t="s">
        <v>217</v>
      </c>
      <c r="B193">
        <f>HYPERLINK("https://www.suredividend.com/sure-analysis-T/","AT&amp;T, Inc.")</f>
        <v>0</v>
      </c>
      <c r="C193" t="s">
        <v>869</v>
      </c>
      <c r="D193">
        <v>17</v>
      </c>
      <c r="E193">
        <v>18.32</v>
      </c>
      <c r="F193">
        <v>26</v>
      </c>
      <c r="G193">
        <v>0.7046153846153846</v>
      </c>
      <c r="H193">
        <v>0.06058951965065502</v>
      </c>
      <c r="I193">
        <v>0.07253031349874406</v>
      </c>
      <c r="J193">
        <v>0.02</v>
      </c>
      <c r="K193">
        <v>0.135685741413242</v>
      </c>
      <c r="L193" t="s">
        <v>873</v>
      </c>
      <c r="M193" t="s">
        <v>872</v>
      </c>
      <c r="N193">
        <v>7.184313725490196</v>
      </c>
      <c r="O193">
        <v>2.55</v>
      </c>
      <c r="P193">
        <v>1.11</v>
      </c>
      <c r="Q193">
        <v>0.4352941176470589</v>
      </c>
      <c r="R193">
        <v>0</v>
      </c>
      <c r="S193">
        <v>0.02074303809479527</v>
      </c>
      <c r="T193" t="s">
        <v>885</v>
      </c>
      <c r="U193">
        <v>0.03918498854173701</v>
      </c>
      <c r="V193" t="s">
        <v>978</v>
      </c>
      <c r="W193" t="s">
        <v>985</v>
      </c>
      <c r="X193">
        <v>130621.6</v>
      </c>
      <c r="Y193" s="2">
        <v>44855</v>
      </c>
      <c r="Z193" t="s">
        <v>996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69.4198</v>
      </c>
      <c r="F194">
        <v>84</v>
      </c>
      <c r="G194">
        <v>0.8264261904761904</v>
      </c>
      <c r="H194">
        <v>0.04134267168732841</v>
      </c>
      <c r="I194">
        <v>0.0388651691667119</v>
      </c>
      <c r="J194">
        <v>0.06</v>
      </c>
      <c r="K194">
        <v>0.1348286699509496</v>
      </c>
      <c r="L194" t="s">
        <v>873</v>
      </c>
      <c r="M194" t="s">
        <v>872</v>
      </c>
      <c r="N194">
        <v>9.050821382007822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938</v>
      </c>
      <c r="U194">
        <v>-0.170115959354453</v>
      </c>
      <c r="V194" t="s">
        <v>978</v>
      </c>
      <c r="W194" t="s">
        <v>986</v>
      </c>
      <c r="X194">
        <v>23365.303997</v>
      </c>
      <c r="Y194" s="2">
        <v>44798</v>
      </c>
      <c r="Z194" t="s">
        <v>1005</v>
      </c>
    </row>
    <row r="195" spans="1:26">
      <c r="A195" s="1" t="s">
        <v>219</v>
      </c>
      <c r="B195">
        <f>HYPERLINK("https://www.suredividend.com/sure-analysis-LAD/","Lithia Motors, Inc.")</f>
        <v>0</v>
      </c>
      <c r="C195" t="s">
        <v>869</v>
      </c>
      <c r="D195">
        <v>194</v>
      </c>
      <c r="E195">
        <v>199.06</v>
      </c>
      <c r="F195">
        <v>313</v>
      </c>
      <c r="G195">
        <v>0.6359744408945687</v>
      </c>
      <c r="H195">
        <v>0.008439666432231487</v>
      </c>
      <c r="I195">
        <v>0.09474272436502429</v>
      </c>
      <c r="J195">
        <v>0.03</v>
      </c>
      <c r="K195">
        <v>0.1345184209043289</v>
      </c>
      <c r="L195" t="s">
        <v>873</v>
      </c>
      <c r="M195" t="s">
        <v>637</v>
      </c>
      <c r="N195">
        <v>4.418645948945616</v>
      </c>
      <c r="O195">
        <v>45.05</v>
      </c>
      <c r="P195">
        <v>1.68</v>
      </c>
      <c r="Q195">
        <v>0.03729189789123197</v>
      </c>
      <c r="R195">
        <v>10</v>
      </c>
      <c r="S195">
        <v>0.1003529239440031</v>
      </c>
      <c r="T195" t="s">
        <v>913</v>
      </c>
      <c r="U195">
        <v>-0.39310661061353</v>
      </c>
      <c r="V195" t="s">
        <v>978</v>
      </c>
      <c r="W195" t="s">
        <v>983</v>
      </c>
      <c r="X195">
        <v>5441.984094</v>
      </c>
      <c r="Y195" s="2">
        <v>44861</v>
      </c>
      <c r="Z195" t="s">
        <v>998</v>
      </c>
    </row>
    <row r="196" spans="1:26">
      <c r="A196" s="1" t="s">
        <v>220</v>
      </c>
      <c r="B196">
        <f>HYPERLINK("https://www.suredividend.com/sure-analysis-RBGLY/","Reckitt Benckiser Group Plc")</f>
        <v>0</v>
      </c>
      <c r="C196" t="s">
        <v>869</v>
      </c>
      <c r="D196">
        <v>13.2</v>
      </c>
      <c r="E196">
        <v>13.0735</v>
      </c>
      <c r="F196">
        <v>18</v>
      </c>
      <c r="G196">
        <v>0.7263055555555555</v>
      </c>
      <c r="H196">
        <v>0.03595058706543772</v>
      </c>
      <c r="I196">
        <v>0.06604644632511358</v>
      </c>
      <c r="J196">
        <v>0.04</v>
      </c>
      <c r="K196">
        <v>0.1342368723907119</v>
      </c>
      <c r="L196" t="s">
        <v>873</v>
      </c>
      <c r="M196" t="s">
        <v>873</v>
      </c>
      <c r="N196">
        <v>10.89458333333333</v>
      </c>
      <c r="O196">
        <v>1.2</v>
      </c>
      <c r="P196">
        <v>0.47</v>
      </c>
      <c r="Q196">
        <v>0.3916666666666667</v>
      </c>
      <c r="R196">
        <v>0</v>
      </c>
      <c r="S196">
        <v>0.03933463380769542</v>
      </c>
      <c r="T196" t="s">
        <v>904</v>
      </c>
      <c r="U196">
        <v>-0.201374465485644</v>
      </c>
      <c r="V196" t="s">
        <v>978</v>
      </c>
      <c r="W196" t="s">
        <v>990</v>
      </c>
      <c r="X196">
        <v>46776.589357</v>
      </c>
      <c r="Y196" s="2">
        <v>44864</v>
      </c>
      <c r="Z196" t="s">
        <v>1004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869</v>
      </c>
      <c r="D197">
        <v>28</v>
      </c>
      <c r="E197">
        <v>28.72</v>
      </c>
      <c r="F197">
        <v>43</v>
      </c>
      <c r="G197">
        <v>0.667906976744186</v>
      </c>
      <c r="H197">
        <v>0.03447075208913649</v>
      </c>
      <c r="I197">
        <v>0.08406869664988914</v>
      </c>
      <c r="J197">
        <v>0.02</v>
      </c>
      <c r="K197">
        <v>0.1305316146574773</v>
      </c>
      <c r="L197" t="s">
        <v>873</v>
      </c>
      <c r="M197" t="s">
        <v>873</v>
      </c>
      <c r="N197">
        <v>11.26274509803922</v>
      </c>
      <c r="O197">
        <v>2.55</v>
      </c>
      <c r="P197">
        <v>0.99</v>
      </c>
      <c r="Q197">
        <v>0.3882352941176471</v>
      </c>
      <c r="R197">
        <v>12</v>
      </c>
      <c r="S197">
        <v>0.03922410156720635</v>
      </c>
      <c r="T197" t="s">
        <v>887</v>
      </c>
      <c r="U197">
        <v>-0.48984938833439</v>
      </c>
      <c r="V197" t="s">
        <v>978</v>
      </c>
      <c r="W197" t="s">
        <v>989</v>
      </c>
      <c r="X197">
        <v>2611.89821</v>
      </c>
      <c r="Y197" s="2">
        <v>44867</v>
      </c>
      <c r="Z197" t="s">
        <v>1009</v>
      </c>
    </row>
    <row r="198" spans="1:26">
      <c r="A198" s="1" t="s">
        <v>222</v>
      </c>
      <c r="B198">
        <f>HYPERLINK("https://www.suredividend.com/sure-analysis-EQIX/","Equinix Inc")</f>
        <v>0</v>
      </c>
      <c r="C198" t="s">
        <v>869</v>
      </c>
      <c r="D198">
        <v>693</v>
      </c>
      <c r="E198">
        <v>611.09</v>
      </c>
      <c r="F198">
        <v>680</v>
      </c>
      <c r="G198">
        <v>0.8986617647058824</v>
      </c>
      <c r="H198">
        <v>0.02029161007380255</v>
      </c>
      <c r="I198">
        <v>0.02159967751282532</v>
      </c>
      <c r="J198">
        <v>0.09</v>
      </c>
      <c r="K198">
        <v>0.1302533640740173</v>
      </c>
      <c r="L198" t="s">
        <v>873</v>
      </c>
      <c r="M198" t="s">
        <v>586</v>
      </c>
      <c r="N198">
        <v>21.11575673807878</v>
      </c>
      <c r="O198">
        <v>28.94</v>
      </c>
      <c r="P198">
        <v>12.4</v>
      </c>
      <c r="Q198">
        <v>0.4284727021423635</v>
      </c>
      <c r="R198">
        <v>5</v>
      </c>
      <c r="S198">
        <v>0.09001214532811175</v>
      </c>
      <c r="T198" t="s">
        <v>900</v>
      </c>
      <c r="U198">
        <v>-0.226459933614467</v>
      </c>
      <c r="V198" t="s">
        <v>980</v>
      </c>
      <c r="W198" t="s">
        <v>992</v>
      </c>
      <c r="X198">
        <v>55655.134802</v>
      </c>
      <c r="Y198" s="2">
        <v>44770</v>
      </c>
      <c r="Z198" t="s">
        <v>998</v>
      </c>
    </row>
    <row r="199" spans="1:26">
      <c r="A199" s="1" t="s">
        <v>223</v>
      </c>
      <c r="B199">
        <f>HYPERLINK("https://www.suredividend.com/sure-analysis-HD/","Home Depot, Inc.")</f>
        <v>0</v>
      </c>
      <c r="C199" t="s">
        <v>869</v>
      </c>
      <c r="D199">
        <v>292</v>
      </c>
      <c r="E199">
        <v>284.03</v>
      </c>
      <c r="F199">
        <v>338</v>
      </c>
      <c r="G199">
        <v>0.8403254437869822</v>
      </c>
      <c r="H199">
        <v>0.02675773685878252</v>
      </c>
      <c r="I199">
        <v>0.03540557081271345</v>
      </c>
      <c r="J199">
        <v>0.07000000000000001</v>
      </c>
      <c r="K199">
        <v>0.1301396478612842</v>
      </c>
      <c r="L199" t="s">
        <v>873</v>
      </c>
      <c r="M199" t="s">
        <v>873</v>
      </c>
      <c r="N199">
        <v>17.21393939393939</v>
      </c>
      <c r="O199">
        <v>16.5</v>
      </c>
      <c r="P199">
        <v>7.6</v>
      </c>
      <c r="Q199">
        <v>0.4606060606060606</v>
      </c>
      <c r="R199">
        <v>13</v>
      </c>
      <c r="S199">
        <v>0.08993395824381678</v>
      </c>
      <c r="T199" t="s">
        <v>874</v>
      </c>
      <c r="U199">
        <v>-0.219136395589906</v>
      </c>
      <c r="V199" t="s">
        <v>978</v>
      </c>
      <c r="W199" t="s">
        <v>983</v>
      </c>
      <c r="X199">
        <v>290769.021605</v>
      </c>
      <c r="Y199" s="2">
        <v>44806</v>
      </c>
      <c r="Z199" t="s">
        <v>998</v>
      </c>
    </row>
    <row r="200" spans="1:26">
      <c r="A200" s="1" t="s">
        <v>224</v>
      </c>
      <c r="B200">
        <f>HYPERLINK("https://www.suredividend.com/sure-analysis-EBAY/","EBay Inc.")</f>
        <v>0</v>
      </c>
      <c r="C200" t="s">
        <v>870</v>
      </c>
      <c r="D200">
        <v>48.8</v>
      </c>
      <c r="E200">
        <v>40.07</v>
      </c>
      <c r="F200">
        <v>48.5</v>
      </c>
      <c r="G200">
        <v>0.8261855670103093</v>
      </c>
      <c r="H200">
        <v>0.02196156725729972</v>
      </c>
      <c r="I200">
        <v>0.03892567523965784</v>
      </c>
      <c r="J200">
        <v>0.073</v>
      </c>
      <c r="K200">
        <v>0.1299905352634854</v>
      </c>
      <c r="L200" t="s">
        <v>873</v>
      </c>
      <c r="M200" t="s">
        <v>568</v>
      </c>
      <c r="N200">
        <v>9.918316831683168</v>
      </c>
      <c r="O200">
        <v>4.04</v>
      </c>
      <c r="P200">
        <v>0.88</v>
      </c>
      <c r="Q200">
        <v>0.2178217821782178</v>
      </c>
      <c r="R200">
        <v>3</v>
      </c>
      <c r="S200">
        <v>0.03197912046824536</v>
      </c>
      <c r="T200" t="s">
        <v>874</v>
      </c>
      <c r="U200">
        <v>-0.4685422646174081</v>
      </c>
      <c r="V200" t="s">
        <v>978</v>
      </c>
      <c r="W200" t="s">
        <v>983</v>
      </c>
      <c r="X200">
        <v>21744.349616</v>
      </c>
      <c r="Y200" s="2">
        <v>44781</v>
      </c>
      <c r="Z200" t="s">
        <v>999</v>
      </c>
    </row>
    <row r="201" spans="1:26">
      <c r="A201" s="1" t="s">
        <v>225</v>
      </c>
      <c r="B201">
        <f>HYPERLINK("https://www.suredividend.com/sure-analysis-RY/","Royal Bank Of Canada")</f>
        <v>0</v>
      </c>
      <c r="C201" t="s">
        <v>869</v>
      </c>
      <c r="D201">
        <v>95</v>
      </c>
      <c r="E201">
        <v>94.45</v>
      </c>
      <c r="F201">
        <v>109</v>
      </c>
      <c r="G201">
        <v>0.8665137614678899</v>
      </c>
      <c r="H201">
        <v>0.04213869772366331</v>
      </c>
      <c r="I201">
        <v>0.02906997520689858</v>
      </c>
      <c r="J201">
        <v>0.065</v>
      </c>
      <c r="K201">
        <v>0.1292808056453698</v>
      </c>
      <c r="L201" t="s">
        <v>873</v>
      </c>
      <c r="M201" t="s">
        <v>872</v>
      </c>
      <c r="N201">
        <v>10.67231638418079</v>
      </c>
      <c r="O201">
        <v>8.85</v>
      </c>
      <c r="P201">
        <v>3.98</v>
      </c>
      <c r="Q201">
        <v>0.4497175141242938</v>
      </c>
      <c r="R201">
        <v>10</v>
      </c>
      <c r="S201">
        <v>0.06488494224641284</v>
      </c>
      <c r="T201" t="s">
        <v>928</v>
      </c>
      <c r="U201">
        <v>-0.07756555437382301</v>
      </c>
      <c r="V201" t="s">
        <v>978</v>
      </c>
      <c r="W201" t="s">
        <v>986</v>
      </c>
      <c r="X201">
        <v>130924.879416</v>
      </c>
      <c r="Y201" s="2">
        <v>44797</v>
      </c>
      <c r="Z201" t="s">
        <v>1005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869</v>
      </c>
      <c r="D202">
        <v>67</v>
      </c>
      <c r="E202">
        <v>65.26000000000001</v>
      </c>
      <c r="F202">
        <v>78</v>
      </c>
      <c r="G202">
        <v>0.8366666666666668</v>
      </c>
      <c r="H202">
        <v>0.04213913576463377</v>
      </c>
      <c r="I202">
        <v>0.03630956498624616</v>
      </c>
      <c r="J202">
        <v>0.055</v>
      </c>
      <c r="K202">
        <v>0.1264770379873039</v>
      </c>
      <c r="L202" t="s">
        <v>873</v>
      </c>
      <c r="M202" t="s">
        <v>872</v>
      </c>
      <c r="N202">
        <v>10.07098765432099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885</v>
      </c>
      <c r="U202">
        <v>-0.07381914069263401</v>
      </c>
      <c r="V202" t="s">
        <v>978</v>
      </c>
      <c r="W202" t="s">
        <v>986</v>
      </c>
      <c r="X202">
        <v>118420.740855</v>
      </c>
      <c r="Y202" s="2">
        <v>44799</v>
      </c>
      <c r="Z202" t="s">
        <v>1005</v>
      </c>
    </row>
    <row r="203" spans="1:26">
      <c r="A203" s="1" t="s">
        <v>227</v>
      </c>
      <c r="B203">
        <f>HYPERLINK("https://www.suredividend.com/sure-analysis-EMN/","Eastman Chemical Co")</f>
        <v>0</v>
      </c>
      <c r="C203" t="s">
        <v>869</v>
      </c>
      <c r="D203">
        <v>75</v>
      </c>
      <c r="E203">
        <v>80.25</v>
      </c>
      <c r="F203">
        <v>90</v>
      </c>
      <c r="G203">
        <v>0.8916666666666667</v>
      </c>
      <c r="H203">
        <v>0.0378816199376947</v>
      </c>
      <c r="I203">
        <v>0.02319755494530495</v>
      </c>
      <c r="J203">
        <v>0.07000000000000001</v>
      </c>
      <c r="K203">
        <v>0.1254853520754673</v>
      </c>
      <c r="L203" t="s">
        <v>873</v>
      </c>
      <c r="M203" t="s">
        <v>872</v>
      </c>
      <c r="N203">
        <v>9.786585365853659</v>
      </c>
      <c r="O203">
        <v>8.199999999999999</v>
      </c>
      <c r="P203">
        <v>3.04</v>
      </c>
      <c r="Q203">
        <v>0.3707317073170732</v>
      </c>
      <c r="R203">
        <v>12</v>
      </c>
      <c r="S203">
        <v>0.06981135476513756</v>
      </c>
      <c r="T203" t="s">
        <v>883</v>
      </c>
      <c r="U203">
        <v>-0.234019645367799</v>
      </c>
      <c r="V203" t="s">
        <v>978</v>
      </c>
      <c r="W203" t="s">
        <v>989</v>
      </c>
      <c r="X203">
        <v>9629.226710999999</v>
      </c>
      <c r="Y203" s="2">
        <v>44862</v>
      </c>
      <c r="Z203" t="s">
        <v>1000</v>
      </c>
    </row>
    <row r="204" spans="1:26">
      <c r="A204" s="1" t="s">
        <v>228</v>
      </c>
      <c r="B204">
        <f>HYPERLINK("https://www.suredividend.com/sure-analysis-MMS/","Maximus Inc.")</f>
        <v>0</v>
      </c>
      <c r="C204" t="s">
        <v>869</v>
      </c>
      <c r="D204">
        <v>64</v>
      </c>
      <c r="E204">
        <v>57.82</v>
      </c>
      <c r="F204">
        <v>60</v>
      </c>
      <c r="G204">
        <v>0.9636666666666667</v>
      </c>
      <c r="H204">
        <v>0.01937046004842615</v>
      </c>
      <c r="I204">
        <v>0.007429427387064091</v>
      </c>
      <c r="J204">
        <v>0.1</v>
      </c>
      <c r="K204">
        <v>0.1248888332907732</v>
      </c>
      <c r="L204" t="s">
        <v>873</v>
      </c>
      <c r="M204" t="s">
        <v>586</v>
      </c>
      <c r="N204">
        <v>19.27333333333333</v>
      </c>
      <c r="O204">
        <v>3</v>
      </c>
      <c r="P204">
        <v>1.12</v>
      </c>
      <c r="Q204">
        <v>0.3733333333333334</v>
      </c>
      <c r="R204">
        <v>0</v>
      </c>
      <c r="S204">
        <v>0.09953965407958165</v>
      </c>
      <c r="T204" t="s">
        <v>905</v>
      </c>
      <c r="U204">
        <v>-0.304074450312697</v>
      </c>
      <c r="V204" t="s">
        <v>978</v>
      </c>
      <c r="W204" t="s">
        <v>982</v>
      </c>
      <c r="X204">
        <v>3550.888501</v>
      </c>
      <c r="Y204" s="2">
        <v>44788</v>
      </c>
      <c r="Z204" t="s">
        <v>1002</v>
      </c>
    </row>
    <row r="205" spans="1:26">
      <c r="A205" s="1" t="s">
        <v>229</v>
      </c>
      <c r="B205">
        <f>HYPERLINK("https://www.suredividend.com/sure-analysis-UPS/","United Parcel Service, Inc.")</f>
        <v>0</v>
      </c>
      <c r="C205" t="s">
        <v>869</v>
      </c>
      <c r="D205">
        <v>182</v>
      </c>
      <c r="E205">
        <v>165.69</v>
      </c>
      <c r="F205">
        <v>206</v>
      </c>
      <c r="G205">
        <v>0.8043203883495146</v>
      </c>
      <c r="H205">
        <v>0.03669503289275153</v>
      </c>
      <c r="I205">
        <v>0.04451380548503647</v>
      </c>
      <c r="J205">
        <v>0.05</v>
      </c>
      <c r="K205">
        <v>0.1247070536892385</v>
      </c>
      <c r="L205" t="s">
        <v>873</v>
      </c>
      <c r="M205" t="s">
        <v>873</v>
      </c>
      <c r="N205">
        <v>12.99529411764706</v>
      </c>
      <c r="O205">
        <v>12.75</v>
      </c>
      <c r="P205">
        <v>6.08</v>
      </c>
      <c r="Q205">
        <v>0.4768627450980392</v>
      </c>
      <c r="R205">
        <v>13</v>
      </c>
      <c r="S205">
        <v>0.05000563166277994</v>
      </c>
      <c r="T205" t="s">
        <v>905</v>
      </c>
      <c r="U205">
        <v>-0.19122585734257</v>
      </c>
      <c r="V205" t="s">
        <v>978</v>
      </c>
      <c r="W205" t="s">
        <v>984</v>
      </c>
      <c r="X205">
        <v>120924.028235</v>
      </c>
      <c r="Y205" s="2">
        <v>44769</v>
      </c>
      <c r="Z205" t="s">
        <v>998</v>
      </c>
    </row>
    <row r="206" spans="1:26">
      <c r="A206" s="1" t="s">
        <v>230</v>
      </c>
      <c r="B206">
        <f>HYPERLINK("https://www.suredividend.com/sure-analysis-OMC/","Omnicom Group, Inc.")</f>
        <v>0</v>
      </c>
      <c r="C206" t="s">
        <v>869</v>
      </c>
      <c r="D206">
        <v>71</v>
      </c>
      <c r="E206">
        <v>72.22</v>
      </c>
      <c r="F206">
        <v>92</v>
      </c>
      <c r="G206">
        <v>0.785</v>
      </c>
      <c r="H206">
        <v>0.03877042370534478</v>
      </c>
      <c r="I206">
        <v>0.04960542962870207</v>
      </c>
      <c r="J206">
        <v>0.04</v>
      </c>
      <c r="K206">
        <v>0.1215637425292149</v>
      </c>
      <c r="L206" t="s">
        <v>873</v>
      </c>
      <c r="M206" t="s">
        <v>873</v>
      </c>
      <c r="N206">
        <v>10.17183098591549</v>
      </c>
      <c r="O206">
        <v>7.1</v>
      </c>
      <c r="P206">
        <v>2.8</v>
      </c>
      <c r="Q206">
        <v>0.3943661971830986</v>
      </c>
      <c r="R206">
        <v>1</v>
      </c>
      <c r="S206">
        <v>0.04978904632428516</v>
      </c>
      <c r="T206" t="s">
        <v>939</v>
      </c>
      <c r="U206">
        <v>0.110569478253782</v>
      </c>
      <c r="V206" t="s">
        <v>978</v>
      </c>
      <c r="W206" t="s">
        <v>985</v>
      </c>
      <c r="X206">
        <v>14726.822764</v>
      </c>
      <c r="Y206" s="2">
        <v>44859</v>
      </c>
      <c r="Z206" t="s">
        <v>994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870</v>
      </c>
      <c r="D207">
        <v>53.9</v>
      </c>
      <c r="E207">
        <v>48.6</v>
      </c>
      <c r="F207">
        <v>63.1</v>
      </c>
      <c r="G207">
        <v>0.7702060221870047</v>
      </c>
      <c r="H207">
        <v>0.05843621399176954</v>
      </c>
      <c r="I207">
        <v>0.05360692879266526</v>
      </c>
      <c r="J207">
        <v>0.025</v>
      </c>
      <c r="K207">
        <v>0.12062871356326</v>
      </c>
      <c r="L207" t="s">
        <v>873</v>
      </c>
      <c r="M207" t="s">
        <v>872</v>
      </c>
      <c r="N207">
        <v>13.2425068119891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927</v>
      </c>
      <c r="U207">
        <v>-0.114215205607783</v>
      </c>
      <c r="V207" t="s">
        <v>980</v>
      </c>
      <c r="W207" t="s">
        <v>992</v>
      </c>
      <c r="X207">
        <v>670.713923</v>
      </c>
      <c r="Y207" s="2">
        <v>44771</v>
      </c>
      <c r="Z207" t="s">
        <v>999</v>
      </c>
    </row>
    <row r="208" spans="1:26">
      <c r="A208" s="1" t="s">
        <v>232</v>
      </c>
      <c r="B208">
        <f>HYPERLINK("https://www.suredividend.com/sure-analysis-PDCO/","Patterson Companies Inc.")</f>
        <v>0</v>
      </c>
      <c r="C208" t="s">
        <v>869</v>
      </c>
      <c r="D208">
        <v>24</v>
      </c>
      <c r="E208">
        <v>27.15</v>
      </c>
      <c r="F208">
        <v>35</v>
      </c>
      <c r="G208">
        <v>0.7757142857142857</v>
      </c>
      <c r="H208">
        <v>0.03830570902394107</v>
      </c>
      <c r="I208">
        <v>0.05210635069444369</v>
      </c>
      <c r="J208">
        <v>0.04</v>
      </c>
      <c r="K208">
        <v>0.1196968231596811</v>
      </c>
      <c r="L208" t="s">
        <v>873</v>
      </c>
      <c r="M208" t="s">
        <v>873</v>
      </c>
      <c r="N208">
        <v>11.80434782608696</v>
      </c>
      <c r="O208">
        <v>2.3</v>
      </c>
      <c r="P208">
        <v>1.04</v>
      </c>
      <c r="Q208">
        <v>0.4521739130434783</v>
      </c>
      <c r="R208">
        <v>0</v>
      </c>
      <c r="S208">
        <v>0</v>
      </c>
      <c r="T208" t="s">
        <v>878</v>
      </c>
      <c r="U208">
        <v>-0.151535985499546</v>
      </c>
      <c r="V208" t="s">
        <v>978</v>
      </c>
      <c r="W208" t="s">
        <v>988</v>
      </c>
      <c r="X208">
        <v>2630.80785</v>
      </c>
      <c r="Y208" s="2">
        <v>44836</v>
      </c>
      <c r="Z208" t="s">
        <v>1007</v>
      </c>
    </row>
    <row r="209" spans="1:26">
      <c r="A209" s="1" t="s">
        <v>233</v>
      </c>
      <c r="B209">
        <f>HYPERLINK("https://www.suredividend.com/sure-analysis-IPG/","Interpublic Group Of Cos., Inc.")</f>
        <v>0</v>
      </c>
      <c r="C209" t="s">
        <v>869</v>
      </c>
      <c r="D209">
        <v>28</v>
      </c>
      <c r="E209">
        <v>29.5</v>
      </c>
      <c r="F209">
        <v>32</v>
      </c>
      <c r="G209">
        <v>0.921875</v>
      </c>
      <c r="H209">
        <v>0.03932203389830508</v>
      </c>
      <c r="I209">
        <v>0.01640219077828098</v>
      </c>
      <c r="J209">
        <v>0.07000000000000001</v>
      </c>
      <c r="K209">
        <v>0.119691485154015</v>
      </c>
      <c r="L209" t="s">
        <v>873</v>
      </c>
      <c r="M209" t="s">
        <v>873</v>
      </c>
      <c r="N209">
        <v>10.92592592592593</v>
      </c>
      <c r="O209">
        <v>2.7</v>
      </c>
      <c r="P209">
        <v>1.16</v>
      </c>
      <c r="Q209">
        <v>0.4296296296296296</v>
      </c>
      <c r="R209">
        <v>11</v>
      </c>
      <c r="S209">
        <v>0.06509372738446295</v>
      </c>
      <c r="T209" t="s">
        <v>874</v>
      </c>
      <c r="U209">
        <v>-0.145999368908008</v>
      </c>
      <c r="V209" t="s">
        <v>978</v>
      </c>
      <c r="W209" t="s">
        <v>985</v>
      </c>
      <c r="X209">
        <v>11461.479181</v>
      </c>
      <c r="Y209" s="2">
        <v>44855</v>
      </c>
      <c r="Z209" t="s">
        <v>1000</v>
      </c>
    </row>
    <row r="210" spans="1:26">
      <c r="A210" s="1" t="s">
        <v>234</v>
      </c>
      <c r="B210">
        <f>HYPERLINK("https://www.suredividend.com/sure-analysis-HRB/","H&amp;R Block Inc.")</f>
        <v>0</v>
      </c>
      <c r="C210" t="s">
        <v>870</v>
      </c>
      <c r="D210">
        <v>45.3</v>
      </c>
      <c r="E210">
        <v>39.76</v>
      </c>
      <c r="F210">
        <v>54.4</v>
      </c>
      <c r="G210">
        <v>0.7308823529411764</v>
      </c>
      <c r="H210">
        <v>0.02917505030181087</v>
      </c>
      <c r="I210">
        <v>0.06470796939054235</v>
      </c>
      <c r="J210">
        <v>0.03</v>
      </c>
      <c r="K210">
        <v>0.1191119772037272</v>
      </c>
      <c r="L210" t="s">
        <v>873</v>
      </c>
      <c r="M210" t="s">
        <v>873</v>
      </c>
      <c r="N210">
        <v>10.60266666666667</v>
      </c>
      <c r="O210">
        <v>3.75</v>
      </c>
      <c r="P210">
        <v>1.16</v>
      </c>
      <c r="Q210">
        <v>0.3093333333333333</v>
      </c>
      <c r="R210">
        <v>6</v>
      </c>
      <c r="S210">
        <v>0.0499309672496191</v>
      </c>
      <c r="T210" t="s">
        <v>925</v>
      </c>
      <c r="U210">
        <v>0.6771559215077531</v>
      </c>
      <c r="V210" t="s">
        <v>978</v>
      </c>
      <c r="W210" t="s">
        <v>983</v>
      </c>
      <c r="X210">
        <v>6181.413843</v>
      </c>
      <c r="Y210" s="2">
        <v>44786</v>
      </c>
      <c r="Z210" t="s">
        <v>999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869</v>
      </c>
      <c r="D211">
        <v>277</v>
      </c>
      <c r="E211">
        <v>272.31</v>
      </c>
      <c r="F211">
        <v>281</v>
      </c>
      <c r="G211">
        <v>0.9690747330960854</v>
      </c>
      <c r="H211">
        <v>0.01042929014725864</v>
      </c>
      <c r="I211">
        <v>0.006302486840332522</v>
      </c>
      <c r="J211">
        <v>0.1</v>
      </c>
      <c r="K211">
        <v>0.119073659686971</v>
      </c>
      <c r="L211" t="s">
        <v>873</v>
      </c>
      <c r="M211" t="s">
        <v>586</v>
      </c>
      <c r="N211">
        <v>22.26573998364677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879</v>
      </c>
      <c r="U211">
        <v>-0.207594706123877</v>
      </c>
      <c r="V211" t="s">
        <v>978</v>
      </c>
      <c r="W211" t="s">
        <v>982</v>
      </c>
      <c r="X211">
        <v>29400.095653</v>
      </c>
      <c r="Y211" s="2">
        <v>44866</v>
      </c>
      <c r="Z211" t="s">
        <v>1000</v>
      </c>
    </row>
    <row r="212" spans="1:26">
      <c r="A212" s="1" t="s">
        <v>236</v>
      </c>
      <c r="B212">
        <f>HYPERLINK("https://www.suredividend.com/sure-analysis-AAP/","Advance Auto Parts Inc")</f>
        <v>0</v>
      </c>
      <c r="C212" t="s">
        <v>869</v>
      </c>
      <c r="D212">
        <v>174</v>
      </c>
      <c r="E212">
        <v>181.07</v>
      </c>
      <c r="F212">
        <v>221</v>
      </c>
      <c r="G212">
        <v>0.8193212669683257</v>
      </c>
      <c r="H212">
        <v>0.03313635610537361</v>
      </c>
      <c r="I212">
        <v>0.04066070107449282</v>
      </c>
      <c r="J212">
        <v>0.05</v>
      </c>
      <c r="K212">
        <v>0.1184295330336895</v>
      </c>
      <c r="L212" t="s">
        <v>873</v>
      </c>
      <c r="M212" t="s">
        <v>873</v>
      </c>
      <c r="N212">
        <v>13.92846153846154</v>
      </c>
      <c r="O212">
        <v>13</v>
      </c>
      <c r="P212">
        <v>6</v>
      </c>
      <c r="Q212">
        <v>0.4615384615384616</v>
      </c>
      <c r="R212">
        <v>3</v>
      </c>
      <c r="S212">
        <v>0.05006335758366887</v>
      </c>
      <c r="T212" t="s">
        <v>887</v>
      </c>
      <c r="U212">
        <v>-0.189851012585564</v>
      </c>
      <c r="V212" t="s">
        <v>978</v>
      </c>
      <c r="W212" t="s">
        <v>983</v>
      </c>
      <c r="X212">
        <v>10885.609536</v>
      </c>
      <c r="Y212" s="2">
        <v>44800</v>
      </c>
      <c r="Z212" t="s">
        <v>993</v>
      </c>
    </row>
    <row r="213" spans="1:26">
      <c r="A213" s="1" t="s">
        <v>237</v>
      </c>
      <c r="B213">
        <f>HYPERLINK("https://www.suredividend.com/sure-analysis-BIP/","Brookfield Infrastructure Partners L.P")</f>
        <v>0</v>
      </c>
      <c r="C213" t="s">
        <v>869</v>
      </c>
      <c r="D213">
        <v>41</v>
      </c>
      <c r="E213">
        <v>36.19</v>
      </c>
      <c r="F213">
        <v>39</v>
      </c>
      <c r="G213">
        <v>0.9279487179487179</v>
      </c>
      <c r="H213">
        <v>0.03978999723680575</v>
      </c>
      <c r="I213">
        <v>0.01506815874368161</v>
      </c>
      <c r="J213">
        <v>0.07000000000000001</v>
      </c>
      <c r="K213">
        <v>0.1183552032942154</v>
      </c>
      <c r="L213" t="s">
        <v>873</v>
      </c>
      <c r="M213" t="s">
        <v>873</v>
      </c>
      <c r="N213">
        <v>13.81297709923664</v>
      </c>
      <c r="O213">
        <v>2.62</v>
      </c>
      <c r="P213">
        <v>1.44</v>
      </c>
      <c r="Q213">
        <v>0.5496183206106869</v>
      </c>
      <c r="R213">
        <v>13</v>
      </c>
      <c r="S213">
        <v>0.06032490771095733</v>
      </c>
      <c r="T213" t="s">
        <v>881</v>
      </c>
      <c r="U213">
        <v>-0.053076389706555</v>
      </c>
      <c r="V213" t="s">
        <v>979</v>
      </c>
      <c r="W213" t="s">
        <v>987</v>
      </c>
      <c r="X213">
        <v>11047.558373</v>
      </c>
      <c r="Y213" s="2">
        <v>44778</v>
      </c>
      <c r="Z213" t="s">
        <v>1005</v>
      </c>
    </row>
    <row r="214" spans="1:26">
      <c r="A214" s="1" t="s">
        <v>238</v>
      </c>
      <c r="B214">
        <f>HYPERLINK("https://www.suredividend.com/sure-analysis-RDEIY/","Red Electrica Corporacion S.A.")</f>
        <v>0</v>
      </c>
      <c r="C214" t="s">
        <v>869</v>
      </c>
      <c r="D214">
        <v>8</v>
      </c>
      <c r="E214">
        <v>8.119999999999999</v>
      </c>
      <c r="F214">
        <v>8.699999999999999</v>
      </c>
      <c r="G214">
        <v>0.9333333333333333</v>
      </c>
      <c r="H214">
        <v>0.06527093596059114</v>
      </c>
      <c r="I214">
        <v>0.01389421401466451</v>
      </c>
      <c r="J214">
        <v>0.05</v>
      </c>
      <c r="K214">
        <v>0.1180916220233856</v>
      </c>
      <c r="L214" t="s">
        <v>873</v>
      </c>
      <c r="M214" t="s">
        <v>872</v>
      </c>
      <c r="N214">
        <v>5.6</v>
      </c>
      <c r="O214">
        <v>1.45</v>
      </c>
      <c r="P214">
        <v>0.53</v>
      </c>
      <c r="Q214">
        <v>0.3655172413793104</v>
      </c>
      <c r="R214">
        <v>5</v>
      </c>
      <c r="S214">
        <v>0.05110622618577221</v>
      </c>
      <c r="T214" t="s">
        <v>940</v>
      </c>
      <c r="U214">
        <v>-0.225929456625357</v>
      </c>
      <c r="V214" t="s">
        <v>978</v>
      </c>
      <c r="W214" t="s">
        <v>987</v>
      </c>
      <c r="X214">
        <v>8787.1392</v>
      </c>
      <c r="Y214" s="2">
        <v>44866</v>
      </c>
      <c r="Z214" t="s">
        <v>993</v>
      </c>
    </row>
    <row r="215" spans="1:26">
      <c r="A215" s="1" t="s">
        <v>239</v>
      </c>
      <c r="B215">
        <f>HYPERLINK("https://www.suredividend.com/sure-analysis-ENB/","Enbridge Inc")</f>
        <v>0</v>
      </c>
      <c r="C215" t="s">
        <v>869</v>
      </c>
      <c r="D215">
        <v>44</v>
      </c>
      <c r="E215">
        <v>40.2</v>
      </c>
      <c r="F215">
        <v>45</v>
      </c>
      <c r="G215">
        <v>0.8933333333333334</v>
      </c>
      <c r="H215">
        <v>0.06666666666666667</v>
      </c>
      <c r="I215">
        <v>0.02281547957549823</v>
      </c>
      <c r="J215">
        <v>0.04</v>
      </c>
      <c r="K215">
        <v>0.1175393783492082</v>
      </c>
      <c r="L215" t="s">
        <v>873</v>
      </c>
      <c r="M215" t="s">
        <v>872</v>
      </c>
      <c r="N215">
        <v>9.757281553398059</v>
      </c>
      <c r="O215">
        <v>4.12</v>
      </c>
      <c r="P215">
        <v>2.68</v>
      </c>
      <c r="Q215">
        <v>0.6504854368932039</v>
      </c>
      <c r="R215">
        <v>27</v>
      </c>
      <c r="S215">
        <v>0.04501454344603295</v>
      </c>
      <c r="T215" t="s">
        <v>905</v>
      </c>
      <c r="U215">
        <v>0.020483282605329</v>
      </c>
      <c r="V215" t="s">
        <v>978</v>
      </c>
      <c r="W215" t="s">
        <v>991</v>
      </c>
      <c r="X215">
        <v>81397.20723</v>
      </c>
      <c r="Y215" s="2">
        <v>44796</v>
      </c>
      <c r="Z215" t="s">
        <v>994</v>
      </c>
    </row>
    <row r="216" spans="1:26">
      <c r="A216" s="1" t="s">
        <v>240</v>
      </c>
      <c r="B216">
        <f>HYPERLINK("https://www.suredividend.com/sure-analysis-TXN/","Texas Instruments Inc.")</f>
        <v>0</v>
      </c>
      <c r="C216" t="s">
        <v>869</v>
      </c>
      <c r="D216">
        <v>160</v>
      </c>
      <c r="E216">
        <v>162.65</v>
      </c>
      <c r="F216">
        <v>179</v>
      </c>
      <c r="G216">
        <v>0.908659217877095</v>
      </c>
      <c r="H216">
        <v>0.0304949277589917</v>
      </c>
      <c r="I216">
        <v>0.01934170387363299</v>
      </c>
      <c r="J216">
        <v>0.07000000000000001</v>
      </c>
      <c r="K216">
        <v>0.1174592333001501</v>
      </c>
      <c r="L216" t="s">
        <v>873</v>
      </c>
      <c r="M216" t="s">
        <v>873</v>
      </c>
      <c r="N216">
        <v>17.3031914893617</v>
      </c>
      <c r="O216">
        <v>9.4</v>
      </c>
      <c r="P216">
        <v>4.96</v>
      </c>
      <c r="Q216">
        <v>0.5276595744680851</v>
      </c>
      <c r="R216">
        <v>19</v>
      </c>
      <c r="S216">
        <v>0.08995501081970847</v>
      </c>
      <c r="T216" t="s">
        <v>911</v>
      </c>
      <c r="U216">
        <v>-0.124854456274468</v>
      </c>
      <c r="V216" t="s">
        <v>978</v>
      </c>
      <c r="W216" t="s">
        <v>982</v>
      </c>
      <c r="X216">
        <v>147616.538957</v>
      </c>
      <c r="Y216" s="2">
        <v>44864</v>
      </c>
      <c r="Z216" t="s">
        <v>994</v>
      </c>
    </row>
    <row r="217" spans="1:26">
      <c r="A217" s="1" t="s">
        <v>241</v>
      </c>
      <c r="B217">
        <f>HYPERLINK("https://www.suredividend.com/sure-analysis-FTS/","Fortis Inc.")</f>
        <v>0</v>
      </c>
      <c r="C217" t="s">
        <v>870</v>
      </c>
      <c r="D217">
        <v>46</v>
      </c>
      <c r="E217">
        <v>39.63</v>
      </c>
      <c r="F217">
        <v>44</v>
      </c>
      <c r="G217">
        <v>0.9006818181818183</v>
      </c>
      <c r="H217">
        <v>0.04188745899571032</v>
      </c>
      <c r="I217">
        <v>0.0211410161274026</v>
      </c>
      <c r="J217">
        <v>0.06</v>
      </c>
      <c r="K217">
        <v>0.1166291655584848</v>
      </c>
      <c r="L217" t="s">
        <v>873</v>
      </c>
      <c r="M217" t="s">
        <v>872</v>
      </c>
      <c r="N217">
        <v>17.5353982300885</v>
      </c>
      <c r="O217">
        <v>2.26</v>
      </c>
      <c r="P217">
        <v>1.66</v>
      </c>
      <c r="Q217">
        <v>0.7345132743362832</v>
      </c>
      <c r="R217">
        <v>49</v>
      </c>
      <c r="S217">
        <v>0.05986116030738575</v>
      </c>
      <c r="T217" t="s">
        <v>895</v>
      </c>
      <c r="U217">
        <v>-0.08487374582905101</v>
      </c>
      <c r="V217" t="s">
        <v>978</v>
      </c>
      <c r="W217" t="s">
        <v>987</v>
      </c>
      <c r="X217">
        <v>19034.625142</v>
      </c>
      <c r="Y217" s="2">
        <v>44778</v>
      </c>
      <c r="Z217" t="s">
        <v>1005</v>
      </c>
    </row>
    <row r="218" spans="1:26">
      <c r="A218" s="1" t="s">
        <v>242</v>
      </c>
      <c r="B218">
        <f>HYPERLINK("https://www.suredividend.com/sure-analysis-RCI/","Rogers Communications Inc.")</f>
        <v>0</v>
      </c>
      <c r="C218" t="s">
        <v>869</v>
      </c>
      <c r="D218">
        <v>46</v>
      </c>
      <c r="E218">
        <v>42.07</v>
      </c>
      <c r="F218">
        <v>48</v>
      </c>
      <c r="G218">
        <v>0.8764583333333333</v>
      </c>
      <c r="H218">
        <v>0.037081055383884</v>
      </c>
      <c r="I218">
        <v>0.02672407366447382</v>
      </c>
      <c r="J218">
        <v>0.06</v>
      </c>
      <c r="K218">
        <v>0.116614892322745</v>
      </c>
      <c r="L218" t="s">
        <v>873</v>
      </c>
      <c r="M218" t="s">
        <v>873</v>
      </c>
      <c r="N218">
        <v>13.146875</v>
      </c>
      <c r="O218">
        <v>3.2</v>
      </c>
      <c r="P218">
        <v>1.56</v>
      </c>
      <c r="Q218">
        <v>0.4875</v>
      </c>
      <c r="R218">
        <v>1</v>
      </c>
      <c r="S218">
        <v>0.04022143939343281</v>
      </c>
      <c r="T218" t="s">
        <v>901</v>
      </c>
      <c r="U218">
        <v>-0.09572192858202201</v>
      </c>
      <c r="V218" t="s">
        <v>978</v>
      </c>
      <c r="W218" t="s">
        <v>985</v>
      </c>
      <c r="X218">
        <v>16566.043025</v>
      </c>
      <c r="Y218" s="2">
        <v>44791</v>
      </c>
      <c r="Z218" t="s">
        <v>996</v>
      </c>
    </row>
    <row r="219" spans="1:26">
      <c r="A219" s="1" t="s">
        <v>243</v>
      </c>
      <c r="B219">
        <f>HYPERLINK("https://www.suredividend.com/sure-analysis-CBOE/","Cboe Global Markets Inc.")</f>
        <v>0</v>
      </c>
      <c r="C219" t="s">
        <v>869</v>
      </c>
      <c r="D219">
        <v>119</v>
      </c>
      <c r="E219">
        <v>128.3</v>
      </c>
      <c r="F219">
        <v>156</v>
      </c>
      <c r="G219">
        <v>0.8224358974358975</v>
      </c>
      <c r="H219">
        <v>0.01558846453624318</v>
      </c>
      <c r="I219">
        <v>0.03987129129624711</v>
      </c>
      <c r="J219">
        <v>0.06</v>
      </c>
      <c r="K219">
        <v>0.1157432307012209</v>
      </c>
      <c r="L219" t="s">
        <v>873</v>
      </c>
      <c r="M219" t="s">
        <v>586</v>
      </c>
      <c r="N219">
        <v>20.528</v>
      </c>
      <c r="O219">
        <v>6.25</v>
      </c>
      <c r="P219">
        <v>2</v>
      </c>
      <c r="Q219">
        <v>0.32</v>
      </c>
      <c r="R219">
        <v>12</v>
      </c>
      <c r="S219">
        <v>0.09090189647497282</v>
      </c>
      <c r="T219" t="s">
        <v>881</v>
      </c>
      <c r="U219">
        <v>-0.015841650992749</v>
      </c>
      <c r="V219" t="s">
        <v>978</v>
      </c>
      <c r="W219" t="s">
        <v>986</v>
      </c>
      <c r="X219">
        <v>13607.786162</v>
      </c>
      <c r="Y219" s="2">
        <v>44787</v>
      </c>
      <c r="Z219" t="s">
        <v>1002</v>
      </c>
    </row>
    <row r="220" spans="1:26">
      <c r="A220" s="1" t="s">
        <v>244</v>
      </c>
      <c r="B220">
        <f>HYPERLINK("https://www.suredividend.com/sure-analysis-DPZ/","Dominos Pizza Inc")</f>
        <v>0</v>
      </c>
      <c r="C220" t="s">
        <v>869</v>
      </c>
      <c r="D220">
        <v>323</v>
      </c>
      <c r="E220">
        <v>359.65</v>
      </c>
      <c r="F220">
        <v>333</v>
      </c>
      <c r="G220">
        <v>1.08003003003003</v>
      </c>
      <c r="H220">
        <v>0.01223411650215487</v>
      </c>
      <c r="I220">
        <v>-0.01527982972859132</v>
      </c>
      <c r="J220">
        <v>0.12</v>
      </c>
      <c r="K220">
        <v>0.1153760329755804</v>
      </c>
      <c r="L220" t="s">
        <v>873</v>
      </c>
      <c r="M220" t="s">
        <v>586</v>
      </c>
      <c r="N220">
        <v>28.772</v>
      </c>
      <c r="O220">
        <v>12.5</v>
      </c>
      <c r="P220">
        <v>4.4</v>
      </c>
      <c r="Q220">
        <v>0.352</v>
      </c>
      <c r="R220">
        <v>9</v>
      </c>
      <c r="S220">
        <v>0.1486983549970351</v>
      </c>
      <c r="T220" t="s">
        <v>883</v>
      </c>
      <c r="U220">
        <v>-0.286392730630666</v>
      </c>
      <c r="V220" t="s">
        <v>978</v>
      </c>
      <c r="W220" t="s">
        <v>983</v>
      </c>
      <c r="X220">
        <v>12731.386657</v>
      </c>
      <c r="Y220" s="2">
        <v>44847</v>
      </c>
      <c r="Z220" t="s">
        <v>996</v>
      </c>
    </row>
    <row r="221" spans="1:26">
      <c r="A221" s="1" t="s">
        <v>245</v>
      </c>
      <c r="B221">
        <f>HYPERLINK("https://www.suredividend.com/sure-analysis-BALL/","Ball Corp.")</f>
        <v>0</v>
      </c>
      <c r="C221" t="s">
        <v>870</v>
      </c>
      <c r="D221">
        <v>59</v>
      </c>
      <c r="E221">
        <v>50.85</v>
      </c>
      <c r="F221">
        <v>56</v>
      </c>
      <c r="G221">
        <v>0.9080357142857143</v>
      </c>
      <c r="H221">
        <v>0.01573254670599803</v>
      </c>
      <c r="I221">
        <v>0.01948165183186035</v>
      </c>
      <c r="J221">
        <v>0.08</v>
      </c>
      <c r="K221">
        <v>0.1143144547511656</v>
      </c>
      <c r="L221" t="s">
        <v>873</v>
      </c>
      <c r="M221" t="s">
        <v>568</v>
      </c>
      <c r="N221">
        <v>13.56</v>
      </c>
      <c r="O221">
        <v>3.75</v>
      </c>
      <c r="P221">
        <v>0.8</v>
      </c>
      <c r="Q221">
        <v>0.2133333333333333</v>
      </c>
      <c r="R221">
        <v>4</v>
      </c>
      <c r="S221">
        <v>0.08083252207959757</v>
      </c>
      <c r="T221" t="s">
        <v>874</v>
      </c>
      <c r="U221">
        <v>-0.441736993899178</v>
      </c>
      <c r="V221" t="s">
        <v>978</v>
      </c>
      <c r="W221" t="s">
        <v>983</v>
      </c>
      <c r="X221">
        <v>15962.839628</v>
      </c>
      <c r="Y221" s="2">
        <v>44814</v>
      </c>
      <c r="Z221" t="s">
        <v>1006</v>
      </c>
    </row>
    <row r="222" spans="1:26">
      <c r="A222" s="1" t="s">
        <v>246</v>
      </c>
      <c r="B222">
        <f>HYPERLINK("https://www.suredividend.com/sure-analysis-SWK/","Stanley Black &amp; Decker Inc")</f>
        <v>0</v>
      </c>
      <c r="C222" t="s">
        <v>869</v>
      </c>
      <c r="D222">
        <v>78</v>
      </c>
      <c r="E222">
        <v>74.64</v>
      </c>
      <c r="F222">
        <v>73</v>
      </c>
      <c r="G222">
        <v>1.022465753424658</v>
      </c>
      <c r="H222">
        <v>0.04287245444801715</v>
      </c>
      <c r="I222">
        <v>-0.004433565679416107</v>
      </c>
      <c r="J222">
        <v>0.08</v>
      </c>
      <c r="K222">
        <v>0.1130860831646971</v>
      </c>
      <c r="L222" t="s">
        <v>873</v>
      </c>
      <c r="M222" t="s">
        <v>872</v>
      </c>
      <c r="N222">
        <v>16.96363636363636</v>
      </c>
      <c r="O222">
        <v>4.4</v>
      </c>
      <c r="P222">
        <v>3.2</v>
      </c>
      <c r="Q222">
        <v>0.7272727272727273</v>
      </c>
      <c r="R222">
        <v>55</v>
      </c>
      <c r="S222">
        <v>0.0799150058822331</v>
      </c>
      <c r="T222" t="s">
        <v>894</v>
      </c>
      <c r="U222">
        <v>-0.584569402623713</v>
      </c>
      <c r="V222" t="s">
        <v>978</v>
      </c>
      <c r="W222" t="s">
        <v>984</v>
      </c>
      <c r="X222">
        <v>11042.374907</v>
      </c>
      <c r="Y222" s="2">
        <v>44864</v>
      </c>
      <c r="Z222" t="s">
        <v>993</v>
      </c>
    </row>
    <row r="223" spans="1:26">
      <c r="A223" s="1" t="s">
        <v>247</v>
      </c>
      <c r="B223">
        <f>HYPERLINK("https://www.suredividend.com/sure-analysis-EVRG/","Evergy Inc")</f>
        <v>0</v>
      </c>
      <c r="C223" t="s">
        <v>870</v>
      </c>
      <c r="D223">
        <v>71</v>
      </c>
      <c r="E223">
        <v>62.6</v>
      </c>
      <c r="F223">
        <v>66</v>
      </c>
      <c r="G223">
        <v>0.9484848484848485</v>
      </c>
      <c r="H223">
        <v>0.0365814696485623</v>
      </c>
      <c r="I223">
        <v>0.01063403647798489</v>
      </c>
      <c r="J223">
        <v>0.07000000000000001</v>
      </c>
      <c r="K223">
        <v>0.112737220236212</v>
      </c>
      <c r="L223" t="s">
        <v>873</v>
      </c>
      <c r="M223" t="s">
        <v>873</v>
      </c>
      <c r="N223">
        <v>17.63380281690141</v>
      </c>
      <c r="O223">
        <v>3.55</v>
      </c>
      <c r="P223">
        <v>2.29</v>
      </c>
      <c r="Q223">
        <v>0.6450704225352113</v>
      </c>
      <c r="R223">
        <v>17</v>
      </c>
      <c r="S223">
        <v>0.07318952131901812</v>
      </c>
      <c r="T223" t="s">
        <v>895</v>
      </c>
      <c r="U223">
        <v>0.017032863483646</v>
      </c>
      <c r="V223" t="s">
        <v>978</v>
      </c>
      <c r="W223" t="s">
        <v>987</v>
      </c>
      <c r="X223">
        <v>14368.077137</v>
      </c>
      <c r="Y223" s="2">
        <v>44795</v>
      </c>
      <c r="Z223" t="s">
        <v>996</v>
      </c>
    </row>
    <row r="224" spans="1:26">
      <c r="A224" s="1" t="s">
        <v>248</v>
      </c>
      <c r="B224">
        <f>HYPERLINK("https://www.suredividend.com/sure-analysis-MO/","Altria Group Inc.")</f>
        <v>0</v>
      </c>
      <c r="C224" t="s">
        <v>869</v>
      </c>
      <c r="D224">
        <v>43.8</v>
      </c>
      <c r="E224">
        <v>45.5</v>
      </c>
      <c r="F224">
        <v>53.5</v>
      </c>
      <c r="G224">
        <v>0.8504672897196262</v>
      </c>
      <c r="H224">
        <v>0.08263736263736263</v>
      </c>
      <c r="I224">
        <v>0.0329242585182985</v>
      </c>
      <c r="J224">
        <v>0.014</v>
      </c>
      <c r="K224">
        <v>0.1105647830524239</v>
      </c>
      <c r="L224" t="s">
        <v>873</v>
      </c>
      <c r="M224" t="s">
        <v>872</v>
      </c>
      <c r="N224">
        <v>9.362139917695472</v>
      </c>
      <c r="O224">
        <v>4.86</v>
      </c>
      <c r="P224">
        <v>3.76</v>
      </c>
      <c r="Q224">
        <v>0.7736625514403291</v>
      </c>
      <c r="R224">
        <v>53</v>
      </c>
      <c r="S224">
        <v>0.01245196889366262</v>
      </c>
      <c r="T224" t="s">
        <v>883</v>
      </c>
      <c r="U224">
        <v>0.102100530946014</v>
      </c>
      <c r="V224" t="s">
        <v>978</v>
      </c>
      <c r="W224" t="s">
        <v>990</v>
      </c>
      <c r="X224">
        <v>81543.854119</v>
      </c>
      <c r="Y224" s="2">
        <v>44778</v>
      </c>
      <c r="Z224" t="s">
        <v>999</v>
      </c>
    </row>
    <row r="225" spans="1:26">
      <c r="A225" s="1" t="s">
        <v>249</v>
      </c>
      <c r="B225">
        <f>HYPERLINK("https://www.suredividend.com/sure-analysis-YUM/","Yum Brands Inc.")</f>
        <v>0</v>
      </c>
      <c r="C225" t="s">
        <v>869</v>
      </c>
      <c r="D225">
        <v>120</v>
      </c>
      <c r="E225">
        <v>121.78</v>
      </c>
      <c r="F225">
        <v>114</v>
      </c>
      <c r="G225">
        <v>1.068245614035088</v>
      </c>
      <c r="H225">
        <v>0.01872228608966989</v>
      </c>
      <c r="I225">
        <v>-0.01311675362320008</v>
      </c>
      <c r="J225">
        <v>0.11</v>
      </c>
      <c r="K225">
        <v>0.1105520114360312</v>
      </c>
      <c r="L225" t="s">
        <v>873</v>
      </c>
      <c r="M225" t="s">
        <v>586</v>
      </c>
      <c r="N225">
        <v>25.91063829787234</v>
      </c>
      <c r="O225">
        <v>4.7</v>
      </c>
      <c r="P225">
        <v>2.28</v>
      </c>
      <c r="Q225">
        <v>0.4851063829787233</v>
      </c>
      <c r="R225">
        <v>5</v>
      </c>
      <c r="S225">
        <v>0.05991978372638118</v>
      </c>
      <c r="T225" t="s">
        <v>882</v>
      </c>
      <c r="U225">
        <v>-0.010809774609538</v>
      </c>
      <c r="V225" t="s">
        <v>978</v>
      </c>
      <c r="W225" t="s">
        <v>983</v>
      </c>
      <c r="X225">
        <v>34651.582484</v>
      </c>
      <c r="Y225" s="2">
        <v>44870</v>
      </c>
      <c r="Z225" t="s">
        <v>996</v>
      </c>
    </row>
    <row r="226" spans="1:26">
      <c r="A226" s="1" t="s">
        <v>250</v>
      </c>
      <c r="B226">
        <f>HYPERLINK("https://www.suredividend.com/sure-analysis-NVS/","Novartis AG")</f>
        <v>0</v>
      </c>
      <c r="C226" t="s">
        <v>869</v>
      </c>
      <c r="D226">
        <v>78</v>
      </c>
      <c r="E226">
        <v>81.72</v>
      </c>
      <c r="F226">
        <v>98</v>
      </c>
      <c r="G226">
        <v>0.8338775510204082</v>
      </c>
      <c r="H226">
        <v>0.0407488986784141</v>
      </c>
      <c r="I226">
        <v>0.03700187956092638</v>
      </c>
      <c r="J226">
        <v>0.04</v>
      </c>
      <c r="K226">
        <v>0.1104553773895927</v>
      </c>
      <c r="L226" t="s">
        <v>873</v>
      </c>
      <c r="M226" t="s">
        <v>872</v>
      </c>
      <c r="N226">
        <v>13.39672131147541</v>
      </c>
      <c r="O226">
        <v>6.1</v>
      </c>
      <c r="P226">
        <v>3.33</v>
      </c>
      <c r="Q226">
        <v>0.5459016393442624</v>
      </c>
      <c r="R226">
        <v>26</v>
      </c>
      <c r="S226">
        <v>0.03992533304330625</v>
      </c>
      <c r="T226" t="s">
        <v>941</v>
      </c>
      <c r="U226">
        <v>0.017347948684431</v>
      </c>
      <c r="V226" t="s">
        <v>978</v>
      </c>
      <c r="W226" t="s">
        <v>988</v>
      </c>
      <c r="X226">
        <v>196432.100713</v>
      </c>
      <c r="Y226" s="2">
        <v>44859</v>
      </c>
      <c r="Z226" t="s">
        <v>993</v>
      </c>
    </row>
    <row r="227" spans="1:26">
      <c r="A227" s="1" t="s">
        <v>251</v>
      </c>
      <c r="B227">
        <f>HYPERLINK("https://www.suredividend.com/sure-analysis-AMT/","American Tower Corp.")</f>
        <v>0</v>
      </c>
      <c r="C227" t="s">
        <v>869</v>
      </c>
      <c r="D227">
        <v>205</v>
      </c>
      <c r="E227">
        <v>203.92</v>
      </c>
      <c r="F227">
        <v>231</v>
      </c>
      <c r="G227">
        <v>0.8827705627705628</v>
      </c>
      <c r="H227">
        <v>0.02883483719105532</v>
      </c>
      <c r="I227">
        <v>0.02525154279813502</v>
      </c>
      <c r="J227">
        <v>0.06</v>
      </c>
      <c r="K227">
        <v>0.1104205012331279</v>
      </c>
      <c r="L227" t="s">
        <v>873</v>
      </c>
      <c r="M227" t="s">
        <v>568</v>
      </c>
      <c r="N227">
        <v>19.42095238095238</v>
      </c>
      <c r="O227">
        <v>10.5</v>
      </c>
      <c r="P227">
        <v>5.88</v>
      </c>
      <c r="Q227">
        <v>0.5599999999999999</v>
      </c>
      <c r="R227">
        <v>10</v>
      </c>
      <c r="S227">
        <v>0.0600332336195335</v>
      </c>
      <c r="T227" t="s">
        <v>902</v>
      </c>
      <c r="U227">
        <v>-0.251596120278985</v>
      </c>
      <c r="V227" t="s">
        <v>980</v>
      </c>
      <c r="W227" t="s">
        <v>992</v>
      </c>
      <c r="X227">
        <v>94946.294564</v>
      </c>
      <c r="Y227" s="2">
        <v>44865</v>
      </c>
      <c r="Z227" t="s">
        <v>996</v>
      </c>
    </row>
    <row r="228" spans="1:26">
      <c r="A228" s="1" t="s">
        <v>252</v>
      </c>
      <c r="B228">
        <f>HYPERLINK("https://www.suredividend.com/sure-analysis-ES/","Eversource Energy")</f>
        <v>0</v>
      </c>
      <c r="C228" t="s">
        <v>870</v>
      </c>
      <c r="D228">
        <v>93</v>
      </c>
      <c r="E228">
        <v>77.18000000000001</v>
      </c>
      <c r="F228">
        <v>90</v>
      </c>
      <c r="G228">
        <v>0.8575555555555556</v>
      </c>
      <c r="H228">
        <v>0.0330396475770925</v>
      </c>
      <c r="I228">
        <v>0.03121102379452223</v>
      </c>
      <c r="J228">
        <v>0.05</v>
      </c>
      <c r="K228">
        <v>0.11007292257847</v>
      </c>
      <c r="L228" t="s">
        <v>873</v>
      </c>
      <c r="M228" t="s">
        <v>873</v>
      </c>
      <c r="N228">
        <v>18.82439024390244</v>
      </c>
      <c r="O228">
        <v>4.1</v>
      </c>
      <c r="P228">
        <v>2.55</v>
      </c>
      <c r="Q228">
        <v>0.6219512195121951</v>
      </c>
      <c r="R228">
        <v>24</v>
      </c>
      <c r="S228">
        <v>0.05984618216052806</v>
      </c>
      <c r="T228" t="s">
        <v>938</v>
      </c>
      <c r="U228">
        <v>-0.05213852188629001</v>
      </c>
      <c r="V228" t="s">
        <v>978</v>
      </c>
      <c r="W228" t="s">
        <v>987</v>
      </c>
      <c r="X228">
        <v>26738.495129</v>
      </c>
      <c r="Y228" s="2">
        <v>44788</v>
      </c>
      <c r="Z228" t="s">
        <v>1002</v>
      </c>
    </row>
    <row r="229" spans="1:26">
      <c r="A229" s="1" t="s">
        <v>253</v>
      </c>
      <c r="B229">
        <f>HYPERLINK("https://www.suredividend.com/sure-analysis-CSCO/","Cisco Systems, Inc.")</f>
        <v>0</v>
      </c>
      <c r="C229" t="s">
        <v>870</v>
      </c>
      <c r="D229">
        <v>49</v>
      </c>
      <c r="E229">
        <v>44.52</v>
      </c>
      <c r="F229">
        <v>49</v>
      </c>
      <c r="G229">
        <v>0.9085714285714286</v>
      </c>
      <c r="H229">
        <v>0.03414195867026056</v>
      </c>
      <c r="I229">
        <v>0.01936140157470034</v>
      </c>
      <c r="J229">
        <v>0.06</v>
      </c>
      <c r="K229">
        <v>0.1088890249333476</v>
      </c>
      <c r="L229" t="s">
        <v>873</v>
      </c>
      <c r="M229" t="s">
        <v>873</v>
      </c>
      <c r="N229">
        <v>12.61189801699717</v>
      </c>
      <c r="O229">
        <v>3.53</v>
      </c>
      <c r="P229">
        <v>1.52</v>
      </c>
      <c r="Q229">
        <v>0.4305949008498584</v>
      </c>
      <c r="R229">
        <v>12</v>
      </c>
      <c r="S229">
        <v>0.0595720409403111</v>
      </c>
      <c r="T229" t="s">
        <v>935</v>
      </c>
      <c r="U229">
        <v>-0.203294195966005</v>
      </c>
      <c r="V229" t="s">
        <v>978</v>
      </c>
      <c r="W229" t="s">
        <v>982</v>
      </c>
      <c r="X229">
        <v>182925.742315</v>
      </c>
      <c r="Y229" s="2">
        <v>44791</v>
      </c>
      <c r="Z229" t="s">
        <v>993</v>
      </c>
    </row>
    <row r="230" spans="1:26">
      <c r="A230" s="1" t="s">
        <v>254</v>
      </c>
      <c r="B230">
        <f>HYPERLINK("https://www.suredividend.com/sure-analysis-WHR/","Whirlpool Corp.")</f>
        <v>0</v>
      </c>
      <c r="C230" t="s">
        <v>869</v>
      </c>
      <c r="D230">
        <v>133</v>
      </c>
      <c r="E230">
        <v>133.33</v>
      </c>
      <c r="F230">
        <v>171</v>
      </c>
      <c r="G230">
        <v>0.7797076023391813</v>
      </c>
      <c r="H230">
        <v>0.05250131253281332</v>
      </c>
      <c r="I230">
        <v>0.05102645166990039</v>
      </c>
      <c r="J230">
        <v>0.01</v>
      </c>
      <c r="K230">
        <v>0.1045057964514717</v>
      </c>
      <c r="L230" t="s">
        <v>873</v>
      </c>
      <c r="M230" t="s">
        <v>872</v>
      </c>
      <c r="N230">
        <v>7.017368421052632</v>
      </c>
      <c r="O230">
        <v>19</v>
      </c>
      <c r="P230">
        <v>7</v>
      </c>
      <c r="Q230">
        <v>0.3684210526315789</v>
      </c>
      <c r="R230">
        <v>12</v>
      </c>
      <c r="S230">
        <v>0.04008374958398786</v>
      </c>
      <c r="T230" t="s">
        <v>906</v>
      </c>
      <c r="U230">
        <v>-0.3666129541023601</v>
      </c>
      <c r="V230" t="s">
        <v>978</v>
      </c>
      <c r="W230" t="s">
        <v>983</v>
      </c>
      <c r="X230">
        <v>7263.598939</v>
      </c>
      <c r="Y230" s="2">
        <v>44861</v>
      </c>
      <c r="Z230" t="s">
        <v>998</v>
      </c>
    </row>
    <row r="231" spans="1:26">
      <c r="A231" s="1" t="s">
        <v>255</v>
      </c>
      <c r="B231">
        <f>HYPERLINK("https://www.suredividend.com/sure-analysis-IFF/","International Flavors &amp; Fragrances Inc.")</f>
        <v>0</v>
      </c>
      <c r="C231" t="s">
        <v>870</v>
      </c>
      <c r="D231">
        <v>119</v>
      </c>
      <c r="E231">
        <v>94.83</v>
      </c>
      <c r="F231">
        <v>113</v>
      </c>
      <c r="G231">
        <v>0.8392035398230089</v>
      </c>
      <c r="H231">
        <v>0.03416640303701361</v>
      </c>
      <c r="I231">
        <v>0.03568226290970467</v>
      </c>
      <c r="J231">
        <v>0.04</v>
      </c>
      <c r="K231">
        <v>0.1042913186325909</v>
      </c>
      <c r="L231" t="s">
        <v>873</v>
      </c>
      <c r="M231" t="s">
        <v>873</v>
      </c>
      <c r="N231">
        <v>16.8436944937833</v>
      </c>
      <c r="O231">
        <v>5.63</v>
      </c>
      <c r="P231">
        <v>3.24</v>
      </c>
      <c r="Q231">
        <v>0.5754884547069272</v>
      </c>
      <c r="R231">
        <v>20</v>
      </c>
      <c r="S231">
        <v>0.03989680129027162</v>
      </c>
      <c r="T231" t="s">
        <v>899</v>
      </c>
      <c r="U231">
        <v>-0.317155715571557</v>
      </c>
      <c r="V231" t="s">
        <v>978</v>
      </c>
      <c r="W231" t="s">
        <v>989</v>
      </c>
      <c r="X231">
        <v>24176.632071</v>
      </c>
      <c r="Y231" s="2">
        <v>44794</v>
      </c>
      <c r="Z231" t="s">
        <v>1007</v>
      </c>
    </row>
    <row r="232" spans="1:26">
      <c r="A232" s="1" t="s">
        <v>256</v>
      </c>
      <c r="B232">
        <f>HYPERLINK("https://www.suredividend.com/sure-analysis-RGLD/","Royal Gold, Inc.")</f>
        <v>0</v>
      </c>
      <c r="C232" t="s">
        <v>870</v>
      </c>
      <c r="D232">
        <v>103</v>
      </c>
      <c r="E232">
        <v>95.68000000000001</v>
      </c>
      <c r="F232">
        <v>118</v>
      </c>
      <c r="G232">
        <v>0.8108474576271187</v>
      </c>
      <c r="H232">
        <v>0.01463210702341137</v>
      </c>
      <c r="I232">
        <v>0.04282676252846107</v>
      </c>
      <c r="J232">
        <v>0.045</v>
      </c>
      <c r="K232">
        <v>0.1029503029278838</v>
      </c>
      <c r="L232" t="s">
        <v>873</v>
      </c>
      <c r="M232" t="s">
        <v>586</v>
      </c>
      <c r="N232">
        <v>26</v>
      </c>
      <c r="O232">
        <v>3.68</v>
      </c>
      <c r="P232">
        <v>1.4</v>
      </c>
      <c r="Q232">
        <v>0.3804347826086956</v>
      </c>
      <c r="R232">
        <v>21</v>
      </c>
      <c r="S232">
        <v>0.08958743119932766</v>
      </c>
      <c r="T232" t="s">
        <v>885</v>
      </c>
      <c r="U232">
        <v>-0.067881564065119</v>
      </c>
      <c r="V232" t="s">
        <v>978</v>
      </c>
      <c r="W232" t="s">
        <v>989</v>
      </c>
      <c r="X232">
        <v>6280.790173</v>
      </c>
      <c r="Y232" s="2">
        <v>44785</v>
      </c>
      <c r="Z232" t="s">
        <v>998</v>
      </c>
    </row>
    <row r="233" spans="1:26">
      <c r="A233" s="1" t="s">
        <v>257</v>
      </c>
      <c r="B233">
        <f>HYPERLINK("https://www.suredividend.com/sure-analysis-RELX/","RELX Plc")</f>
        <v>0</v>
      </c>
      <c r="C233" t="s">
        <v>870</v>
      </c>
      <c r="D233">
        <v>29</v>
      </c>
      <c r="E233">
        <v>26.34</v>
      </c>
      <c r="F233">
        <v>29</v>
      </c>
      <c r="G233">
        <v>0.9082758620689655</v>
      </c>
      <c r="H233">
        <v>0.02543659832953683</v>
      </c>
      <c r="I233">
        <v>0.01942773601930292</v>
      </c>
      <c r="J233">
        <v>0.06</v>
      </c>
      <c r="K233">
        <v>0.1010560125821638</v>
      </c>
      <c r="L233" t="s">
        <v>873</v>
      </c>
      <c r="M233" t="s">
        <v>568</v>
      </c>
      <c r="N233">
        <v>21.59016393442623</v>
      </c>
      <c r="O233">
        <v>1.22</v>
      </c>
      <c r="P233">
        <v>0.67</v>
      </c>
      <c r="Q233">
        <v>0.5491803278688525</v>
      </c>
      <c r="R233">
        <v>10</v>
      </c>
      <c r="S233">
        <v>0.04376002056809547</v>
      </c>
      <c r="T233" t="s">
        <v>942</v>
      </c>
      <c r="U233">
        <v>-0.154682781395319</v>
      </c>
      <c r="V233" t="s">
        <v>978</v>
      </c>
      <c r="W233" t="s">
        <v>985</v>
      </c>
      <c r="X233">
        <v>50525.359974</v>
      </c>
      <c r="Y233" s="2">
        <v>44771</v>
      </c>
      <c r="Z233" t="s">
        <v>1000</v>
      </c>
    </row>
    <row r="234" spans="1:26">
      <c r="A234" s="1" t="s">
        <v>258</v>
      </c>
      <c r="B234">
        <f>HYPERLINK("https://www.suredividend.com/sure-analysis-DEO/","Diageo plc")</f>
        <v>0</v>
      </c>
      <c r="C234" t="s">
        <v>870</v>
      </c>
      <c r="D234">
        <v>190</v>
      </c>
      <c r="E234">
        <v>170.46</v>
      </c>
      <c r="F234">
        <v>171</v>
      </c>
      <c r="G234">
        <v>0.996842105263158</v>
      </c>
      <c r="H234">
        <v>0.02346591575736243</v>
      </c>
      <c r="I234">
        <v>0.000632778401537859</v>
      </c>
      <c r="J234">
        <v>0.08</v>
      </c>
      <c r="K234">
        <v>0.09995907992110808</v>
      </c>
      <c r="L234" t="s">
        <v>873</v>
      </c>
      <c r="M234" t="s">
        <v>568</v>
      </c>
      <c r="N234">
        <v>19.96018735362998</v>
      </c>
      <c r="O234">
        <v>8.539999999999999</v>
      </c>
      <c r="P234">
        <v>4</v>
      </c>
      <c r="Q234">
        <v>0.468384074941452</v>
      </c>
      <c r="R234">
        <v>9</v>
      </c>
      <c r="S234">
        <v>0.05020040579475671</v>
      </c>
      <c r="T234" t="s">
        <v>906</v>
      </c>
      <c r="U234">
        <v>-0.147396473144439</v>
      </c>
      <c r="V234" t="s">
        <v>978</v>
      </c>
      <c r="W234" t="s">
        <v>990</v>
      </c>
      <c r="X234">
        <v>97071.87443900001</v>
      </c>
      <c r="Y234" s="2">
        <v>44775</v>
      </c>
      <c r="Z234" t="s">
        <v>993</v>
      </c>
    </row>
    <row r="235" spans="1:26">
      <c r="A235" s="1" t="s">
        <v>259</v>
      </c>
      <c r="B235">
        <f>HYPERLINK("https://www.suredividend.com/sure-analysis-TTE/","TotalEnergies SE")</f>
        <v>0</v>
      </c>
      <c r="C235" t="s">
        <v>869</v>
      </c>
      <c r="D235">
        <v>55</v>
      </c>
      <c r="E235">
        <v>57.44</v>
      </c>
      <c r="F235">
        <v>164</v>
      </c>
      <c r="G235">
        <v>0.3502439024390244</v>
      </c>
      <c r="H235">
        <v>0.04822423398328691</v>
      </c>
      <c r="I235">
        <v>0.2334623092929251</v>
      </c>
      <c r="J235">
        <v>-0.14</v>
      </c>
      <c r="K235">
        <v>0.09949155009680344</v>
      </c>
      <c r="L235" t="s">
        <v>873</v>
      </c>
      <c r="M235" t="s">
        <v>872</v>
      </c>
      <c r="N235">
        <v>4.192700729927007</v>
      </c>
      <c r="O235">
        <v>13.7</v>
      </c>
      <c r="P235">
        <v>2.77</v>
      </c>
      <c r="Q235">
        <v>0.2021897810218978</v>
      </c>
      <c r="R235">
        <v>5</v>
      </c>
      <c r="S235">
        <v>0.02992370160748448</v>
      </c>
      <c r="T235" t="s">
        <v>934</v>
      </c>
      <c r="U235">
        <v>0.223142607695747</v>
      </c>
      <c r="V235" t="s">
        <v>978</v>
      </c>
      <c r="W235" t="s">
        <v>991</v>
      </c>
      <c r="X235">
        <v>150442.90101</v>
      </c>
      <c r="Y235" s="2">
        <v>44866</v>
      </c>
      <c r="Z235" t="s">
        <v>996</v>
      </c>
    </row>
    <row r="236" spans="1:26">
      <c r="A236" s="1" t="s">
        <v>260</v>
      </c>
      <c r="B236">
        <f>HYPERLINK("https://www.suredividend.com/sure-analysis-EPD/","Enterprise Products Partners L P")</f>
        <v>0</v>
      </c>
      <c r="C236" t="s">
        <v>870</v>
      </c>
      <c r="D236">
        <v>25.7</v>
      </c>
      <c r="E236">
        <v>24.95</v>
      </c>
      <c r="F236">
        <v>27.9</v>
      </c>
      <c r="G236">
        <v>0.8942652329749105</v>
      </c>
      <c r="H236">
        <v>0.07615230460921843</v>
      </c>
      <c r="I236">
        <v>0.02260221869896917</v>
      </c>
      <c r="J236">
        <v>0.017</v>
      </c>
      <c r="K236">
        <v>0.09901694668022798</v>
      </c>
      <c r="L236" t="s">
        <v>873</v>
      </c>
      <c r="M236" t="s">
        <v>872</v>
      </c>
      <c r="N236">
        <v>7.148997134670487</v>
      </c>
      <c r="O236">
        <v>3.49</v>
      </c>
      <c r="P236">
        <v>1.9</v>
      </c>
      <c r="Q236">
        <v>0.5444126074498566</v>
      </c>
      <c r="R236">
        <v>24</v>
      </c>
      <c r="S236">
        <v>0.005208615197356048</v>
      </c>
      <c r="T236" t="s">
        <v>911</v>
      </c>
      <c r="U236">
        <v>0.19985957555268</v>
      </c>
      <c r="V236" t="s">
        <v>979</v>
      </c>
      <c r="W236" t="s">
        <v>991</v>
      </c>
      <c r="X236">
        <v>54372.272031</v>
      </c>
      <c r="Y236" s="2">
        <v>44780</v>
      </c>
      <c r="Z236" t="s">
        <v>999</v>
      </c>
    </row>
    <row r="237" spans="1:26">
      <c r="A237" s="1" t="s">
        <v>261</v>
      </c>
      <c r="B237">
        <f>HYPERLINK("https://www.suredividend.com/sure-analysis-KDP/","Keurig Dr Pepper Inc")</f>
        <v>0</v>
      </c>
      <c r="C237" t="s">
        <v>870</v>
      </c>
      <c r="D237">
        <v>39</v>
      </c>
      <c r="E237">
        <v>36.98</v>
      </c>
      <c r="F237">
        <v>34</v>
      </c>
      <c r="G237">
        <v>1.087647058823529</v>
      </c>
      <c r="H237">
        <v>0.02163331530557058</v>
      </c>
      <c r="I237">
        <v>-0.01666295157929465</v>
      </c>
      <c r="J237">
        <v>0.1</v>
      </c>
      <c r="K237">
        <v>0.09877463955527421</v>
      </c>
      <c r="L237" t="s">
        <v>873</v>
      </c>
      <c r="M237" t="s">
        <v>586</v>
      </c>
      <c r="N237">
        <v>21.62573099415205</v>
      </c>
      <c r="O237">
        <v>1.71</v>
      </c>
      <c r="P237">
        <v>0.8</v>
      </c>
      <c r="Q237">
        <v>0.4678362573099416</v>
      </c>
      <c r="R237">
        <v>2</v>
      </c>
      <c r="S237">
        <v>0.03713728933664817</v>
      </c>
      <c r="T237" t="s">
        <v>886</v>
      </c>
      <c r="U237">
        <v>0.044381998672635</v>
      </c>
      <c r="V237" t="s">
        <v>978</v>
      </c>
      <c r="W237" t="s">
        <v>990</v>
      </c>
      <c r="X237">
        <v>52372.973333</v>
      </c>
      <c r="Y237" s="2">
        <v>44782</v>
      </c>
      <c r="Z237" t="s">
        <v>1007</v>
      </c>
    </row>
    <row r="238" spans="1:26">
      <c r="A238" s="1" t="s">
        <v>262</v>
      </c>
      <c r="B238">
        <f>HYPERLINK("https://www.suredividend.com/sure-analysis-SWX/","Southwest Gas Holdings Inc")</f>
        <v>0</v>
      </c>
      <c r="C238" t="s">
        <v>870</v>
      </c>
      <c r="D238">
        <v>76</v>
      </c>
      <c r="E238">
        <v>70.36</v>
      </c>
      <c r="F238">
        <v>77</v>
      </c>
      <c r="G238">
        <v>0.9137662337662338</v>
      </c>
      <c r="H238">
        <v>0.03524729960204662</v>
      </c>
      <c r="I238">
        <v>0.01819973314077772</v>
      </c>
      <c r="J238">
        <v>0.05</v>
      </c>
      <c r="K238">
        <v>0.09875564261702574</v>
      </c>
      <c r="L238" t="s">
        <v>873</v>
      </c>
      <c r="M238" t="s">
        <v>873</v>
      </c>
      <c r="N238">
        <v>16.83253588516747</v>
      </c>
      <c r="O238">
        <v>4.18</v>
      </c>
      <c r="P238">
        <v>2.48</v>
      </c>
      <c r="Q238">
        <v>0.5933014354066986</v>
      </c>
      <c r="R238">
        <v>15</v>
      </c>
      <c r="S238">
        <v>0.05031971210600594</v>
      </c>
      <c r="T238" t="s">
        <v>905</v>
      </c>
      <c r="U238">
        <v>0.026829496100499</v>
      </c>
      <c r="V238" t="s">
        <v>978</v>
      </c>
      <c r="W238" t="s">
        <v>987</v>
      </c>
      <c r="X238">
        <v>4703.710238</v>
      </c>
      <c r="Y238" s="2">
        <v>44785</v>
      </c>
      <c r="Z238" t="s">
        <v>998</v>
      </c>
    </row>
    <row r="239" spans="1:26">
      <c r="A239" s="1" t="s">
        <v>263</v>
      </c>
      <c r="B239">
        <f>HYPERLINK("https://www.suredividend.com/sure-analysis-FMC/","FMC Corp.")</f>
        <v>0</v>
      </c>
      <c r="C239" t="s">
        <v>869</v>
      </c>
      <c r="D239">
        <v>120</v>
      </c>
      <c r="E239">
        <v>124.5</v>
      </c>
      <c r="F239">
        <v>126</v>
      </c>
      <c r="G239">
        <v>0.9880952380952381</v>
      </c>
      <c r="H239">
        <v>0.0170281124497992</v>
      </c>
      <c r="I239">
        <v>0.002398109084068123</v>
      </c>
      <c r="J239">
        <v>0.08</v>
      </c>
      <c r="K239">
        <v>0.09873810861086274</v>
      </c>
      <c r="L239" t="s">
        <v>873</v>
      </c>
      <c r="M239" t="s">
        <v>568</v>
      </c>
      <c r="N239">
        <v>16.82432432432432</v>
      </c>
      <c r="O239">
        <v>7.4</v>
      </c>
      <c r="P239">
        <v>2.12</v>
      </c>
      <c r="Q239">
        <v>0.2864864864864865</v>
      </c>
      <c r="R239">
        <v>4</v>
      </c>
      <c r="S239">
        <v>0.09972400142066462</v>
      </c>
      <c r="T239" t="s">
        <v>886</v>
      </c>
      <c r="U239">
        <v>0.215680224349147</v>
      </c>
      <c r="V239" t="s">
        <v>978</v>
      </c>
      <c r="W239" t="s">
        <v>989</v>
      </c>
      <c r="X239">
        <v>15682.757414</v>
      </c>
      <c r="Y239" s="2">
        <v>44867</v>
      </c>
      <c r="Z239" t="s">
        <v>1002</v>
      </c>
    </row>
    <row r="240" spans="1:26">
      <c r="A240" s="1" t="s">
        <v>264</v>
      </c>
      <c r="B240">
        <f>HYPERLINK("https://www.suredividend.com/sure-analysis-TROW/","T. Rowe Price Group Inc.")</f>
        <v>0</v>
      </c>
      <c r="C240" t="s">
        <v>870</v>
      </c>
      <c r="D240">
        <v>123</v>
      </c>
      <c r="E240">
        <v>102.83</v>
      </c>
      <c r="F240">
        <v>118</v>
      </c>
      <c r="G240">
        <v>0.8714406779661017</v>
      </c>
      <c r="H240">
        <v>0.04667898473208208</v>
      </c>
      <c r="I240">
        <v>0.02790371176200357</v>
      </c>
      <c r="J240">
        <v>0.03</v>
      </c>
      <c r="K240">
        <v>0.09823895453837261</v>
      </c>
      <c r="L240" t="s">
        <v>873</v>
      </c>
      <c r="M240" t="s">
        <v>872</v>
      </c>
      <c r="N240">
        <v>12.22711058263971</v>
      </c>
      <c r="O240">
        <v>8.41</v>
      </c>
      <c r="P240">
        <v>4.8</v>
      </c>
      <c r="Q240">
        <v>0.5707491082045184</v>
      </c>
      <c r="R240">
        <v>36</v>
      </c>
      <c r="S240">
        <v>0.04563955259127317</v>
      </c>
      <c r="T240" t="s">
        <v>883</v>
      </c>
      <c r="U240">
        <v>-0.5145892300459021</v>
      </c>
      <c r="V240" t="s">
        <v>978</v>
      </c>
      <c r="W240" t="s">
        <v>986</v>
      </c>
      <c r="X240">
        <v>22978.886618</v>
      </c>
      <c r="Y240" s="2">
        <v>44772</v>
      </c>
      <c r="Z240" t="s">
        <v>993</v>
      </c>
    </row>
    <row r="241" spans="1:26">
      <c r="A241" s="1" t="s">
        <v>265</v>
      </c>
      <c r="B241">
        <f>HYPERLINK("https://www.suredividend.com/sure-analysis-SAP/","Sap SE")</f>
        <v>0</v>
      </c>
      <c r="C241" t="s">
        <v>869</v>
      </c>
      <c r="D241">
        <v>95</v>
      </c>
      <c r="E241">
        <v>96.02</v>
      </c>
      <c r="F241">
        <v>97</v>
      </c>
      <c r="G241">
        <v>0.9898969072164948</v>
      </c>
      <c r="H241">
        <v>0.02270360341595501</v>
      </c>
      <c r="I241">
        <v>0.002032958744323077</v>
      </c>
      <c r="J241">
        <v>0.075</v>
      </c>
      <c r="K241">
        <v>0.09805211504935474</v>
      </c>
      <c r="L241" t="s">
        <v>873</v>
      </c>
      <c r="M241" t="s">
        <v>568</v>
      </c>
      <c r="N241">
        <v>18.82745098039216</v>
      </c>
      <c r="O241">
        <v>5.1</v>
      </c>
      <c r="P241">
        <v>2.18</v>
      </c>
      <c r="Q241">
        <v>0.4274509803921569</v>
      </c>
      <c r="R241">
        <v>7</v>
      </c>
      <c r="S241">
        <v>0.08513424681182724</v>
      </c>
      <c r="T241" t="s">
        <v>890</v>
      </c>
      <c r="U241">
        <v>-0.355224281493419</v>
      </c>
      <c r="V241" t="s">
        <v>978</v>
      </c>
      <c r="W241" t="s">
        <v>982</v>
      </c>
      <c r="X241">
        <v>117960.976357</v>
      </c>
      <c r="Y241" s="2">
        <v>44778</v>
      </c>
      <c r="Z241" t="s">
        <v>994</v>
      </c>
    </row>
    <row r="242" spans="1:26">
      <c r="A242" s="1" t="s">
        <v>266</v>
      </c>
      <c r="B242">
        <f>HYPERLINK("https://www.suredividend.com/sure-analysis-LNT/","Alliant Energy Corp.")</f>
        <v>0</v>
      </c>
      <c r="C242" t="s">
        <v>870</v>
      </c>
      <c r="D242">
        <v>63</v>
      </c>
      <c r="E242">
        <v>52.73</v>
      </c>
      <c r="F242">
        <v>55</v>
      </c>
      <c r="G242">
        <v>0.9587272727272727</v>
      </c>
      <c r="H242">
        <v>0.03242935710221885</v>
      </c>
      <c r="I242">
        <v>0.008465356528300161</v>
      </c>
      <c r="J242">
        <v>0.06</v>
      </c>
      <c r="K242">
        <v>0.09714214535027144</v>
      </c>
      <c r="L242" t="s">
        <v>873</v>
      </c>
      <c r="M242" t="s">
        <v>873</v>
      </c>
      <c r="N242">
        <v>19.10507246376812</v>
      </c>
      <c r="O242">
        <v>2.76</v>
      </c>
      <c r="P242">
        <v>1.71</v>
      </c>
      <c r="Q242">
        <v>0.6195652173913044</v>
      </c>
      <c r="R242">
        <v>19</v>
      </c>
      <c r="S242">
        <v>0.06015135896887758</v>
      </c>
      <c r="T242" t="s">
        <v>911</v>
      </c>
      <c r="U242">
        <v>-0.023536601174052</v>
      </c>
      <c r="V242" t="s">
        <v>978</v>
      </c>
      <c r="W242" t="s">
        <v>987</v>
      </c>
      <c r="X242">
        <v>13231.340213</v>
      </c>
      <c r="Y242" s="2">
        <v>44798</v>
      </c>
      <c r="Z242" t="s">
        <v>997</v>
      </c>
    </row>
    <row r="243" spans="1:26">
      <c r="A243" s="1" t="s">
        <v>267</v>
      </c>
      <c r="B243">
        <f>HYPERLINK("https://www.suredividend.com/sure-analysis-GEF/","Greif Inc")</f>
        <v>0</v>
      </c>
      <c r="C243" t="s">
        <v>869</v>
      </c>
      <c r="D243">
        <v>67</v>
      </c>
      <c r="E243">
        <v>68.68000000000001</v>
      </c>
      <c r="F243">
        <v>109</v>
      </c>
      <c r="G243">
        <v>0.6300917431192661</v>
      </c>
      <c r="H243">
        <v>0.029120559114735</v>
      </c>
      <c r="I243">
        <v>0.09677929258296891</v>
      </c>
      <c r="J243">
        <v>-0.02</v>
      </c>
      <c r="K243">
        <v>0.09702016273056246</v>
      </c>
      <c r="L243" t="s">
        <v>873</v>
      </c>
      <c r="M243" t="s">
        <v>873</v>
      </c>
      <c r="N243">
        <v>8.479012345679013</v>
      </c>
      <c r="O243">
        <v>8.1</v>
      </c>
      <c r="P243">
        <v>2</v>
      </c>
      <c r="Q243">
        <v>0.2469135802469136</v>
      </c>
      <c r="R243">
        <v>2</v>
      </c>
      <c r="S243">
        <v>0.01924487649145656</v>
      </c>
      <c r="T243" t="s">
        <v>887</v>
      </c>
      <c r="U243">
        <v>0.05827769465575901</v>
      </c>
      <c r="V243" t="s">
        <v>978</v>
      </c>
      <c r="W243" t="s">
        <v>983</v>
      </c>
      <c r="X243">
        <v>3381.049278</v>
      </c>
      <c r="Y243" s="2">
        <v>44810</v>
      </c>
      <c r="Z243" t="s">
        <v>996</v>
      </c>
    </row>
    <row r="244" spans="1:26">
      <c r="A244" s="1" t="s">
        <v>268</v>
      </c>
      <c r="B244">
        <f>HYPERLINK("https://www.suredividend.com/sure-analysis-CDUAF/","Canadian Utilities Ltd.")</f>
        <v>0</v>
      </c>
      <c r="C244" t="s">
        <v>869</v>
      </c>
      <c r="D244">
        <v>26</v>
      </c>
      <c r="E244">
        <v>25.97</v>
      </c>
      <c r="F244">
        <v>28</v>
      </c>
      <c r="G244">
        <v>0.9275</v>
      </c>
      <c r="H244">
        <v>0.05082787832113978</v>
      </c>
      <c r="I244">
        <v>0.0151663563036839</v>
      </c>
      <c r="J244">
        <v>0.04</v>
      </c>
      <c r="K244">
        <v>0.09652278370412781</v>
      </c>
      <c r="L244" t="s">
        <v>873</v>
      </c>
      <c r="M244" t="s">
        <v>872</v>
      </c>
      <c r="N244">
        <v>14.67231638418079</v>
      </c>
      <c r="O244">
        <v>1.77</v>
      </c>
      <c r="P244">
        <v>1.32</v>
      </c>
      <c r="Q244">
        <v>0.7457627118644068</v>
      </c>
      <c r="R244">
        <v>50</v>
      </c>
      <c r="S244">
        <v>0.02452478088008614</v>
      </c>
      <c r="T244" t="s">
        <v>920</v>
      </c>
      <c r="U244">
        <v>-0.08362738179251901</v>
      </c>
      <c r="V244" t="s">
        <v>978</v>
      </c>
      <c r="W244" t="s">
        <v>987</v>
      </c>
      <c r="X244">
        <v>5137.171122</v>
      </c>
      <c r="Y244" s="2">
        <v>44861</v>
      </c>
      <c r="Z244" t="s">
        <v>1000</v>
      </c>
    </row>
    <row r="245" spans="1:26">
      <c r="A245" s="1" t="s">
        <v>269</v>
      </c>
      <c r="B245">
        <f>HYPERLINK("https://www.suredividend.com/sure-analysis-R/","Ryder System, Inc.")</f>
        <v>0</v>
      </c>
      <c r="C245" t="s">
        <v>869</v>
      </c>
      <c r="D245">
        <v>82</v>
      </c>
      <c r="E245">
        <v>83.34999999999999</v>
      </c>
      <c r="F245">
        <v>190</v>
      </c>
      <c r="G245">
        <v>0.4386842105263157</v>
      </c>
      <c r="H245">
        <v>0.02975404919016197</v>
      </c>
      <c r="I245">
        <v>0.1791514770832165</v>
      </c>
      <c r="J245">
        <v>-0.09</v>
      </c>
      <c r="K245">
        <v>0.09635490487438614</v>
      </c>
      <c r="L245" t="s">
        <v>873</v>
      </c>
      <c r="M245" t="s">
        <v>568</v>
      </c>
      <c r="N245">
        <v>5.258675078864353</v>
      </c>
      <c r="O245">
        <v>15.85</v>
      </c>
      <c r="P245">
        <v>2.48</v>
      </c>
      <c r="Q245">
        <v>0.1564668769716088</v>
      </c>
      <c r="R245">
        <v>18</v>
      </c>
      <c r="S245">
        <v>0.02747989306053134</v>
      </c>
      <c r="T245" t="s">
        <v>884</v>
      </c>
      <c r="U245">
        <v>-0.0182151422204</v>
      </c>
      <c r="V245" t="s">
        <v>978</v>
      </c>
      <c r="W245" t="s">
        <v>984</v>
      </c>
      <c r="X245">
        <v>4188.428518</v>
      </c>
      <c r="Y245" s="2">
        <v>44861</v>
      </c>
      <c r="Z245" t="s">
        <v>996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869</v>
      </c>
      <c r="D246">
        <v>229</v>
      </c>
      <c r="E246">
        <v>233.8</v>
      </c>
      <c r="F246">
        <v>247</v>
      </c>
      <c r="G246">
        <v>0.9465587044534414</v>
      </c>
      <c r="H246">
        <v>0.02121471343028229</v>
      </c>
      <c r="I246">
        <v>0.01104500817376164</v>
      </c>
      <c r="J246">
        <v>0.065</v>
      </c>
      <c r="K246">
        <v>0.09606087772485505</v>
      </c>
      <c r="L246" t="s">
        <v>873</v>
      </c>
      <c r="M246" t="s">
        <v>568</v>
      </c>
      <c r="N246">
        <v>17.06569343065694</v>
      </c>
      <c r="O246">
        <v>13.7</v>
      </c>
      <c r="P246">
        <v>4.96</v>
      </c>
      <c r="Q246">
        <v>0.362043795620438</v>
      </c>
      <c r="R246">
        <v>6</v>
      </c>
      <c r="S246">
        <v>0.08006320336357708</v>
      </c>
      <c r="T246" t="s">
        <v>915</v>
      </c>
      <c r="U246">
        <v>-0.162085554003729</v>
      </c>
      <c r="V246" t="s">
        <v>978</v>
      </c>
      <c r="W246" t="s">
        <v>984</v>
      </c>
      <c r="X246">
        <v>54128.022999</v>
      </c>
      <c r="Y246" s="2">
        <v>44864</v>
      </c>
      <c r="Z246" t="s">
        <v>994</v>
      </c>
    </row>
    <row r="247" spans="1:26">
      <c r="A247" s="1" t="s">
        <v>271</v>
      </c>
      <c r="B247">
        <f>HYPERLINK("https://www.suredividend.com/sure-analysis-WFG/","West Fraser Timber Co., Ltd.")</f>
        <v>0</v>
      </c>
      <c r="C247" t="s">
        <v>870</v>
      </c>
      <c r="D247">
        <v>77</v>
      </c>
      <c r="E247">
        <v>78.09999999999999</v>
      </c>
      <c r="F247">
        <v>197</v>
      </c>
      <c r="G247">
        <v>0.3964467005076142</v>
      </c>
      <c r="H247">
        <v>0.01536491677336748</v>
      </c>
      <c r="I247">
        <v>0.2032698600185883</v>
      </c>
      <c r="J247">
        <v>-0.1</v>
      </c>
      <c r="K247">
        <v>0.09559864013972175</v>
      </c>
      <c r="L247" t="s">
        <v>873</v>
      </c>
      <c r="M247" t="s">
        <v>586</v>
      </c>
      <c r="N247">
        <v>3.366379310344827</v>
      </c>
      <c r="O247">
        <v>23.2</v>
      </c>
      <c r="P247">
        <v>1.2</v>
      </c>
      <c r="Q247">
        <v>0.05172413793103448</v>
      </c>
      <c r="R247">
        <v>7</v>
      </c>
      <c r="S247">
        <v>0.04978904632428516</v>
      </c>
      <c r="T247" t="s">
        <v>943</v>
      </c>
      <c r="U247">
        <v>-0.054763218791452</v>
      </c>
      <c r="V247" t="s">
        <v>978</v>
      </c>
      <c r="W247" t="s">
        <v>984</v>
      </c>
      <c r="X247">
        <v>6469.106723</v>
      </c>
      <c r="Y247" s="2">
        <v>44864</v>
      </c>
      <c r="Z247" t="s">
        <v>1003</v>
      </c>
    </row>
    <row r="248" spans="1:26">
      <c r="A248" s="1" t="s">
        <v>272</v>
      </c>
      <c r="B248">
        <f>HYPERLINK("https://www.suredividend.com/sure-analysis-MRK/","Merck &amp; Co Inc")</f>
        <v>0</v>
      </c>
      <c r="C248" t="s">
        <v>869</v>
      </c>
      <c r="D248">
        <v>101</v>
      </c>
      <c r="E248">
        <v>99.2</v>
      </c>
      <c r="F248">
        <v>110</v>
      </c>
      <c r="G248">
        <v>0.9018181818181819</v>
      </c>
      <c r="H248">
        <v>0.02782258064516129</v>
      </c>
      <c r="I248">
        <v>0.02088354231348832</v>
      </c>
      <c r="J248">
        <v>0.05</v>
      </c>
      <c r="K248">
        <v>0.09532602800617274</v>
      </c>
      <c r="L248" t="s">
        <v>873</v>
      </c>
      <c r="M248" t="s">
        <v>873</v>
      </c>
      <c r="N248">
        <v>13.49659863945578</v>
      </c>
      <c r="O248">
        <v>7.35</v>
      </c>
      <c r="P248">
        <v>2.76</v>
      </c>
      <c r="Q248">
        <v>0.3755102040816327</v>
      </c>
      <c r="R248">
        <v>11</v>
      </c>
      <c r="S248">
        <v>0.04984870359842875</v>
      </c>
      <c r="T248" t="s">
        <v>883</v>
      </c>
      <c r="U248">
        <v>0.134083672967766</v>
      </c>
      <c r="V248" t="s">
        <v>978</v>
      </c>
      <c r="W248" t="s">
        <v>988</v>
      </c>
      <c r="X248">
        <v>251511.280621</v>
      </c>
      <c r="Y248" s="2">
        <v>44866</v>
      </c>
      <c r="Z248" t="s">
        <v>993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870</v>
      </c>
      <c r="D249">
        <v>188</v>
      </c>
      <c r="E249">
        <v>196.7</v>
      </c>
      <c r="F249">
        <v>198</v>
      </c>
      <c r="G249">
        <v>0.9934343434343433</v>
      </c>
      <c r="H249">
        <v>0.02643619725470259</v>
      </c>
      <c r="I249">
        <v>0.001318329292972376</v>
      </c>
      <c r="J249">
        <v>0.07000000000000001</v>
      </c>
      <c r="K249">
        <v>0.09502871347453667</v>
      </c>
      <c r="L249" t="s">
        <v>873</v>
      </c>
      <c r="M249" t="s">
        <v>873</v>
      </c>
      <c r="N249">
        <v>17.88181818181818</v>
      </c>
      <c r="O249">
        <v>11</v>
      </c>
      <c r="P249">
        <v>5.2</v>
      </c>
      <c r="Q249">
        <v>0.4727272727272727</v>
      </c>
      <c r="R249">
        <v>15</v>
      </c>
      <c r="S249">
        <v>0.06990406340683197</v>
      </c>
      <c r="T249" t="s">
        <v>881</v>
      </c>
      <c r="U249">
        <v>-0.153016394106165</v>
      </c>
      <c r="V249" t="s">
        <v>978</v>
      </c>
      <c r="W249" t="s">
        <v>984</v>
      </c>
      <c r="X249">
        <v>120931.31736</v>
      </c>
      <c r="Y249" s="2">
        <v>44854</v>
      </c>
      <c r="Z249" t="s">
        <v>993</v>
      </c>
    </row>
    <row r="250" spans="1:26">
      <c r="A250" s="1" t="s">
        <v>274</v>
      </c>
      <c r="B250">
        <f>HYPERLINK("https://www.suredividend.com/sure-analysis-PB/","Prosperity Bancshares Inc.")</f>
        <v>0</v>
      </c>
      <c r="C250" t="s">
        <v>870</v>
      </c>
      <c r="D250">
        <v>72</v>
      </c>
      <c r="E250">
        <v>71.68000000000001</v>
      </c>
      <c r="F250">
        <v>82</v>
      </c>
      <c r="G250">
        <v>0.8741463414634147</v>
      </c>
      <c r="H250">
        <v>0.03069196428571428</v>
      </c>
      <c r="I250">
        <v>0.02726660762144451</v>
      </c>
      <c r="J250">
        <v>0.04</v>
      </c>
      <c r="K250">
        <v>0.09500519689382969</v>
      </c>
      <c r="L250" t="s">
        <v>873</v>
      </c>
      <c r="M250" t="s">
        <v>873</v>
      </c>
      <c r="N250">
        <v>12.57543859649123</v>
      </c>
      <c r="O250">
        <v>5.7</v>
      </c>
      <c r="P250">
        <v>2.2</v>
      </c>
      <c r="Q250">
        <v>0.3859649122807018</v>
      </c>
      <c r="R250">
        <v>19</v>
      </c>
      <c r="S250">
        <v>0.05825915471090526</v>
      </c>
      <c r="T250" t="s">
        <v>883</v>
      </c>
      <c r="U250">
        <v>-0.03328869306511401</v>
      </c>
      <c r="V250" t="s">
        <v>978</v>
      </c>
      <c r="W250" t="s">
        <v>986</v>
      </c>
      <c r="X250">
        <v>6607.62583</v>
      </c>
      <c r="Y250" s="2">
        <v>44861</v>
      </c>
      <c r="Z250" t="s">
        <v>996</v>
      </c>
    </row>
    <row r="251" spans="1:26">
      <c r="A251" s="1" t="s">
        <v>275</v>
      </c>
      <c r="B251">
        <f>HYPERLINK("https://www.suredividend.com/sure-analysis-CI/","Cigna Corp.")</f>
        <v>0</v>
      </c>
      <c r="C251" t="s">
        <v>869</v>
      </c>
      <c r="D251">
        <v>291</v>
      </c>
      <c r="E251">
        <v>322.13</v>
      </c>
      <c r="F251">
        <v>298</v>
      </c>
      <c r="G251">
        <v>1.080973154362416</v>
      </c>
      <c r="H251">
        <v>0.01390742867786298</v>
      </c>
      <c r="I251">
        <v>-0.01545171888822927</v>
      </c>
      <c r="J251">
        <v>0.1</v>
      </c>
      <c r="K251">
        <v>0.09449052983268702</v>
      </c>
      <c r="L251" t="s">
        <v>873</v>
      </c>
      <c r="M251" t="s">
        <v>586</v>
      </c>
      <c r="N251">
        <v>14.06681222707424</v>
      </c>
      <c r="O251">
        <v>22.9</v>
      </c>
      <c r="P251">
        <v>4.48</v>
      </c>
      <c r="Q251">
        <v>0.1956331877729258</v>
      </c>
      <c r="R251">
        <v>2</v>
      </c>
      <c r="S251">
        <v>0.05008294028029181</v>
      </c>
      <c r="T251" t="s">
        <v>897</v>
      </c>
      <c r="U251">
        <v>0.53264233666937</v>
      </c>
      <c r="V251" t="s">
        <v>978</v>
      </c>
      <c r="W251" t="s">
        <v>988</v>
      </c>
      <c r="X251">
        <v>98487.705359</v>
      </c>
      <c r="Y251" s="2">
        <v>44788</v>
      </c>
      <c r="Z251" t="s">
        <v>993</v>
      </c>
    </row>
    <row r="252" spans="1:26">
      <c r="A252" s="1" t="s">
        <v>276</v>
      </c>
      <c r="B252">
        <f>HYPERLINK("https://www.suredividend.com/sure-analysis-CMI/","Cummins Inc.")</f>
        <v>0</v>
      </c>
      <c r="C252" t="s">
        <v>869</v>
      </c>
      <c r="D252">
        <v>223</v>
      </c>
      <c r="E252">
        <v>238.37</v>
      </c>
      <c r="F252">
        <v>229</v>
      </c>
      <c r="G252">
        <v>1.040917030567686</v>
      </c>
      <c r="H252">
        <v>0.0263455971808533</v>
      </c>
      <c r="I252">
        <v>-0.007988339230591168</v>
      </c>
      <c r="J252">
        <v>0.08</v>
      </c>
      <c r="K252">
        <v>0.09363961509711838</v>
      </c>
      <c r="L252" t="s">
        <v>873</v>
      </c>
      <c r="M252" t="s">
        <v>873</v>
      </c>
      <c r="N252">
        <v>13.55915813424346</v>
      </c>
      <c r="O252">
        <v>17.58</v>
      </c>
      <c r="P252">
        <v>6.28</v>
      </c>
      <c r="Q252">
        <v>0.3572241183162685</v>
      </c>
      <c r="R252">
        <v>17</v>
      </c>
      <c r="S252">
        <v>0.05012970832663055</v>
      </c>
      <c r="T252" t="s">
        <v>895</v>
      </c>
      <c r="U252">
        <v>0.041137533495085</v>
      </c>
      <c r="V252" t="s">
        <v>978</v>
      </c>
      <c r="W252" t="s">
        <v>984</v>
      </c>
      <c r="X252">
        <v>33608.340034</v>
      </c>
      <c r="Y252" s="2">
        <v>44775</v>
      </c>
      <c r="Z252" t="s">
        <v>993</v>
      </c>
    </row>
    <row r="253" spans="1:26">
      <c r="A253" s="1" t="s">
        <v>277</v>
      </c>
      <c r="B253">
        <f>HYPERLINK("https://www.suredividend.com/sure-analysis-BLK/","Blackrock Inc.")</f>
        <v>0</v>
      </c>
      <c r="C253" t="s">
        <v>869</v>
      </c>
      <c r="D253">
        <v>551</v>
      </c>
      <c r="E253">
        <v>656.15</v>
      </c>
      <c r="F253">
        <v>612</v>
      </c>
      <c r="G253">
        <v>1.072140522875817</v>
      </c>
      <c r="H253">
        <v>0.02974929513068658</v>
      </c>
      <c r="I253">
        <v>-0.01383483450713718</v>
      </c>
      <c r="J253">
        <v>0.08</v>
      </c>
      <c r="K253">
        <v>0.09135546923652615</v>
      </c>
      <c r="L253" t="s">
        <v>873</v>
      </c>
      <c r="M253" t="s">
        <v>568</v>
      </c>
      <c r="N253">
        <v>19.2985294117647</v>
      </c>
      <c r="O253">
        <v>34</v>
      </c>
      <c r="P253">
        <v>19.52</v>
      </c>
      <c r="Q253">
        <v>0.5741176470588235</v>
      </c>
      <c r="R253">
        <v>12</v>
      </c>
      <c r="S253">
        <v>0.05998244289972532</v>
      </c>
      <c r="T253" t="s">
        <v>897</v>
      </c>
      <c r="U253">
        <v>-0.29948775008362</v>
      </c>
      <c r="V253" t="s">
        <v>978</v>
      </c>
      <c r="W253" t="s">
        <v>986</v>
      </c>
      <c r="X253">
        <v>98926.90809500001</v>
      </c>
      <c r="Y253" s="2">
        <v>44854</v>
      </c>
      <c r="Z253" t="s">
        <v>1005</v>
      </c>
    </row>
    <row r="254" spans="1:26">
      <c r="A254" s="1" t="s">
        <v>278</v>
      </c>
      <c r="B254">
        <f>HYPERLINK("https://www.suredividend.com/sure-analysis-APH/","Amphenol Corp.")</f>
        <v>0</v>
      </c>
      <c r="C254" t="s">
        <v>870</v>
      </c>
      <c r="D254">
        <v>76</v>
      </c>
      <c r="E254">
        <v>76.27</v>
      </c>
      <c r="F254">
        <v>68</v>
      </c>
      <c r="G254">
        <v>1.121617647058823</v>
      </c>
      <c r="H254">
        <v>0.01101350465451685</v>
      </c>
      <c r="I254">
        <v>-0.02269294637303421</v>
      </c>
      <c r="J254">
        <v>0.105</v>
      </c>
      <c r="K254">
        <v>0.09027583147916074</v>
      </c>
      <c r="L254" t="s">
        <v>873</v>
      </c>
      <c r="M254" t="s">
        <v>586</v>
      </c>
      <c r="N254">
        <v>25.68013468013468</v>
      </c>
      <c r="O254">
        <v>2.97</v>
      </c>
      <c r="P254">
        <v>0.84</v>
      </c>
      <c r="Q254">
        <v>0.2828282828282828</v>
      </c>
      <c r="R254">
        <v>12</v>
      </c>
      <c r="S254">
        <v>0.08958743119932766</v>
      </c>
      <c r="T254" t="s">
        <v>934</v>
      </c>
      <c r="U254">
        <v>-0.025363300398186</v>
      </c>
      <c r="V254" t="s">
        <v>978</v>
      </c>
      <c r="W254" t="s">
        <v>982</v>
      </c>
      <c r="X254">
        <v>45387.860566</v>
      </c>
      <c r="Y254" s="2">
        <v>44863</v>
      </c>
      <c r="Z254" t="s">
        <v>1009</v>
      </c>
    </row>
    <row r="255" spans="1:26">
      <c r="A255" s="1" t="s">
        <v>279</v>
      </c>
      <c r="B255">
        <f>HYPERLINK("https://www.suredividend.com/sure-analysis-SUN/","Sunoco LP")</f>
        <v>0</v>
      </c>
      <c r="C255" t="s">
        <v>870</v>
      </c>
      <c r="D255">
        <v>41</v>
      </c>
      <c r="E255">
        <v>42.96</v>
      </c>
      <c r="F255">
        <v>46</v>
      </c>
      <c r="G255">
        <v>0.9339130434782609</v>
      </c>
      <c r="H255">
        <v>0.07681564245810055</v>
      </c>
      <c r="I255">
        <v>0.01376831133922862</v>
      </c>
      <c r="J255">
        <v>0.015</v>
      </c>
      <c r="K255">
        <v>0.08985411730019632</v>
      </c>
      <c r="L255" t="s">
        <v>873</v>
      </c>
      <c r="M255" t="s">
        <v>872</v>
      </c>
      <c r="N255">
        <v>6.137142857142857</v>
      </c>
      <c r="O255">
        <v>7</v>
      </c>
      <c r="P255">
        <v>3.3</v>
      </c>
      <c r="Q255">
        <v>0.4714285714285714</v>
      </c>
      <c r="R255">
        <v>0</v>
      </c>
      <c r="S255">
        <v>0</v>
      </c>
      <c r="T255" t="s">
        <v>915</v>
      </c>
      <c r="U255">
        <v>0.156760424576312</v>
      </c>
      <c r="V255" t="s">
        <v>979</v>
      </c>
      <c r="W255" t="s">
        <v>991</v>
      </c>
      <c r="X255">
        <v>3598.471368</v>
      </c>
      <c r="Y255" s="2">
        <v>44795</v>
      </c>
      <c r="Z255" t="s">
        <v>994</v>
      </c>
    </row>
    <row r="256" spans="1:26">
      <c r="A256" s="1" t="s">
        <v>280</v>
      </c>
      <c r="B256">
        <f>HYPERLINK("https://www.suredividend.com/sure-analysis-AMGN/","AMGEN Inc.")</f>
        <v>0</v>
      </c>
      <c r="C256" t="s">
        <v>869</v>
      </c>
      <c r="D256">
        <v>250</v>
      </c>
      <c r="E256">
        <v>269.04</v>
      </c>
      <c r="F256">
        <v>235</v>
      </c>
      <c r="G256">
        <v>1.144851063829787</v>
      </c>
      <c r="H256">
        <v>0.02884329467737139</v>
      </c>
      <c r="I256">
        <v>-0.02669220491408653</v>
      </c>
      <c r="J256">
        <v>0.09</v>
      </c>
      <c r="K256">
        <v>0.0890752807491404</v>
      </c>
      <c r="L256" t="s">
        <v>873</v>
      </c>
      <c r="M256" t="s">
        <v>873</v>
      </c>
      <c r="N256">
        <v>15.37371428571429</v>
      </c>
      <c r="O256">
        <v>17.5</v>
      </c>
      <c r="P256">
        <v>7.76</v>
      </c>
      <c r="Q256">
        <v>0.4434285714285714</v>
      </c>
      <c r="R256">
        <v>11</v>
      </c>
      <c r="S256">
        <v>0.09000507779079414</v>
      </c>
      <c r="T256" t="s">
        <v>876</v>
      </c>
      <c r="U256">
        <v>0.29322776267367</v>
      </c>
      <c r="V256" t="s">
        <v>978</v>
      </c>
      <c r="W256" t="s">
        <v>988</v>
      </c>
      <c r="X256">
        <v>143917.795884</v>
      </c>
      <c r="Y256" s="2">
        <v>44788</v>
      </c>
      <c r="Z256" t="s">
        <v>993</v>
      </c>
    </row>
    <row r="257" spans="1:26">
      <c r="A257" s="1" t="s">
        <v>281</v>
      </c>
      <c r="B257">
        <f>HYPERLINK("https://www.suredividend.com/sure-analysis-UNH/","Unitedhealth Group Inc")</f>
        <v>0</v>
      </c>
      <c r="C257" t="s">
        <v>870</v>
      </c>
      <c r="D257">
        <v>513</v>
      </c>
      <c r="E257">
        <v>538.17</v>
      </c>
      <c r="F257">
        <v>439</v>
      </c>
      <c r="G257">
        <v>1.225899772209567</v>
      </c>
      <c r="H257">
        <v>0.01226378281955516</v>
      </c>
      <c r="I257">
        <v>-0.03991649743151804</v>
      </c>
      <c r="J257">
        <v>0.12</v>
      </c>
      <c r="K257">
        <v>0.08877750778631421</v>
      </c>
      <c r="L257" t="s">
        <v>873</v>
      </c>
      <c r="M257" t="s">
        <v>586</v>
      </c>
      <c r="N257">
        <v>24.51799544419134</v>
      </c>
      <c r="O257">
        <v>21.95</v>
      </c>
      <c r="P257">
        <v>6.6</v>
      </c>
      <c r="Q257">
        <v>0.3006833712984054</v>
      </c>
      <c r="R257">
        <v>13</v>
      </c>
      <c r="S257">
        <v>0.1400406130266392</v>
      </c>
      <c r="T257" t="s">
        <v>933</v>
      </c>
      <c r="U257">
        <v>0.19353591752034</v>
      </c>
      <c r="V257" t="s">
        <v>978</v>
      </c>
      <c r="W257" t="s">
        <v>988</v>
      </c>
      <c r="X257">
        <v>502838.640616</v>
      </c>
      <c r="Y257" s="2">
        <v>44851</v>
      </c>
      <c r="Z257" t="s">
        <v>1001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870</v>
      </c>
      <c r="D258">
        <v>45</v>
      </c>
      <c r="E258">
        <v>44.28</v>
      </c>
      <c r="F258">
        <v>45</v>
      </c>
      <c r="G258">
        <v>0.984</v>
      </c>
      <c r="H258">
        <v>0.03523035230352303</v>
      </c>
      <c r="I258">
        <v>0.003231085124615118</v>
      </c>
      <c r="J258">
        <v>0.055</v>
      </c>
      <c r="K258">
        <v>0.08831858140394688</v>
      </c>
      <c r="L258" t="s">
        <v>873</v>
      </c>
      <c r="M258" t="s">
        <v>873</v>
      </c>
      <c r="N258">
        <v>18.0734693877551</v>
      </c>
      <c r="O258">
        <v>2.45</v>
      </c>
      <c r="P258">
        <v>1.56</v>
      </c>
      <c r="Q258">
        <v>0.636734693877551</v>
      </c>
      <c r="R258">
        <v>26</v>
      </c>
      <c r="S258">
        <v>0.04022143939343281</v>
      </c>
      <c r="T258" t="s">
        <v>938</v>
      </c>
      <c r="U258">
        <v>0.189382584731422</v>
      </c>
      <c r="V258" t="s">
        <v>978</v>
      </c>
      <c r="W258" t="s">
        <v>987</v>
      </c>
      <c r="X258">
        <v>4260.992578</v>
      </c>
      <c r="Y258" s="2">
        <v>44778</v>
      </c>
      <c r="Z258" t="s">
        <v>998</v>
      </c>
    </row>
    <row r="259" spans="1:26">
      <c r="A259" s="1" t="s">
        <v>283</v>
      </c>
      <c r="B259">
        <f>HYPERLINK("https://www.suredividend.com/sure-analysis-MDLZ/","Mondelez International Inc.")</f>
        <v>0</v>
      </c>
      <c r="C259" t="s">
        <v>870</v>
      </c>
      <c r="D259">
        <v>64</v>
      </c>
      <c r="E259">
        <v>63.22</v>
      </c>
      <c r="F259">
        <v>62</v>
      </c>
      <c r="G259">
        <v>1.019677419354839</v>
      </c>
      <c r="H259">
        <v>0.02435937994305599</v>
      </c>
      <c r="I259">
        <v>-0.003889679869880203</v>
      </c>
      <c r="J259">
        <v>0.07000000000000001</v>
      </c>
      <c r="K259">
        <v>0.08811691101747487</v>
      </c>
      <c r="L259" t="s">
        <v>873</v>
      </c>
      <c r="M259" t="s">
        <v>568</v>
      </c>
      <c r="N259">
        <v>20.52597402597403</v>
      </c>
      <c r="O259">
        <v>3.08</v>
      </c>
      <c r="P259">
        <v>1.54</v>
      </c>
      <c r="Q259">
        <v>0.5</v>
      </c>
      <c r="R259">
        <v>8</v>
      </c>
      <c r="S259">
        <v>0.07000696848360421</v>
      </c>
      <c r="T259" t="s">
        <v>886</v>
      </c>
      <c r="U259">
        <v>0.04208046865599301</v>
      </c>
      <c r="V259" t="s">
        <v>978</v>
      </c>
      <c r="W259" t="s">
        <v>990</v>
      </c>
      <c r="X259">
        <v>86334.402076</v>
      </c>
      <c r="Y259" s="2">
        <v>44773</v>
      </c>
      <c r="Z259" t="s">
        <v>1005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870</v>
      </c>
      <c r="D260">
        <v>71.5</v>
      </c>
      <c r="E260">
        <v>59.03</v>
      </c>
      <c r="F260">
        <v>57.1</v>
      </c>
      <c r="G260">
        <v>1.033800350262697</v>
      </c>
      <c r="H260">
        <v>0.04743350838556665</v>
      </c>
      <c r="I260">
        <v>-0.006626283237353592</v>
      </c>
      <c r="J260">
        <v>0.056</v>
      </c>
      <c r="K260">
        <v>0.08769708999100612</v>
      </c>
      <c r="L260" t="s">
        <v>873</v>
      </c>
      <c r="M260" t="s">
        <v>872</v>
      </c>
      <c r="N260">
        <v>13.03090507726269</v>
      </c>
      <c r="O260">
        <v>4.53</v>
      </c>
      <c r="P260">
        <v>2.8</v>
      </c>
      <c r="Q260">
        <v>0.6181015452538631</v>
      </c>
      <c r="R260">
        <v>18</v>
      </c>
      <c r="S260">
        <v>0.02056514630321193</v>
      </c>
      <c r="T260" t="s">
        <v>886</v>
      </c>
      <c r="U260">
        <v>-0.02248305532418</v>
      </c>
      <c r="V260" t="s">
        <v>978</v>
      </c>
      <c r="W260" t="s">
        <v>987</v>
      </c>
      <c r="X260">
        <v>22542.062006</v>
      </c>
      <c r="Y260" s="2">
        <v>44794</v>
      </c>
      <c r="Z260" t="s">
        <v>999</v>
      </c>
    </row>
    <row r="261" spans="1:26">
      <c r="A261" s="1" t="s">
        <v>285</v>
      </c>
      <c r="B261">
        <f>HYPERLINK("https://www.suredividend.com/sure-analysis-BBY/","Best Buy Co. Inc.")</f>
        <v>0</v>
      </c>
      <c r="C261" t="s">
        <v>870</v>
      </c>
      <c r="D261">
        <v>72</v>
      </c>
      <c r="E261">
        <v>68.2</v>
      </c>
      <c r="F261">
        <v>68</v>
      </c>
      <c r="G261">
        <v>1.002941176470588</v>
      </c>
      <c r="H261">
        <v>0.05161290322580645</v>
      </c>
      <c r="I261">
        <v>-0.0005871994655366475</v>
      </c>
      <c r="J261">
        <v>0.04</v>
      </c>
      <c r="K261">
        <v>0.08755804811134671</v>
      </c>
      <c r="L261" t="s">
        <v>873</v>
      </c>
      <c r="M261" t="s">
        <v>872</v>
      </c>
      <c r="N261">
        <v>11.07142857142857</v>
      </c>
      <c r="O261">
        <v>6.16</v>
      </c>
      <c r="P261">
        <v>3.52</v>
      </c>
      <c r="Q261">
        <v>0.5714285714285714</v>
      </c>
      <c r="R261">
        <v>19</v>
      </c>
      <c r="S261">
        <v>0.05997506438656908</v>
      </c>
      <c r="T261" t="s">
        <v>934</v>
      </c>
      <c r="U261">
        <v>-0.4480445643315391</v>
      </c>
      <c r="V261" t="s">
        <v>978</v>
      </c>
      <c r="W261" t="s">
        <v>983</v>
      </c>
      <c r="X261">
        <v>15353.921037</v>
      </c>
      <c r="Y261" s="2">
        <v>44811</v>
      </c>
      <c r="Z261" t="s">
        <v>1007</v>
      </c>
    </row>
    <row r="262" spans="1:26">
      <c r="A262" s="1" t="s">
        <v>286</v>
      </c>
      <c r="B262">
        <f>HYPERLINK("https://www.suredividend.com/sure-analysis-SRE/","Sempra Energy")</f>
        <v>0</v>
      </c>
      <c r="C262" t="s">
        <v>870</v>
      </c>
      <c r="D262">
        <v>168</v>
      </c>
      <c r="E262">
        <v>154.83</v>
      </c>
      <c r="F262">
        <v>163</v>
      </c>
      <c r="G262">
        <v>0.949877300613497</v>
      </c>
      <c r="H262">
        <v>0.02958083058838726</v>
      </c>
      <c r="I262">
        <v>0.01033755915029411</v>
      </c>
      <c r="J262">
        <v>0.05</v>
      </c>
      <c r="K262">
        <v>0.08668049063300476</v>
      </c>
      <c r="L262" t="s">
        <v>873</v>
      </c>
      <c r="M262" t="s">
        <v>873</v>
      </c>
      <c r="N262">
        <v>17.89942196531792</v>
      </c>
      <c r="O262">
        <v>8.65</v>
      </c>
      <c r="P262">
        <v>4.58</v>
      </c>
      <c r="Q262">
        <v>0.5294797687861271</v>
      </c>
      <c r="R262">
        <v>12</v>
      </c>
      <c r="S262">
        <v>0.05016630004480027</v>
      </c>
      <c r="T262" t="s">
        <v>899</v>
      </c>
      <c r="U262">
        <v>0.253480202817193</v>
      </c>
      <c r="V262" t="s">
        <v>978</v>
      </c>
      <c r="W262" t="s">
        <v>987</v>
      </c>
      <c r="X262">
        <v>48668.234593</v>
      </c>
      <c r="Y262" s="2">
        <v>44796</v>
      </c>
      <c r="Z262" t="s">
        <v>996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68.36</v>
      </c>
      <c r="F263">
        <v>70</v>
      </c>
      <c r="G263">
        <v>0.9765714285714285</v>
      </c>
      <c r="H263">
        <v>0.02399063779988297</v>
      </c>
      <c r="I263">
        <v>0.004752735348406478</v>
      </c>
      <c r="J263">
        <v>0.06</v>
      </c>
      <c r="K263">
        <v>0.08582675359685554</v>
      </c>
      <c r="L263" t="s">
        <v>873</v>
      </c>
      <c r="M263" t="s">
        <v>568</v>
      </c>
      <c r="N263">
        <v>20.65256797583082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919</v>
      </c>
      <c r="U263">
        <v>-0.277503688578301</v>
      </c>
      <c r="V263" t="s">
        <v>978</v>
      </c>
      <c r="W263" t="s">
        <v>990</v>
      </c>
      <c r="X263">
        <v>2873.696147</v>
      </c>
      <c r="Y263" s="2">
        <v>44856</v>
      </c>
      <c r="Z263" t="s">
        <v>1009</v>
      </c>
    </row>
    <row r="264" spans="1:26">
      <c r="A264" s="1" t="s">
        <v>288</v>
      </c>
      <c r="B264">
        <f>HYPERLINK("https://www.suredividend.com/sure-analysis-TSCO/","Tractor Supply Co.")</f>
        <v>0</v>
      </c>
      <c r="C264" t="s">
        <v>870</v>
      </c>
      <c r="D264">
        <v>197</v>
      </c>
      <c r="E264">
        <v>206.56</v>
      </c>
      <c r="F264">
        <v>183</v>
      </c>
      <c r="G264">
        <v>1.128743169398907</v>
      </c>
      <c r="H264">
        <v>0.01781564678543765</v>
      </c>
      <c r="I264">
        <v>-0.02392998147610703</v>
      </c>
      <c r="J264">
        <v>0.093</v>
      </c>
      <c r="K264">
        <v>0.08484433336141017</v>
      </c>
      <c r="L264" t="s">
        <v>873</v>
      </c>
      <c r="M264" t="s">
        <v>568</v>
      </c>
      <c r="N264">
        <v>21.49427679500521</v>
      </c>
      <c r="O264">
        <v>9.609999999999999</v>
      </c>
      <c r="P264">
        <v>3.68</v>
      </c>
      <c r="Q264">
        <v>0.3829344432882414</v>
      </c>
      <c r="R264">
        <v>12</v>
      </c>
      <c r="S264">
        <v>0.102708408810896</v>
      </c>
      <c r="T264" t="s">
        <v>884</v>
      </c>
      <c r="U264">
        <v>-0.037246121205567</v>
      </c>
      <c r="V264" t="s">
        <v>978</v>
      </c>
      <c r="W264" t="s">
        <v>983</v>
      </c>
      <c r="X264">
        <v>22928.178177</v>
      </c>
      <c r="Y264" s="2">
        <v>44858</v>
      </c>
      <c r="Z264" t="s">
        <v>999</v>
      </c>
    </row>
    <row r="265" spans="1:26">
      <c r="A265" s="1" t="s">
        <v>289</v>
      </c>
      <c r="B265">
        <f>HYPERLINK("https://www.suredividend.com/sure-analysis-ESS/","Essex Property Trust, Inc.")</f>
        <v>0</v>
      </c>
      <c r="C265" t="s">
        <v>871</v>
      </c>
      <c r="D265">
        <v>287</v>
      </c>
      <c r="E265">
        <v>214.24</v>
      </c>
      <c r="F265">
        <v>257</v>
      </c>
      <c r="G265">
        <v>0.8336186770428016</v>
      </c>
      <c r="H265">
        <v>0.04107542942494399</v>
      </c>
      <c r="I265">
        <v>0.03706627818071651</v>
      </c>
      <c r="J265">
        <v>0.012</v>
      </c>
      <c r="K265">
        <v>0.08278808941049198</v>
      </c>
      <c r="L265" t="s">
        <v>873</v>
      </c>
      <c r="M265" t="s">
        <v>872</v>
      </c>
      <c r="N265">
        <v>15.02384291725105</v>
      </c>
      <c r="O265">
        <v>14.26</v>
      </c>
      <c r="P265">
        <v>8.800000000000001</v>
      </c>
      <c r="Q265">
        <v>0.6171107994389903</v>
      </c>
      <c r="R265">
        <v>27</v>
      </c>
      <c r="S265">
        <v>0.01542578325580846</v>
      </c>
      <c r="T265" t="s">
        <v>886</v>
      </c>
      <c r="U265">
        <v>-0.335319968788829</v>
      </c>
      <c r="V265" t="s">
        <v>980</v>
      </c>
      <c r="W265" t="s">
        <v>992</v>
      </c>
      <c r="X265">
        <v>13872.856683</v>
      </c>
      <c r="Y265" s="2">
        <v>44773</v>
      </c>
      <c r="Z265" t="s">
        <v>999</v>
      </c>
    </row>
    <row r="266" spans="1:26">
      <c r="A266" s="1" t="s">
        <v>290</v>
      </c>
      <c r="B266">
        <f>HYPERLINK("https://www.suredividend.com/sure-analysis-RBA/","Ritchie Bros Auctioneers Inc")</f>
        <v>0</v>
      </c>
      <c r="C266" t="s">
        <v>870</v>
      </c>
      <c r="D266">
        <v>68</v>
      </c>
      <c r="E266">
        <v>62.32</v>
      </c>
      <c r="F266">
        <v>53</v>
      </c>
      <c r="G266">
        <v>1.175849056603774</v>
      </c>
      <c r="H266">
        <v>0.01604621309370988</v>
      </c>
      <c r="I266">
        <v>-0.03187890133361904</v>
      </c>
      <c r="J266">
        <v>0.1</v>
      </c>
      <c r="K266">
        <v>0.0819869271382756</v>
      </c>
      <c r="L266" t="s">
        <v>873</v>
      </c>
      <c r="M266" t="s">
        <v>586</v>
      </c>
      <c r="N266">
        <v>29.67619047619047</v>
      </c>
      <c r="O266">
        <v>2.1</v>
      </c>
      <c r="P266">
        <v>1</v>
      </c>
      <c r="Q266">
        <v>0.4761904761904762</v>
      </c>
      <c r="R266">
        <v>18</v>
      </c>
      <c r="S266">
        <v>0.1171457808697174</v>
      </c>
      <c r="T266" t="s">
        <v>931</v>
      </c>
      <c r="U266">
        <v>-0.080219554780216</v>
      </c>
      <c r="V266" t="s">
        <v>978</v>
      </c>
      <c r="W266" t="s">
        <v>984</v>
      </c>
      <c r="X266">
        <v>6912.077532</v>
      </c>
      <c r="Y266" s="2">
        <v>44780</v>
      </c>
      <c r="Z266" t="s">
        <v>1000</v>
      </c>
    </row>
    <row r="267" spans="1:26">
      <c r="A267" s="1" t="s">
        <v>291</v>
      </c>
      <c r="B267">
        <f>HYPERLINK("https://www.suredividend.com/sure-analysis-MCO/","Moody`s Corp.")</f>
        <v>0</v>
      </c>
      <c r="C267" t="s">
        <v>870</v>
      </c>
      <c r="D267">
        <v>313</v>
      </c>
      <c r="E267">
        <v>258.96</v>
      </c>
      <c r="F267">
        <v>226</v>
      </c>
      <c r="G267">
        <v>1.145840707964602</v>
      </c>
      <c r="H267">
        <v>0.01081248069199876</v>
      </c>
      <c r="I267">
        <v>-0.02686038907555721</v>
      </c>
      <c r="J267">
        <v>0.1</v>
      </c>
      <c r="K267">
        <v>0.0816067954270443</v>
      </c>
      <c r="L267" t="s">
        <v>873</v>
      </c>
      <c r="M267" t="s">
        <v>586</v>
      </c>
      <c r="N267">
        <v>27.54893617021276</v>
      </c>
      <c r="O267">
        <v>9.4</v>
      </c>
      <c r="P267">
        <v>2.8</v>
      </c>
      <c r="Q267">
        <v>0.2978723404255319</v>
      </c>
      <c r="R267">
        <v>13</v>
      </c>
      <c r="S267">
        <v>0.1100864292512076</v>
      </c>
      <c r="T267" t="s">
        <v>895</v>
      </c>
      <c r="U267">
        <v>-0.326866440590556</v>
      </c>
      <c r="V267" t="s">
        <v>978</v>
      </c>
      <c r="W267" t="s">
        <v>986</v>
      </c>
      <c r="X267">
        <v>47441.472</v>
      </c>
      <c r="Y267" s="2">
        <v>44781</v>
      </c>
      <c r="Z267" t="s">
        <v>1001</v>
      </c>
    </row>
    <row r="268" spans="1:26">
      <c r="A268" s="1" t="s">
        <v>292</v>
      </c>
      <c r="B268">
        <f>HYPERLINK("https://www.suredividend.com/sure-analysis-FNV/","Franco-Nevada Corporation")</f>
        <v>0</v>
      </c>
      <c r="C268" t="s">
        <v>870</v>
      </c>
      <c r="D268">
        <v>132</v>
      </c>
      <c r="E268">
        <v>126.95</v>
      </c>
      <c r="F268">
        <v>162</v>
      </c>
      <c r="G268">
        <v>0.783641975308642</v>
      </c>
      <c r="H268">
        <v>0.01008270972823946</v>
      </c>
      <c r="I268">
        <v>0.04996896376795101</v>
      </c>
      <c r="J268">
        <v>0.02</v>
      </c>
      <c r="K268">
        <v>0.08050656772465059</v>
      </c>
      <c r="L268" t="s">
        <v>873</v>
      </c>
      <c r="M268" t="s">
        <v>586</v>
      </c>
      <c r="N268">
        <v>32.88860103626943</v>
      </c>
      <c r="O268">
        <v>3.86</v>
      </c>
      <c r="P268">
        <v>1.28</v>
      </c>
      <c r="Q268">
        <v>0.3316062176165803</v>
      </c>
      <c r="R268">
        <v>15</v>
      </c>
      <c r="S268">
        <v>0.0799150058822331</v>
      </c>
      <c r="T268" t="s">
        <v>883</v>
      </c>
      <c r="U268">
        <v>-0.094950042240417</v>
      </c>
      <c r="V268" t="s">
        <v>978</v>
      </c>
      <c r="W268" t="s">
        <v>989</v>
      </c>
      <c r="X268">
        <v>24318.081552</v>
      </c>
      <c r="Y268" s="2">
        <v>44788</v>
      </c>
      <c r="Z268" t="s">
        <v>998</v>
      </c>
    </row>
    <row r="269" spans="1:26">
      <c r="A269" s="1" t="s">
        <v>293</v>
      </c>
      <c r="B269">
        <f>HYPERLINK("https://www.suredividend.com/sure-analysis-MURGF/","Muenchener Rueckversicherungs-Gesellschaft AG")</f>
        <v>0</v>
      </c>
      <c r="C269" t="s">
        <v>869</v>
      </c>
      <c r="D269">
        <v>234</v>
      </c>
      <c r="E269">
        <v>268</v>
      </c>
      <c r="F269">
        <v>253</v>
      </c>
      <c r="G269">
        <v>1.059288537549407</v>
      </c>
      <c r="H269">
        <v>0.04324626865671641</v>
      </c>
      <c r="I269">
        <v>-0.011453402974135</v>
      </c>
      <c r="J269">
        <v>0.05</v>
      </c>
      <c r="K269">
        <v>0.07799457775707852</v>
      </c>
      <c r="L269" t="s">
        <v>873</v>
      </c>
      <c r="M269" t="s">
        <v>873</v>
      </c>
      <c r="N269">
        <v>11.10190555095278</v>
      </c>
      <c r="O269">
        <v>24.14</v>
      </c>
      <c r="P269">
        <v>11.59</v>
      </c>
      <c r="Q269">
        <v>0.480115990057995</v>
      </c>
      <c r="R269">
        <v>7</v>
      </c>
      <c r="S269">
        <v>0.04997013811465889</v>
      </c>
      <c r="T269" t="s">
        <v>944</v>
      </c>
      <c r="U269">
        <v>-0.112582781456953</v>
      </c>
      <c r="V269" t="s">
        <v>978</v>
      </c>
      <c r="W269" t="s">
        <v>986</v>
      </c>
      <c r="X269">
        <v>37546.513508</v>
      </c>
      <c r="Y269" s="2">
        <v>44787</v>
      </c>
      <c r="Z269" t="s">
        <v>1000</v>
      </c>
    </row>
    <row r="270" spans="1:26">
      <c r="A270" s="1" t="s">
        <v>294</v>
      </c>
      <c r="B270">
        <f>HYPERLINK("https://www.suredividend.com/sure-analysis-RSG/","Republic Services, Inc.")</f>
        <v>0</v>
      </c>
      <c r="C270" t="s">
        <v>870</v>
      </c>
      <c r="D270">
        <v>130</v>
      </c>
      <c r="E270">
        <v>129.91</v>
      </c>
      <c r="F270">
        <v>120</v>
      </c>
      <c r="G270">
        <v>1.082583333333333</v>
      </c>
      <c r="H270">
        <v>0.01524132091447926</v>
      </c>
      <c r="I270">
        <v>-0.01574476661744817</v>
      </c>
      <c r="J270">
        <v>0.08</v>
      </c>
      <c r="K270">
        <v>0.07708454680997345</v>
      </c>
      <c r="L270" t="s">
        <v>873</v>
      </c>
      <c r="M270" t="s">
        <v>586</v>
      </c>
      <c r="N270">
        <v>27.12108559498956</v>
      </c>
      <c r="O270">
        <v>4.79</v>
      </c>
      <c r="P270">
        <v>1.98</v>
      </c>
      <c r="Q270">
        <v>0.4133611691022964</v>
      </c>
      <c r="R270">
        <v>18</v>
      </c>
      <c r="S270">
        <v>0.06478229245750722</v>
      </c>
      <c r="T270" t="s">
        <v>891</v>
      </c>
      <c r="U270">
        <v>-0.013573519942656</v>
      </c>
      <c r="V270" t="s">
        <v>978</v>
      </c>
      <c r="W270" t="s">
        <v>984</v>
      </c>
      <c r="X270">
        <v>41051.681596</v>
      </c>
      <c r="Y270" s="2">
        <v>44862</v>
      </c>
      <c r="Z270" t="s">
        <v>1000</v>
      </c>
    </row>
    <row r="271" spans="1:26">
      <c r="A271" s="1" t="s">
        <v>295</v>
      </c>
      <c r="B271">
        <f>HYPERLINK("https://www.suredividend.com/sure-analysis-TTC/","Toro Co.")</f>
        <v>0</v>
      </c>
      <c r="C271" t="s">
        <v>869</v>
      </c>
      <c r="D271">
        <v>85</v>
      </c>
      <c r="E271">
        <v>104.79</v>
      </c>
      <c r="F271">
        <v>89</v>
      </c>
      <c r="G271">
        <v>1.177415730337079</v>
      </c>
      <c r="H271">
        <v>0.01145147437732608</v>
      </c>
      <c r="I271">
        <v>-0.03213667567253753</v>
      </c>
      <c r="J271">
        <v>0.1</v>
      </c>
      <c r="K271">
        <v>0.0763508232245238</v>
      </c>
      <c r="L271" t="s">
        <v>873</v>
      </c>
      <c r="M271" t="s">
        <v>586</v>
      </c>
      <c r="N271">
        <v>25.43446601941748</v>
      </c>
      <c r="O271">
        <v>4.12</v>
      </c>
      <c r="P271">
        <v>1.2</v>
      </c>
      <c r="Q271">
        <v>0.2912621359223301</v>
      </c>
      <c r="R271">
        <v>12</v>
      </c>
      <c r="S271">
        <v>0.09970250059947383</v>
      </c>
      <c r="T271" t="s">
        <v>935</v>
      </c>
      <c r="U271">
        <v>0.081183141838351</v>
      </c>
      <c r="V271" t="s">
        <v>978</v>
      </c>
      <c r="W271" t="s">
        <v>984</v>
      </c>
      <c r="X271">
        <v>10919.394541</v>
      </c>
      <c r="Y271" s="2">
        <v>44810</v>
      </c>
      <c r="Z271" t="s">
        <v>998</v>
      </c>
    </row>
    <row r="272" spans="1:26">
      <c r="A272" s="1" t="s">
        <v>296</v>
      </c>
      <c r="B272">
        <f>HYPERLINK("https://www.suredividend.com/sure-analysis-ECL/","Ecolab, Inc.")</f>
        <v>0</v>
      </c>
      <c r="C272" t="s">
        <v>870</v>
      </c>
      <c r="D272">
        <v>143</v>
      </c>
      <c r="E272">
        <v>134.75</v>
      </c>
      <c r="F272">
        <v>90</v>
      </c>
      <c r="G272">
        <v>1.497222222222222</v>
      </c>
      <c r="H272">
        <v>0.015139146567718</v>
      </c>
      <c r="I272">
        <v>-0.077550187085207</v>
      </c>
      <c r="J272">
        <v>0.15</v>
      </c>
      <c r="K272">
        <v>0.07609731426440636</v>
      </c>
      <c r="L272" t="s">
        <v>873</v>
      </c>
      <c r="M272" t="s">
        <v>568</v>
      </c>
      <c r="N272">
        <v>29.94444444444444</v>
      </c>
      <c r="O272">
        <v>4.5</v>
      </c>
      <c r="P272">
        <v>2.04</v>
      </c>
      <c r="Q272">
        <v>0.4533333333333334</v>
      </c>
      <c r="R272">
        <v>30</v>
      </c>
      <c r="S272">
        <v>0.09284706567232748</v>
      </c>
      <c r="T272" t="s">
        <v>934</v>
      </c>
      <c r="U272">
        <v>-0.402020040649324</v>
      </c>
      <c r="V272" t="s">
        <v>978</v>
      </c>
      <c r="W272" t="s">
        <v>989</v>
      </c>
      <c r="X272">
        <v>38402.295778</v>
      </c>
      <c r="Y272" s="2">
        <v>44867</v>
      </c>
      <c r="Z272" t="s">
        <v>996</v>
      </c>
    </row>
    <row r="273" spans="1:26">
      <c r="A273" s="1" t="s">
        <v>297</v>
      </c>
      <c r="B273">
        <f>HYPERLINK("https://www.suredividend.com/sure-analysis-NRG/","NRG Energy Inc.")</f>
        <v>0</v>
      </c>
      <c r="C273" t="s">
        <v>870</v>
      </c>
      <c r="D273">
        <v>42</v>
      </c>
      <c r="E273">
        <v>44.35</v>
      </c>
      <c r="F273">
        <v>40</v>
      </c>
      <c r="G273">
        <v>1.10875</v>
      </c>
      <c r="H273">
        <v>0.03156708004509583</v>
      </c>
      <c r="I273">
        <v>-0.02043496818077861</v>
      </c>
      <c r="J273">
        <v>0.07000000000000001</v>
      </c>
      <c r="K273">
        <v>0.07604014367724865</v>
      </c>
      <c r="L273" t="s">
        <v>873</v>
      </c>
      <c r="M273" t="s">
        <v>873</v>
      </c>
      <c r="N273">
        <v>12.15068493150685</v>
      </c>
      <c r="O273">
        <v>3.65</v>
      </c>
      <c r="P273">
        <v>1.4</v>
      </c>
      <c r="Q273">
        <v>0.3835616438356164</v>
      </c>
      <c r="R273">
        <v>3</v>
      </c>
      <c r="S273">
        <v>0.03959498820755258</v>
      </c>
      <c r="T273" t="s">
        <v>930</v>
      </c>
      <c r="U273">
        <v>0.292279540315625</v>
      </c>
      <c r="V273" t="s">
        <v>978</v>
      </c>
      <c r="W273" t="s">
        <v>987</v>
      </c>
      <c r="X273">
        <v>10428.775748</v>
      </c>
      <c r="Y273" s="2">
        <v>44787</v>
      </c>
      <c r="Z273" t="s">
        <v>1009</v>
      </c>
    </row>
    <row r="274" spans="1:26">
      <c r="A274" s="1" t="s">
        <v>298</v>
      </c>
      <c r="B274">
        <f>HYPERLINK("https://www.suredividend.com/sure-analysis-INGR/","Ingredion Inc")</f>
        <v>0</v>
      </c>
      <c r="C274" t="s">
        <v>870</v>
      </c>
      <c r="D274">
        <v>94</v>
      </c>
      <c r="E274">
        <v>93.19</v>
      </c>
      <c r="F274">
        <v>103</v>
      </c>
      <c r="G274">
        <v>0.9047572815533981</v>
      </c>
      <c r="H274">
        <v>0.03047537289408735</v>
      </c>
      <c r="I274">
        <v>0.02021941171343022</v>
      </c>
      <c r="J274">
        <v>0.03</v>
      </c>
      <c r="K274">
        <v>0.07485340861968748</v>
      </c>
      <c r="L274" t="s">
        <v>873</v>
      </c>
      <c r="M274" t="s">
        <v>873</v>
      </c>
      <c r="N274">
        <v>13.56477438136827</v>
      </c>
      <c r="O274">
        <v>6.87</v>
      </c>
      <c r="P274">
        <v>2.84</v>
      </c>
      <c r="Q274">
        <v>0.413391557496361</v>
      </c>
      <c r="R274">
        <v>12</v>
      </c>
      <c r="S274">
        <v>0.002103805419381155</v>
      </c>
      <c r="T274" t="s">
        <v>893</v>
      </c>
      <c r="U274">
        <v>-0.003659698307429</v>
      </c>
      <c r="V274" t="s">
        <v>978</v>
      </c>
      <c r="W274" t="s">
        <v>990</v>
      </c>
      <c r="X274">
        <v>6105.888943</v>
      </c>
      <c r="Y274" s="2">
        <v>44787</v>
      </c>
      <c r="Z274" t="s">
        <v>1004</v>
      </c>
    </row>
    <row r="275" spans="1:26">
      <c r="A275" s="1" t="s">
        <v>299</v>
      </c>
      <c r="B275">
        <f>HYPERLINK("https://www.suredividend.com/sure-analysis-ZTS/","Zoetis Inc")</f>
        <v>0</v>
      </c>
      <c r="C275" t="s">
        <v>871</v>
      </c>
      <c r="D275">
        <v>174</v>
      </c>
      <c r="E275">
        <v>133.67</v>
      </c>
      <c r="F275">
        <v>107</v>
      </c>
      <c r="G275">
        <v>1.249252336448598</v>
      </c>
      <c r="H275">
        <v>0.009725443255779159</v>
      </c>
      <c r="I275">
        <v>-0.04353305434950561</v>
      </c>
      <c r="J275">
        <v>0.11</v>
      </c>
      <c r="K275">
        <v>0.07327861284590487</v>
      </c>
      <c r="L275" t="s">
        <v>873</v>
      </c>
      <c r="M275" t="s">
        <v>586</v>
      </c>
      <c r="N275">
        <v>26.26129666011787</v>
      </c>
      <c r="O275">
        <v>5.09</v>
      </c>
      <c r="P275">
        <v>1.3</v>
      </c>
      <c r="Q275">
        <v>0.2554027504911591</v>
      </c>
      <c r="R275">
        <v>9</v>
      </c>
      <c r="S275">
        <v>0.1495806128385964</v>
      </c>
      <c r="T275" t="s">
        <v>930</v>
      </c>
      <c r="U275">
        <v>-0.381683834920176</v>
      </c>
      <c r="V275" t="s">
        <v>978</v>
      </c>
      <c r="W275" t="s">
        <v>988</v>
      </c>
      <c r="X275">
        <v>62299.843572</v>
      </c>
      <c r="Y275" s="2">
        <v>44778</v>
      </c>
      <c r="Z275" t="s">
        <v>1004</v>
      </c>
    </row>
    <row r="276" spans="1:26">
      <c r="A276" s="1" t="s">
        <v>300</v>
      </c>
      <c r="B276">
        <f>HYPERLINK("https://www.suredividend.com/sure-analysis-BHB/","Bar Harbor Bankshares Inc")</f>
        <v>0</v>
      </c>
      <c r="C276" t="s">
        <v>870</v>
      </c>
      <c r="D276">
        <v>30</v>
      </c>
      <c r="E276">
        <v>30.35</v>
      </c>
      <c r="F276">
        <v>29</v>
      </c>
      <c r="G276">
        <v>1.046551724137931</v>
      </c>
      <c r="H276">
        <v>0.0342668863261944</v>
      </c>
      <c r="I276">
        <v>-0.009058856568145646</v>
      </c>
      <c r="J276">
        <v>0.05</v>
      </c>
      <c r="K276">
        <v>0.07243328436672458</v>
      </c>
      <c r="L276" t="s">
        <v>873</v>
      </c>
      <c r="M276" t="s">
        <v>872</v>
      </c>
      <c r="N276">
        <v>10.46551724137931</v>
      </c>
      <c r="O276">
        <v>2.9</v>
      </c>
      <c r="P276">
        <v>1.04</v>
      </c>
      <c r="Q276">
        <v>0.3586206896551725</v>
      </c>
      <c r="R276">
        <v>19</v>
      </c>
      <c r="S276">
        <v>0.05042164036374652</v>
      </c>
      <c r="T276" t="s">
        <v>888</v>
      </c>
      <c r="U276">
        <v>0.028572977845859</v>
      </c>
      <c r="V276" t="s">
        <v>978</v>
      </c>
      <c r="W276" t="s">
        <v>986</v>
      </c>
      <c r="X276">
        <v>455.632592</v>
      </c>
      <c r="Y276" s="2">
        <v>44857</v>
      </c>
      <c r="Z276" t="s">
        <v>1002</v>
      </c>
    </row>
    <row r="277" spans="1:26">
      <c r="A277" s="1" t="s">
        <v>301</v>
      </c>
      <c r="B277">
        <f>HYPERLINK("https://www.suredividend.com/sure-analysis-AMX/","America Movil S.A.B.DE C.V.")</f>
        <v>0</v>
      </c>
      <c r="C277" t="s">
        <v>870</v>
      </c>
      <c r="D277">
        <v>17</v>
      </c>
      <c r="E277">
        <v>19.93</v>
      </c>
      <c r="F277">
        <v>19</v>
      </c>
      <c r="G277">
        <v>1.048947368421053</v>
      </c>
      <c r="H277">
        <v>0.02207727044656297</v>
      </c>
      <c r="I277">
        <v>-0.009511903923992149</v>
      </c>
      <c r="J277">
        <v>0.06</v>
      </c>
      <c r="K277">
        <v>0.06995115286228892</v>
      </c>
      <c r="L277" t="s">
        <v>873</v>
      </c>
      <c r="M277" t="s">
        <v>568</v>
      </c>
      <c r="N277">
        <v>14.23571428571429</v>
      </c>
      <c r="O277">
        <v>1.4</v>
      </c>
      <c r="P277">
        <v>0.44</v>
      </c>
      <c r="Q277">
        <v>0.3142857142857143</v>
      </c>
      <c r="R277">
        <v>2</v>
      </c>
      <c r="S277">
        <v>0.04563955259127317</v>
      </c>
      <c r="U277">
        <v>0.137167636654113</v>
      </c>
      <c r="V277" t="s">
        <v>978</v>
      </c>
      <c r="W277" t="s">
        <v>985</v>
      </c>
      <c r="X277">
        <v>42869.961518</v>
      </c>
      <c r="Y277" s="2">
        <v>44854</v>
      </c>
      <c r="Z277" t="s">
        <v>996</v>
      </c>
    </row>
    <row r="278" spans="1:26">
      <c r="A278" s="1" t="s">
        <v>302</v>
      </c>
      <c r="B278">
        <f>HYPERLINK("https://www.suredividend.com/sure-analysis-SCHW/","Charles Schwab Corp.")</f>
        <v>0</v>
      </c>
      <c r="C278" t="s">
        <v>870</v>
      </c>
      <c r="D278">
        <v>69</v>
      </c>
      <c r="E278">
        <v>79.05</v>
      </c>
      <c r="F278">
        <v>65</v>
      </c>
      <c r="G278">
        <v>1.216153846153846</v>
      </c>
      <c r="H278">
        <v>0.01113219481340924</v>
      </c>
      <c r="I278">
        <v>-0.03838263676166642</v>
      </c>
      <c r="J278">
        <v>0.1</v>
      </c>
      <c r="K278">
        <v>0.06911304659045481</v>
      </c>
      <c r="L278" t="s">
        <v>873</v>
      </c>
      <c r="M278" t="s">
        <v>586</v>
      </c>
      <c r="N278">
        <v>24.32307692307692</v>
      </c>
      <c r="O278">
        <v>3.25</v>
      </c>
      <c r="P278">
        <v>0.88</v>
      </c>
      <c r="Q278">
        <v>0.2707692307692308</v>
      </c>
      <c r="R278">
        <v>1</v>
      </c>
      <c r="S278">
        <v>0.08935697698429079</v>
      </c>
      <c r="T278" t="s">
        <v>913</v>
      </c>
      <c r="U278">
        <v>-0.019148017450603</v>
      </c>
      <c r="V278" t="s">
        <v>978</v>
      </c>
      <c r="W278" t="s">
        <v>986</v>
      </c>
      <c r="X278">
        <v>143696.626056</v>
      </c>
      <c r="Y278" s="2">
        <v>44852</v>
      </c>
      <c r="Z278" t="s">
        <v>1002</v>
      </c>
    </row>
    <row r="279" spans="1:26">
      <c r="A279" s="1" t="s">
        <v>303</v>
      </c>
      <c r="B279">
        <f>HYPERLINK("https://www.suredividend.com/sure-analysis-CVS/","CVS Health Corp")</f>
        <v>0</v>
      </c>
      <c r="C279" t="s">
        <v>870</v>
      </c>
      <c r="D279">
        <v>107</v>
      </c>
      <c r="E279">
        <v>99.56</v>
      </c>
      <c r="F279">
        <v>94</v>
      </c>
      <c r="G279">
        <v>1.059148936170213</v>
      </c>
      <c r="H279">
        <v>0.02209722780233025</v>
      </c>
      <c r="I279">
        <v>-0.01142734522372313</v>
      </c>
      <c r="J279">
        <v>0.06</v>
      </c>
      <c r="K279">
        <v>0.06890883957858285</v>
      </c>
      <c r="L279" t="s">
        <v>873</v>
      </c>
      <c r="M279" t="s">
        <v>568</v>
      </c>
      <c r="N279">
        <v>11.71294117647059</v>
      </c>
      <c r="O279">
        <v>8.5</v>
      </c>
      <c r="P279">
        <v>2.2</v>
      </c>
      <c r="Q279">
        <v>0.2588235294117647</v>
      </c>
      <c r="R279">
        <v>1</v>
      </c>
      <c r="S279">
        <v>0.05970486933121499</v>
      </c>
      <c r="T279" t="s">
        <v>878</v>
      </c>
      <c r="U279">
        <v>0.077435538923386</v>
      </c>
      <c r="V279" t="s">
        <v>978</v>
      </c>
      <c r="W279" t="s">
        <v>988</v>
      </c>
      <c r="X279">
        <v>130818.545759</v>
      </c>
      <c r="Y279" s="2">
        <v>44788</v>
      </c>
      <c r="Z279" t="s">
        <v>993</v>
      </c>
    </row>
    <row r="280" spans="1:26">
      <c r="A280" s="1" t="s">
        <v>304</v>
      </c>
      <c r="B280">
        <f>HYPERLINK("https://www.suredividend.com/sure-analysis-FAST/","Fastenal Co.")</f>
        <v>0</v>
      </c>
      <c r="C280" t="s">
        <v>870</v>
      </c>
      <c r="D280">
        <v>47</v>
      </c>
      <c r="E280">
        <v>49.49</v>
      </c>
      <c r="F280">
        <v>46</v>
      </c>
      <c r="G280">
        <v>1.075869565217391</v>
      </c>
      <c r="H280">
        <v>0.02505556678116791</v>
      </c>
      <c r="I280">
        <v>-0.01451940834993126</v>
      </c>
      <c r="J280">
        <v>0.06</v>
      </c>
      <c r="K280">
        <v>0.06863120488530727</v>
      </c>
      <c r="L280" t="s">
        <v>873</v>
      </c>
      <c r="M280" t="s">
        <v>568</v>
      </c>
      <c r="N280">
        <v>26.04736842105264</v>
      </c>
      <c r="O280">
        <v>1.9</v>
      </c>
      <c r="P280">
        <v>1.24</v>
      </c>
      <c r="Q280">
        <v>0.6526315789473685</v>
      </c>
      <c r="R280">
        <v>23</v>
      </c>
      <c r="S280">
        <v>0.06007667938522787</v>
      </c>
      <c r="T280" t="s">
        <v>945</v>
      </c>
      <c r="U280">
        <v>-0.133937774417827</v>
      </c>
      <c r="V280" t="s">
        <v>978</v>
      </c>
      <c r="W280" t="s">
        <v>984</v>
      </c>
      <c r="X280">
        <v>28345.886461</v>
      </c>
      <c r="Y280" s="2">
        <v>44848</v>
      </c>
      <c r="Z280" t="s">
        <v>996</v>
      </c>
    </row>
    <row r="281" spans="1:26">
      <c r="A281" s="1" t="s">
        <v>305</v>
      </c>
      <c r="B281">
        <f>HYPERLINK("https://www.suredividend.com/sure-analysis-AWK/","American Water Works Co. Inc.")</f>
        <v>0</v>
      </c>
      <c r="C281" t="s">
        <v>870</v>
      </c>
      <c r="D281">
        <v>144</v>
      </c>
      <c r="E281">
        <v>139.04</v>
      </c>
      <c r="F281">
        <v>120</v>
      </c>
      <c r="G281">
        <v>1.158666666666667</v>
      </c>
      <c r="H281">
        <v>0.01884349827387802</v>
      </c>
      <c r="I281">
        <v>-0.029024442729915</v>
      </c>
      <c r="J281">
        <v>0.08</v>
      </c>
      <c r="K281">
        <v>0.06823454233299464</v>
      </c>
      <c r="L281" t="s">
        <v>873</v>
      </c>
      <c r="M281" t="s">
        <v>586</v>
      </c>
      <c r="N281">
        <v>31.31531531531531</v>
      </c>
      <c r="O281">
        <v>4.44</v>
      </c>
      <c r="P281">
        <v>2.62</v>
      </c>
      <c r="Q281">
        <v>0.5900900900900901</v>
      </c>
      <c r="R281">
        <v>14</v>
      </c>
      <c r="S281">
        <v>0.08993538169716486</v>
      </c>
      <c r="T281" t="s">
        <v>946</v>
      </c>
      <c r="U281">
        <v>-0.162805540753318</v>
      </c>
      <c r="V281" t="s">
        <v>978</v>
      </c>
      <c r="W281" t="s">
        <v>987</v>
      </c>
      <c r="X281">
        <v>25281.347601</v>
      </c>
      <c r="Y281" s="2">
        <v>44866</v>
      </c>
      <c r="Z281" t="s">
        <v>1000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870</v>
      </c>
      <c r="D282">
        <v>78</v>
      </c>
      <c r="E282">
        <v>78.8</v>
      </c>
      <c r="F282">
        <v>68</v>
      </c>
      <c r="G282">
        <v>1.158823529411765</v>
      </c>
      <c r="H282">
        <v>0.0215736040609137</v>
      </c>
      <c r="I282">
        <v>-0.02905073113967505</v>
      </c>
      <c r="J282">
        <v>0.075</v>
      </c>
      <c r="K282">
        <v>0.06649775515588208</v>
      </c>
      <c r="L282" t="s">
        <v>873</v>
      </c>
      <c r="M282" t="s">
        <v>568</v>
      </c>
      <c r="N282">
        <v>27.64912280701754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877</v>
      </c>
      <c r="U282">
        <v>-0.051098582187145</v>
      </c>
      <c r="V282" t="s">
        <v>978</v>
      </c>
      <c r="W282" t="s">
        <v>987</v>
      </c>
      <c r="X282">
        <v>156588.495778</v>
      </c>
      <c r="Y282" s="2">
        <v>44867</v>
      </c>
      <c r="Z282" t="s">
        <v>1005</v>
      </c>
    </row>
    <row r="283" spans="1:26">
      <c r="A283" s="1" t="s">
        <v>307</v>
      </c>
      <c r="B283">
        <f>HYPERLINK("https://www.suredividend.com/sure-analysis-DTE/","DTE Energy Co.")</f>
        <v>0</v>
      </c>
      <c r="C283" t="s">
        <v>870</v>
      </c>
      <c r="D283">
        <v>114</v>
      </c>
      <c r="E283">
        <v>112.39</v>
      </c>
      <c r="F283">
        <v>105</v>
      </c>
      <c r="G283">
        <v>1.070380952380952</v>
      </c>
      <c r="H283">
        <v>0.03149746418720527</v>
      </c>
      <c r="I283">
        <v>-0.013510821406717</v>
      </c>
      <c r="J283">
        <v>0.05</v>
      </c>
      <c r="K283">
        <v>0.06578705069443469</v>
      </c>
      <c r="L283" t="s">
        <v>873</v>
      </c>
      <c r="M283" t="s">
        <v>873</v>
      </c>
      <c r="N283">
        <v>18.8890756302521</v>
      </c>
      <c r="O283">
        <v>5.95</v>
      </c>
      <c r="P283">
        <v>3.54</v>
      </c>
      <c r="Q283">
        <v>0.5949579831932773</v>
      </c>
      <c r="R283">
        <v>13</v>
      </c>
      <c r="S283">
        <v>0.05009123759249423</v>
      </c>
      <c r="T283" t="s">
        <v>927</v>
      </c>
      <c r="U283">
        <v>0.019830388205211</v>
      </c>
      <c r="V283" t="s">
        <v>978</v>
      </c>
      <c r="W283" t="s">
        <v>987</v>
      </c>
      <c r="X283">
        <v>21774.662368</v>
      </c>
      <c r="Y283" s="2">
        <v>44865</v>
      </c>
      <c r="Z283" t="s">
        <v>996</v>
      </c>
    </row>
    <row r="284" spans="1:26">
      <c r="A284" s="1" t="s">
        <v>308</v>
      </c>
      <c r="B284">
        <f>HYPERLINK("https://www.suredividend.com/sure-analysis-ORI/","Old Republic International Corp.")</f>
        <v>0</v>
      </c>
      <c r="C284" t="s">
        <v>870</v>
      </c>
      <c r="D284">
        <v>23</v>
      </c>
      <c r="E284">
        <v>23.15</v>
      </c>
      <c r="F284">
        <v>28</v>
      </c>
      <c r="G284">
        <v>0.8267857142857142</v>
      </c>
      <c r="H284">
        <v>0.03974082073434126</v>
      </c>
      <c r="I284">
        <v>0.03877480433843483</v>
      </c>
      <c r="J284">
        <v>-0.01</v>
      </c>
      <c r="K284">
        <v>0.06563378838954148</v>
      </c>
      <c r="L284" t="s">
        <v>873</v>
      </c>
      <c r="M284" t="s">
        <v>873</v>
      </c>
      <c r="N284">
        <v>9.078431372549019</v>
      </c>
      <c r="O284">
        <v>2.55</v>
      </c>
      <c r="P284">
        <v>0.92</v>
      </c>
      <c r="Q284">
        <v>0.3607843137254902</v>
      </c>
      <c r="R284">
        <v>41</v>
      </c>
      <c r="S284">
        <v>0.04012620718096094</v>
      </c>
      <c r="T284" t="s">
        <v>874</v>
      </c>
      <c r="U284">
        <v>-0.063029954709741</v>
      </c>
      <c r="V284" t="s">
        <v>978</v>
      </c>
      <c r="W284" t="s">
        <v>986</v>
      </c>
      <c r="X284">
        <v>7137.219543</v>
      </c>
      <c r="Y284" s="2">
        <v>44779</v>
      </c>
      <c r="Z284" t="s">
        <v>1001</v>
      </c>
    </row>
    <row r="285" spans="1:26">
      <c r="A285" s="1" t="s">
        <v>309</v>
      </c>
      <c r="B285">
        <f>HYPERLINK("https://www.suredividend.com/sure-analysis-WABC/","Westamerica Bancorporation")</f>
        <v>0</v>
      </c>
      <c r="C285" t="s">
        <v>870</v>
      </c>
      <c r="D285">
        <v>54</v>
      </c>
      <c r="E285">
        <v>61.22</v>
      </c>
      <c r="F285">
        <v>68</v>
      </c>
      <c r="G285">
        <v>0.9002941176470588</v>
      </c>
      <c r="H285">
        <v>0.02744201241424371</v>
      </c>
      <c r="I285">
        <v>0.02122894933336883</v>
      </c>
      <c r="J285">
        <v>0.02</v>
      </c>
      <c r="K285">
        <v>0.06526456847198747</v>
      </c>
      <c r="L285" t="s">
        <v>873</v>
      </c>
      <c r="M285" t="s">
        <v>873</v>
      </c>
      <c r="N285">
        <v>16.32533333333333</v>
      </c>
      <c r="O285">
        <v>3.75</v>
      </c>
      <c r="P285">
        <v>1.68</v>
      </c>
      <c r="Q285">
        <v>0.448</v>
      </c>
      <c r="R285">
        <v>29</v>
      </c>
      <c r="S285">
        <v>0.01946539682289394</v>
      </c>
      <c r="T285" t="s">
        <v>919</v>
      </c>
      <c r="U285">
        <v>0.134197289561197</v>
      </c>
      <c r="V285" t="s">
        <v>978</v>
      </c>
      <c r="W285" t="s">
        <v>986</v>
      </c>
      <c r="X285">
        <v>1647.468585</v>
      </c>
      <c r="Y285" s="2">
        <v>44856</v>
      </c>
      <c r="Z285" t="s">
        <v>993</v>
      </c>
    </row>
    <row r="286" spans="1:26">
      <c r="A286" s="1" t="s">
        <v>310</v>
      </c>
      <c r="B286">
        <f>HYPERLINK("https://www.suredividend.com/sure-analysis-RMD/","Resmed Inc.")</f>
        <v>0</v>
      </c>
      <c r="C286" t="s">
        <v>870</v>
      </c>
      <c r="D286">
        <v>224</v>
      </c>
      <c r="E286">
        <v>210.89</v>
      </c>
      <c r="F286">
        <v>156</v>
      </c>
      <c r="G286">
        <v>1.351858974358974</v>
      </c>
      <c r="H286">
        <v>0.008345583005358244</v>
      </c>
      <c r="I286">
        <v>-0.05851431235757143</v>
      </c>
      <c r="J286">
        <v>0.12</v>
      </c>
      <c r="K286">
        <v>0.06336969829330164</v>
      </c>
      <c r="L286" t="s">
        <v>873</v>
      </c>
      <c r="M286" t="s">
        <v>586</v>
      </c>
      <c r="N286">
        <v>32.44461538461538</v>
      </c>
      <c r="O286">
        <v>6.5</v>
      </c>
      <c r="P286">
        <v>1.76</v>
      </c>
      <c r="Q286">
        <v>0.2707692307692308</v>
      </c>
      <c r="R286">
        <v>2</v>
      </c>
      <c r="S286">
        <v>0.0996506962606063</v>
      </c>
      <c r="T286" t="s">
        <v>876</v>
      </c>
      <c r="U286">
        <v>-0.191139159427549</v>
      </c>
      <c r="V286" t="s">
        <v>978</v>
      </c>
      <c r="W286" t="s">
        <v>988</v>
      </c>
      <c r="X286">
        <v>30891.936949</v>
      </c>
      <c r="Y286" s="2">
        <v>44798</v>
      </c>
      <c r="Z286" t="s">
        <v>994</v>
      </c>
    </row>
    <row r="287" spans="1:26">
      <c r="A287" s="1" t="s">
        <v>311</v>
      </c>
      <c r="B287">
        <f>HYPERLINK("https://www.suredividend.com/sure-analysis-PRGO/","Perrigo Company plc")</f>
        <v>0</v>
      </c>
      <c r="C287" t="s">
        <v>870</v>
      </c>
      <c r="D287">
        <v>40</v>
      </c>
      <c r="E287">
        <v>39.26</v>
      </c>
      <c r="F287">
        <v>37</v>
      </c>
      <c r="G287">
        <v>1.061081081081081</v>
      </c>
      <c r="H287">
        <v>0.02649006622516557</v>
      </c>
      <c r="I287">
        <v>-0.01178763029740315</v>
      </c>
      <c r="J287">
        <v>0.05</v>
      </c>
      <c r="K287">
        <v>0.06291016501595625</v>
      </c>
      <c r="L287" t="s">
        <v>873</v>
      </c>
      <c r="M287" t="s">
        <v>873</v>
      </c>
      <c r="N287">
        <v>16.02448979591837</v>
      </c>
      <c r="O287">
        <v>2.45</v>
      </c>
      <c r="P287">
        <v>1.04</v>
      </c>
      <c r="Q287">
        <v>0.4244897959183673</v>
      </c>
      <c r="R287">
        <v>20</v>
      </c>
      <c r="S287">
        <v>0.05042164036374652</v>
      </c>
      <c r="T287" t="s">
        <v>889</v>
      </c>
      <c r="U287">
        <v>-0.124286224125624</v>
      </c>
      <c r="V287" t="s">
        <v>978</v>
      </c>
      <c r="W287" t="s">
        <v>988</v>
      </c>
      <c r="X287">
        <v>5285.102719</v>
      </c>
      <c r="Y287" s="2">
        <v>44791</v>
      </c>
      <c r="Z287" t="s">
        <v>993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870</v>
      </c>
      <c r="D288">
        <v>92</v>
      </c>
      <c r="E288">
        <v>91.39</v>
      </c>
      <c r="F288">
        <v>83</v>
      </c>
      <c r="G288">
        <v>1.101084337349398</v>
      </c>
      <c r="H288">
        <v>0.03184155815734763</v>
      </c>
      <c r="I288">
        <v>-0.01907481966544755</v>
      </c>
      <c r="J288">
        <v>0.052</v>
      </c>
      <c r="K288">
        <v>0.06280805182929994</v>
      </c>
      <c r="L288" t="s">
        <v>873</v>
      </c>
      <c r="M288" t="s">
        <v>873</v>
      </c>
      <c r="N288">
        <v>20.81776765375854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913</v>
      </c>
      <c r="U288">
        <v>0.049246503468403</v>
      </c>
      <c r="V288" t="s">
        <v>978</v>
      </c>
      <c r="W288" t="s">
        <v>987</v>
      </c>
      <c r="X288">
        <v>28827.561788</v>
      </c>
      <c r="Y288" s="2">
        <v>44867</v>
      </c>
      <c r="Z288" t="s">
        <v>993</v>
      </c>
    </row>
    <row r="289" spans="1:26">
      <c r="A289" s="1" t="s">
        <v>313</v>
      </c>
      <c r="B289">
        <f>HYPERLINK("https://www.suredividend.com/sure-analysis-MTB/","M &amp; T Bank Corp")</f>
        <v>0</v>
      </c>
      <c r="C289" t="s">
        <v>870</v>
      </c>
      <c r="D289">
        <v>166</v>
      </c>
      <c r="E289">
        <v>167.02</v>
      </c>
      <c r="F289">
        <v>150</v>
      </c>
      <c r="G289">
        <v>1.113466666666667</v>
      </c>
      <c r="H289">
        <v>0.02873907316489043</v>
      </c>
      <c r="I289">
        <v>-0.02126626928213804</v>
      </c>
      <c r="J289">
        <v>0.06</v>
      </c>
      <c r="K289">
        <v>0.06219371240418736</v>
      </c>
      <c r="L289" t="s">
        <v>873</v>
      </c>
      <c r="M289" t="s">
        <v>873</v>
      </c>
      <c r="N289">
        <v>11.15698062792251</v>
      </c>
      <c r="O289">
        <v>14.97</v>
      </c>
      <c r="P289">
        <v>4.8</v>
      </c>
      <c r="Q289">
        <v>0.3206412825651302</v>
      </c>
      <c r="R289">
        <v>5</v>
      </c>
      <c r="S289">
        <v>0.01496218345645683</v>
      </c>
      <c r="T289" t="s">
        <v>874</v>
      </c>
      <c r="U289">
        <v>0.106685634886505</v>
      </c>
      <c r="V289" t="s">
        <v>978</v>
      </c>
      <c r="W289" t="s">
        <v>986</v>
      </c>
      <c r="X289">
        <v>29966.302499</v>
      </c>
      <c r="Y289" s="2">
        <v>44854</v>
      </c>
      <c r="Z289" t="s">
        <v>993</v>
      </c>
    </row>
    <row r="290" spans="1:26">
      <c r="A290" s="1" t="s">
        <v>314</v>
      </c>
      <c r="B290">
        <f>HYPERLINK("https://www.suredividend.com/sure-analysis-SNA/","Snap-on, Inc.")</f>
        <v>0</v>
      </c>
      <c r="C290" t="s">
        <v>870</v>
      </c>
      <c r="D290">
        <v>220</v>
      </c>
      <c r="E290">
        <v>229.14</v>
      </c>
      <c r="F290">
        <v>232</v>
      </c>
      <c r="G290">
        <v>0.9876724137931034</v>
      </c>
      <c r="H290">
        <v>0.02827965435978005</v>
      </c>
      <c r="I290">
        <v>0.002483920070643908</v>
      </c>
      <c r="J290">
        <v>0.03</v>
      </c>
      <c r="K290">
        <v>0.06009064882506832</v>
      </c>
      <c r="L290" t="s">
        <v>873</v>
      </c>
      <c r="M290" t="s">
        <v>873</v>
      </c>
      <c r="N290">
        <v>13.84531722054381</v>
      </c>
      <c r="O290">
        <v>16.55</v>
      </c>
      <c r="P290">
        <v>6.48</v>
      </c>
      <c r="Q290">
        <v>0.3915407854984894</v>
      </c>
      <c r="R290">
        <v>13</v>
      </c>
      <c r="S290">
        <v>0.05201587625597326</v>
      </c>
      <c r="T290" t="s">
        <v>895</v>
      </c>
      <c r="U290">
        <v>0.114509341566908</v>
      </c>
      <c r="V290" t="s">
        <v>978</v>
      </c>
      <c r="W290" t="s">
        <v>984</v>
      </c>
      <c r="X290">
        <v>12179.85398</v>
      </c>
      <c r="Y290" s="2">
        <v>44864</v>
      </c>
      <c r="Z290" t="s">
        <v>1001</v>
      </c>
    </row>
    <row r="291" spans="1:26">
      <c r="A291" s="1" t="s">
        <v>315</v>
      </c>
      <c r="B291">
        <f>HYPERLINK("https://www.suredividend.com/sure-analysis-MDU/","MDU Resources Group Inc")</f>
        <v>0</v>
      </c>
      <c r="C291" t="s">
        <v>870</v>
      </c>
      <c r="D291">
        <v>32</v>
      </c>
      <c r="E291">
        <v>29</v>
      </c>
      <c r="F291">
        <v>28</v>
      </c>
      <c r="G291">
        <v>1.035714285714286</v>
      </c>
      <c r="H291">
        <v>0.03</v>
      </c>
      <c r="I291">
        <v>-0.006993693462086226</v>
      </c>
      <c r="J291">
        <v>0.04</v>
      </c>
      <c r="K291">
        <v>0.05963102192779357</v>
      </c>
      <c r="L291" t="s">
        <v>873</v>
      </c>
      <c r="M291" t="s">
        <v>873</v>
      </c>
      <c r="N291">
        <v>15.67567567567568</v>
      </c>
      <c r="O291">
        <v>1.85</v>
      </c>
      <c r="P291">
        <v>0.87</v>
      </c>
      <c r="Q291">
        <v>0.4702702702702702</v>
      </c>
      <c r="R291">
        <v>30</v>
      </c>
      <c r="S291">
        <v>0.02409763832975087</v>
      </c>
      <c r="T291" t="s">
        <v>925</v>
      </c>
      <c r="U291">
        <v>0.051616225350478</v>
      </c>
      <c r="V291" t="s">
        <v>978</v>
      </c>
      <c r="W291" t="s">
        <v>989</v>
      </c>
      <c r="X291">
        <v>5897.17146</v>
      </c>
      <c r="Y291" s="2">
        <v>44789</v>
      </c>
      <c r="Z291" t="s">
        <v>1001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870</v>
      </c>
      <c r="D292">
        <v>83</v>
      </c>
      <c r="E292">
        <v>82.58</v>
      </c>
      <c r="F292">
        <v>97</v>
      </c>
      <c r="G292">
        <v>0.8513402061855669</v>
      </c>
      <c r="H292">
        <v>0.01840639379995156</v>
      </c>
      <c r="I292">
        <v>0.03271235107690873</v>
      </c>
      <c r="J292">
        <v>0.01</v>
      </c>
      <c r="K292">
        <v>0.05950697782482717</v>
      </c>
      <c r="L292" t="s">
        <v>873</v>
      </c>
      <c r="M292" t="s">
        <v>586</v>
      </c>
      <c r="N292">
        <v>10.19506172839506</v>
      </c>
      <c r="O292">
        <v>8.1</v>
      </c>
      <c r="P292">
        <v>1.52</v>
      </c>
      <c r="Q292">
        <v>0.1876543209876543</v>
      </c>
      <c r="R292">
        <v>31</v>
      </c>
      <c r="S292">
        <v>0.02975477857041309</v>
      </c>
      <c r="T292" t="s">
        <v>933</v>
      </c>
      <c r="U292">
        <v>-0.180699510780974</v>
      </c>
      <c r="V292" t="s">
        <v>978</v>
      </c>
      <c r="W292" t="s">
        <v>986</v>
      </c>
      <c r="X292">
        <v>3989.629982</v>
      </c>
      <c r="Y292" s="2">
        <v>44866</v>
      </c>
      <c r="Z292" t="s">
        <v>1001</v>
      </c>
    </row>
    <row r="293" spans="1:26">
      <c r="A293" s="1" t="s">
        <v>317</v>
      </c>
      <c r="B293">
        <f>HYPERLINK("https://www.suredividend.com/sure-analysis-K/","Kellogg Co")</f>
        <v>0</v>
      </c>
      <c r="C293" t="s">
        <v>870</v>
      </c>
      <c r="D293">
        <v>74</v>
      </c>
      <c r="E293">
        <v>69.86</v>
      </c>
      <c r="F293">
        <v>66</v>
      </c>
      <c r="G293">
        <v>1.058484848484849</v>
      </c>
      <c r="H293">
        <v>0.03378184941311194</v>
      </c>
      <c r="I293">
        <v>-0.01130333131166716</v>
      </c>
      <c r="J293">
        <v>0.04</v>
      </c>
      <c r="K293">
        <v>0.05938240562890518</v>
      </c>
      <c r="L293" t="s">
        <v>873</v>
      </c>
      <c r="M293" t="s">
        <v>873</v>
      </c>
      <c r="N293">
        <v>16.83373493975903</v>
      </c>
      <c r="O293">
        <v>4.15</v>
      </c>
      <c r="P293">
        <v>2.36</v>
      </c>
      <c r="Q293">
        <v>0.5686746987951806</v>
      </c>
      <c r="R293">
        <v>18</v>
      </c>
      <c r="S293">
        <v>0.0303095182681723</v>
      </c>
      <c r="T293" t="s">
        <v>874</v>
      </c>
      <c r="U293">
        <v>0.139823332278243</v>
      </c>
      <c r="V293" t="s">
        <v>978</v>
      </c>
      <c r="W293" t="s">
        <v>990</v>
      </c>
      <c r="X293">
        <v>23841.90079</v>
      </c>
      <c r="Y293" s="2">
        <v>44800</v>
      </c>
      <c r="Z293" t="s">
        <v>1001</v>
      </c>
    </row>
    <row r="294" spans="1:26">
      <c r="A294" s="1" t="s">
        <v>318</v>
      </c>
      <c r="B294">
        <f>HYPERLINK("https://www.suredividend.com/sure-analysis-CARR/","Carrier Global Corp")</f>
        <v>0</v>
      </c>
      <c r="C294" t="s">
        <v>870</v>
      </c>
      <c r="D294">
        <v>40</v>
      </c>
      <c r="E294">
        <v>40.28</v>
      </c>
      <c r="F294">
        <v>37</v>
      </c>
      <c r="G294">
        <v>1.088648648648649</v>
      </c>
      <c r="H294">
        <v>0.01489572989076465</v>
      </c>
      <c r="I294">
        <v>-0.01684395819499251</v>
      </c>
      <c r="J294">
        <v>0.06</v>
      </c>
      <c r="K294">
        <v>0.05766074463699122</v>
      </c>
      <c r="L294" t="s">
        <v>873</v>
      </c>
      <c r="M294" t="s">
        <v>586</v>
      </c>
      <c r="N294">
        <v>17.28755364806867</v>
      </c>
      <c r="O294">
        <v>2.33</v>
      </c>
      <c r="P294">
        <v>0.6</v>
      </c>
      <c r="Q294">
        <v>0.2575107296137339</v>
      </c>
      <c r="R294">
        <v>2</v>
      </c>
      <c r="S294">
        <v>0.0796084730466029</v>
      </c>
      <c r="T294" t="s">
        <v>918</v>
      </c>
      <c r="U294">
        <v>-0.228111460091944</v>
      </c>
      <c r="V294" t="s">
        <v>978</v>
      </c>
      <c r="W294" t="s">
        <v>984</v>
      </c>
      <c r="X294">
        <v>33684.613824</v>
      </c>
      <c r="Y294" s="2">
        <v>44864</v>
      </c>
      <c r="Z294" t="s">
        <v>1000</v>
      </c>
    </row>
    <row r="295" spans="1:26">
      <c r="A295" s="1" t="s">
        <v>319</v>
      </c>
      <c r="B295">
        <f>HYPERLINK("https://www.suredividend.com/sure-analysis-MWA/","Mueller Water Products Inc")</f>
        <v>0</v>
      </c>
      <c r="C295" t="s">
        <v>870</v>
      </c>
      <c r="D295">
        <v>11.83</v>
      </c>
      <c r="E295">
        <v>11.49</v>
      </c>
      <c r="F295">
        <v>10.8</v>
      </c>
      <c r="G295">
        <v>1.063888888888889</v>
      </c>
      <c r="H295">
        <v>0.02088772845953003</v>
      </c>
      <c r="I295">
        <v>-0.01230979840756019</v>
      </c>
      <c r="J295">
        <v>0.05</v>
      </c>
      <c r="K295">
        <v>0.05618329795779586</v>
      </c>
      <c r="L295" t="s">
        <v>873</v>
      </c>
      <c r="M295" t="s">
        <v>568</v>
      </c>
      <c r="N295">
        <v>19.15</v>
      </c>
      <c r="O295">
        <v>0.6</v>
      </c>
      <c r="P295">
        <v>0.24</v>
      </c>
      <c r="Q295">
        <v>0.4</v>
      </c>
      <c r="R295">
        <v>9</v>
      </c>
      <c r="S295">
        <v>0.03131030647754507</v>
      </c>
      <c r="T295" t="s">
        <v>875</v>
      </c>
      <c r="U295">
        <v>-0.300707812718719</v>
      </c>
      <c r="V295" t="s">
        <v>978</v>
      </c>
      <c r="W295" t="s">
        <v>984</v>
      </c>
      <c r="X295">
        <v>1799.949715</v>
      </c>
      <c r="Y295" s="2">
        <v>44780</v>
      </c>
      <c r="Z295" t="s">
        <v>1000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870</v>
      </c>
      <c r="D296">
        <v>74</v>
      </c>
      <c r="E296">
        <v>79.02</v>
      </c>
      <c r="F296">
        <v>61</v>
      </c>
      <c r="G296">
        <v>1.295409836065574</v>
      </c>
      <c r="H296">
        <v>0.01872943558592761</v>
      </c>
      <c r="I296">
        <v>-0.05044841742177664</v>
      </c>
      <c r="J296">
        <v>0.09</v>
      </c>
      <c r="K296">
        <v>0.05603935559071127</v>
      </c>
      <c r="L296" t="s">
        <v>873</v>
      </c>
      <c r="M296" t="s">
        <v>568</v>
      </c>
      <c r="N296">
        <v>29.70676691729323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902</v>
      </c>
      <c r="U296">
        <v>-0.011419592457664</v>
      </c>
      <c r="V296" t="s">
        <v>978</v>
      </c>
      <c r="W296" t="s">
        <v>990</v>
      </c>
      <c r="X296">
        <v>21247.769873</v>
      </c>
      <c r="Y296" s="2">
        <v>44840</v>
      </c>
      <c r="Z296" t="s">
        <v>993</v>
      </c>
    </row>
    <row r="297" spans="1:26">
      <c r="A297" s="1" t="s">
        <v>321</v>
      </c>
      <c r="B297">
        <f>HYPERLINK("https://www.suredividend.com/sure-analysis-ARTNA/","Artesian Resources Corp.")</f>
        <v>0</v>
      </c>
      <c r="C297" t="s">
        <v>870</v>
      </c>
      <c r="D297">
        <v>53.7</v>
      </c>
      <c r="E297">
        <v>52.27</v>
      </c>
      <c r="F297">
        <v>45.8</v>
      </c>
      <c r="G297">
        <v>1.141266375545852</v>
      </c>
      <c r="H297">
        <v>0.02123589056820356</v>
      </c>
      <c r="I297">
        <v>-0.02608154471810897</v>
      </c>
      <c r="J297">
        <v>0.064</v>
      </c>
      <c r="K297">
        <v>0.05532247738416451</v>
      </c>
      <c r="L297" t="s">
        <v>873</v>
      </c>
      <c r="M297" t="s">
        <v>568</v>
      </c>
      <c r="N297">
        <v>27.95187165775401</v>
      </c>
      <c r="O297">
        <v>1.87</v>
      </c>
      <c r="P297">
        <v>1.11</v>
      </c>
      <c r="Q297">
        <v>0.5935828877005348</v>
      </c>
      <c r="R297">
        <v>27</v>
      </c>
      <c r="S297">
        <v>0.02404114574123795</v>
      </c>
      <c r="T297" t="s">
        <v>946</v>
      </c>
      <c r="U297">
        <v>0.311543692194972</v>
      </c>
      <c r="V297" t="s">
        <v>978</v>
      </c>
      <c r="W297" t="s">
        <v>987</v>
      </c>
      <c r="X297">
        <v>450.018408</v>
      </c>
      <c r="Y297" s="2">
        <v>44780</v>
      </c>
      <c r="Z297" t="s">
        <v>999</v>
      </c>
    </row>
    <row r="298" spans="1:26">
      <c r="A298" s="1" t="s">
        <v>322</v>
      </c>
      <c r="B298">
        <f>HYPERLINK("https://www.suredividend.com/sure-analysis-FRT/","Federal Realty Investment Trust.")</f>
        <v>0</v>
      </c>
      <c r="C298" t="s">
        <v>870</v>
      </c>
      <c r="D298">
        <v>112</v>
      </c>
      <c r="E298">
        <v>105.09</v>
      </c>
      <c r="F298">
        <v>91</v>
      </c>
      <c r="G298">
        <v>1.154835164835165</v>
      </c>
      <c r="H298">
        <v>0.04110762203825293</v>
      </c>
      <c r="I298">
        <v>-0.02838099727887311</v>
      </c>
      <c r="J298">
        <v>0.045</v>
      </c>
      <c r="K298">
        <v>0.05446851344913672</v>
      </c>
      <c r="L298" t="s">
        <v>873</v>
      </c>
      <c r="M298" t="s">
        <v>872</v>
      </c>
      <c r="N298">
        <v>17.28453947368421</v>
      </c>
      <c r="O298">
        <v>6.08</v>
      </c>
      <c r="P298">
        <v>4.32</v>
      </c>
      <c r="Q298">
        <v>0.7105263157894737</v>
      </c>
      <c r="R298">
        <v>55</v>
      </c>
      <c r="S298">
        <v>0.02966808427901979</v>
      </c>
      <c r="T298" t="s">
        <v>943</v>
      </c>
      <c r="U298">
        <v>-0.211201257394284</v>
      </c>
      <c r="V298" t="s">
        <v>980</v>
      </c>
      <c r="W298" t="s">
        <v>992</v>
      </c>
      <c r="X298">
        <v>8502.641057000001</v>
      </c>
      <c r="Y298" s="2">
        <v>44786</v>
      </c>
      <c r="Z298" t="s">
        <v>999</v>
      </c>
    </row>
    <row r="299" spans="1:26">
      <c r="A299" s="1" t="s">
        <v>323</v>
      </c>
      <c r="B299">
        <f>HYPERLINK("https://www.suredividend.com/sure-analysis-ETR/","Entergy Corp.")</f>
        <v>0</v>
      </c>
      <c r="C299" t="s">
        <v>870</v>
      </c>
      <c r="D299">
        <v>122</v>
      </c>
      <c r="E299">
        <v>110.72</v>
      </c>
      <c r="F299">
        <v>95</v>
      </c>
      <c r="G299">
        <v>1.165473684210526</v>
      </c>
      <c r="H299">
        <v>0.03865606936416185</v>
      </c>
      <c r="I299">
        <v>-0.03016130977768994</v>
      </c>
      <c r="J299">
        <v>0.05</v>
      </c>
      <c r="K299">
        <v>0.05372228106545696</v>
      </c>
      <c r="L299" t="s">
        <v>873</v>
      </c>
      <c r="M299" t="s">
        <v>873</v>
      </c>
      <c r="N299">
        <v>17.57460317460318</v>
      </c>
      <c r="O299">
        <v>6.3</v>
      </c>
      <c r="P299">
        <v>4.28</v>
      </c>
      <c r="Q299">
        <v>0.6793650793650794</v>
      </c>
      <c r="R299">
        <v>29</v>
      </c>
      <c r="S299">
        <v>0.01802962620482607</v>
      </c>
      <c r="T299" t="s">
        <v>898</v>
      </c>
      <c r="U299">
        <v>0.115489200247035</v>
      </c>
      <c r="V299" t="s">
        <v>978</v>
      </c>
      <c r="W299" t="s">
        <v>987</v>
      </c>
      <c r="X299">
        <v>22529.710835</v>
      </c>
      <c r="Y299" s="2">
        <v>44789</v>
      </c>
      <c r="Z299" t="s">
        <v>994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870</v>
      </c>
      <c r="D300">
        <v>135</v>
      </c>
      <c r="E300">
        <v>136.96</v>
      </c>
      <c r="F300">
        <v>118</v>
      </c>
      <c r="G300">
        <v>1.160677966101695</v>
      </c>
      <c r="H300">
        <v>0.04818925233644859</v>
      </c>
      <c r="I300">
        <v>-0.02936119034075513</v>
      </c>
      <c r="J300">
        <v>0.04</v>
      </c>
      <c r="K300">
        <v>0.05331722406569939</v>
      </c>
      <c r="L300" t="s">
        <v>873</v>
      </c>
      <c r="M300" t="s">
        <v>872</v>
      </c>
      <c r="N300">
        <v>13.97551020408163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875</v>
      </c>
      <c r="U300">
        <v>0.19118232847618</v>
      </c>
      <c r="V300" t="s">
        <v>978</v>
      </c>
      <c r="W300" t="s">
        <v>982</v>
      </c>
      <c r="X300">
        <v>123829.146676</v>
      </c>
      <c r="Y300" s="2">
        <v>44861</v>
      </c>
      <c r="Z300" t="s">
        <v>1007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870</v>
      </c>
      <c r="D301">
        <v>133</v>
      </c>
      <c r="E301">
        <v>122.52</v>
      </c>
      <c r="F301">
        <v>102</v>
      </c>
      <c r="G301">
        <v>1.201176470588235</v>
      </c>
      <c r="H301">
        <v>0.03787136793992817</v>
      </c>
      <c r="I301">
        <v>-0.03599644222078313</v>
      </c>
      <c r="J301">
        <v>0.05</v>
      </c>
      <c r="K301">
        <v>0.04987126840412714</v>
      </c>
      <c r="L301" t="s">
        <v>873</v>
      </c>
      <c r="M301" t="s">
        <v>873</v>
      </c>
      <c r="N301">
        <v>21.68495575221239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901</v>
      </c>
      <c r="U301">
        <v>-0.03288674465984</v>
      </c>
      <c r="V301" t="s">
        <v>978</v>
      </c>
      <c r="W301" t="s">
        <v>990</v>
      </c>
      <c r="X301">
        <v>41349.531357</v>
      </c>
      <c r="Y301" s="2">
        <v>44776</v>
      </c>
      <c r="Z301" t="s">
        <v>1001</v>
      </c>
    </row>
    <row r="302" spans="1:26">
      <c r="A302" s="1" t="s">
        <v>326</v>
      </c>
      <c r="B302">
        <f>HYPERLINK("https://www.suredividend.com/sure-analysis-NDAQ/","Nasdaq Inc")</f>
        <v>0</v>
      </c>
      <c r="C302" t="s">
        <v>870</v>
      </c>
      <c r="D302">
        <v>56</v>
      </c>
      <c r="E302">
        <v>61.9</v>
      </c>
      <c r="F302">
        <v>50</v>
      </c>
      <c r="G302">
        <v>1.238</v>
      </c>
      <c r="H302">
        <v>0.01292407108239095</v>
      </c>
      <c r="I302">
        <v>-0.04180065188179438</v>
      </c>
      <c r="J302">
        <v>0.08</v>
      </c>
      <c r="K302">
        <v>0.04957780336383211</v>
      </c>
      <c r="L302" t="s">
        <v>873</v>
      </c>
      <c r="M302" t="s">
        <v>586</v>
      </c>
      <c r="N302">
        <v>23.35849056603774</v>
      </c>
      <c r="O302">
        <v>2.65</v>
      </c>
      <c r="P302">
        <v>0.8</v>
      </c>
      <c r="Q302">
        <v>0.3018867924528302</v>
      </c>
      <c r="R302">
        <v>10</v>
      </c>
      <c r="S302">
        <v>0.100271705097241</v>
      </c>
      <c r="T302" t="s">
        <v>887</v>
      </c>
      <c r="U302">
        <v>-0.113671932610429</v>
      </c>
      <c r="V302" t="s">
        <v>978</v>
      </c>
      <c r="W302" t="s">
        <v>986</v>
      </c>
      <c r="X302">
        <v>30410.202659</v>
      </c>
      <c r="Y302" s="2">
        <v>44853</v>
      </c>
      <c r="Z302" t="s">
        <v>1002</v>
      </c>
    </row>
    <row r="303" spans="1:26">
      <c r="A303" s="1" t="s">
        <v>327</v>
      </c>
      <c r="B303">
        <f>HYPERLINK("https://www.suredividend.com/sure-analysis-RTX/","Raytheon Technologies Corporation")</f>
        <v>0</v>
      </c>
      <c r="C303" t="s">
        <v>870</v>
      </c>
      <c r="D303">
        <v>89</v>
      </c>
      <c r="E303">
        <v>95.22</v>
      </c>
      <c r="F303">
        <v>76</v>
      </c>
      <c r="G303">
        <v>1.252894736842105</v>
      </c>
      <c r="H303">
        <v>0.02310438983406847</v>
      </c>
      <c r="I303">
        <v>-0.04408982800711081</v>
      </c>
      <c r="J303">
        <v>0.07000000000000001</v>
      </c>
      <c r="K303">
        <v>0.04759695808127673</v>
      </c>
      <c r="L303" t="s">
        <v>873</v>
      </c>
      <c r="M303" t="s">
        <v>873</v>
      </c>
      <c r="N303">
        <v>20.04631578947368</v>
      </c>
      <c r="O303">
        <v>4.75</v>
      </c>
      <c r="P303">
        <v>2.2</v>
      </c>
      <c r="Q303">
        <v>0.4631578947368422</v>
      </c>
      <c r="R303">
        <v>28</v>
      </c>
      <c r="S303">
        <v>0.0703040276544542</v>
      </c>
      <c r="T303" t="s">
        <v>895</v>
      </c>
      <c r="U303">
        <v>0.106640540559386</v>
      </c>
      <c r="V303" t="s">
        <v>978</v>
      </c>
      <c r="W303" t="s">
        <v>984</v>
      </c>
      <c r="X303">
        <v>139979.186996</v>
      </c>
      <c r="Y303" s="2">
        <v>44859</v>
      </c>
      <c r="Z303" t="s">
        <v>993</v>
      </c>
    </row>
    <row r="304" spans="1:26">
      <c r="A304" s="1" t="s">
        <v>328</v>
      </c>
      <c r="B304">
        <f>HYPERLINK("https://www.suredividend.com/sure-analysis-HII/","Huntington Ingalls Industries Inc")</f>
        <v>0</v>
      </c>
      <c r="C304" t="s">
        <v>870</v>
      </c>
      <c r="D304">
        <v>227</v>
      </c>
      <c r="E304">
        <v>243.95</v>
      </c>
      <c r="F304">
        <v>213</v>
      </c>
      <c r="G304">
        <v>1.145305164319249</v>
      </c>
      <c r="H304">
        <v>0.02033203525312564</v>
      </c>
      <c r="I304">
        <v>-0.02676939825478641</v>
      </c>
      <c r="J304">
        <v>0.05</v>
      </c>
      <c r="K304">
        <v>0.0448734742037098</v>
      </c>
      <c r="L304" t="s">
        <v>873</v>
      </c>
      <c r="M304" t="s">
        <v>568</v>
      </c>
      <c r="N304">
        <v>16.04934210526316</v>
      </c>
      <c r="O304">
        <v>15.2</v>
      </c>
      <c r="P304">
        <v>4.96</v>
      </c>
      <c r="Q304">
        <v>0.3263157894736842</v>
      </c>
      <c r="R304">
        <v>11</v>
      </c>
      <c r="S304">
        <v>0.08592549192956644</v>
      </c>
      <c r="T304" t="s">
        <v>906</v>
      </c>
      <c r="U304">
        <v>0.305158949046102</v>
      </c>
      <c r="V304" t="s">
        <v>978</v>
      </c>
      <c r="W304" t="s">
        <v>984</v>
      </c>
      <c r="X304">
        <v>9734.467607</v>
      </c>
      <c r="Y304" s="2">
        <v>44805</v>
      </c>
      <c r="Z304" t="s">
        <v>1007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67</v>
      </c>
      <c r="E305">
        <v>74.11</v>
      </c>
      <c r="F305">
        <v>66</v>
      </c>
      <c r="G305">
        <v>1.122878787878788</v>
      </c>
      <c r="H305">
        <v>0.02698691134799622</v>
      </c>
      <c r="I305">
        <v>-0.02291257398012136</v>
      </c>
      <c r="J305">
        <v>0.04</v>
      </c>
      <c r="K305">
        <v>0.04318572767631546</v>
      </c>
      <c r="L305" t="s">
        <v>873</v>
      </c>
      <c r="M305" t="s">
        <v>873</v>
      </c>
      <c r="N305">
        <v>10.0420054200542</v>
      </c>
      <c r="O305">
        <v>7.38</v>
      </c>
      <c r="P305">
        <v>2</v>
      </c>
      <c r="Q305">
        <v>0.2710027100271003</v>
      </c>
      <c r="R305">
        <v>10</v>
      </c>
      <c r="S305">
        <v>0.03971726473271953</v>
      </c>
      <c r="T305" t="s">
        <v>946</v>
      </c>
      <c r="U305">
        <v>0.194761813406933</v>
      </c>
      <c r="V305" t="s">
        <v>978</v>
      </c>
      <c r="W305" t="s">
        <v>986</v>
      </c>
      <c r="X305">
        <v>58147.165853</v>
      </c>
      <c r="Y305" s="2">
        <v>44788</v>
      </c>
      <c r="Z305" t="s">
        <v>993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870</v>
      </c>
      <c r="D306">
        <v>202</v>
      </c>
      <c r="E306">
        <v>207.85</v>
      </c>
      <c r="F306">
        <v>149</v>
      </c>
      <c r="G306">
        <v>1.39496644295302</v>
      </c>
      <c r="H306">
        <v>0.01982198700986288</v>
      </c>
      <c r="I306">
        <v>-0.06440638795421993</v>
      </c>
      <c r="J306">
        <v>0.09</v>
      </c>
      <c r="K306">
        <v>0.042661295901959</v>
      </c>
      <c r="L306" t="s">
        <v>873</v>
      </c>
      <c r="M306" t="s">
        <v>568</v>
      </c>
      <c r="N306">
        <v>23.75428571428571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913</v>
      </c>
      <c r="U306">
        <v>-0.047022570228499</v>
      </c>
      <c r="V306" t="s">
        <v>978</v>
      </c>
      <c r="W306" t="s">
        <v>984</v>
      </c>
      <c r="X306">
        <v>139742.175921</v>
      </c>
      <c r="Y306" s="2">
        <v>44864</v>
      </c>
      <c r="Z306" t="s">
        <v>993</v>
      </c>
    </row>
    <row r="307" spans="1:26">
      <c r="A307" s="1" t="s">
        <v>331</v>
      </c>
      <c r="B307">
        <f>HYPERLINK("https://www.suredividend.com/sure-analysis-XEL/","Xcel Energy, Inc.")</f>
        <v>0</v>
      </c>
      <c r="C307" t="s">
        <v>870</v>
      </c>
      <c r="D307">
        <v>64</v>
      </c>
      <c r="E307">
        <v>65.55</v>
      </c>
      <c r="F307">
        <v>57</v>
      </c>
      <c r="G307">
        <v>1.15</v>
      </c>
      <c r="H307">
        <v>0.02974828375286041</v>
      </c>
      <c r="I307">
        <v>-0.02756533520359794</v>
      </c>
      <c r="J307">
        <v>0.04</v>
      </c>
      <c r="K307">
        <v>0.04149501070383876</v>
      </c>
      <c r="L307" t="s">
        <v>873</v>
      </c>
      <c r="M307" t="s">
        <v>873</v>
      </c>
      <c r="N307">
        <v>20.74367088607595</v>
      </c>
      <c r="O307">
        <v>3.16</v>
      </c>
      <c r="P307">
        <v>1.95</v>
      </c>
      <c r="Q307">
        <v>0.6170886075949367</v>
      </c>
      <c r="R307">
        <v>19</v>
      </c>
      <c r="S307">
        <v>0.03978308212039239</v>
      </c>
      <c r="T307" t="s">
        <v>883</v>
      </c>
      <c r="U307">
        <v>0.06825593163162001</v>
      </c>
      <c r="V307" t="s">
        <v>978</v>
      </c>
      <c r="W307" t="s">
        <v>987</v>
      </c>
      <c r="X307">
        <v>35872.138913</v>
      </c>
      <c r="Y307" s="2">
        <v>44861</v>
      </c>
      <c r="Z307" t="s">
        <v>1008</v>
      </c>
    </row>
    <row r="308" spans="1:26">
      <c r="A308" s="1" t="s">
        <v>332</v>
      </c>
      <c r="B308">
        <f>HYPERLINK("https://www.suredividend.com/sure-analysis-WTRG/","Essential Utilities Inc")</f>
        <v>0</v>
      </c>
      <c r="C308" t="s">
        <v>871</v>
      </c>
      <c r="D308">
        <v>51</v>
      </c>
      <c r="E308">
        <v>44.21</v>
      </c>
      <c r="F308">
        <v>32</v>
      </c>
      <c r="G308">
        <v>1.3815625</v>
      </c>
      <c r="H308">
        <v>0.02601221443112418</v>
      </c>
      <c r="I308">
        <v>-0.0625979635095556</v>
      </c>
      <c r="J308">
        <v>0.08</v>
      </c>
      <c r="K308">
        <v>0.04040489253273583</v>
      </c>
      <c r="L308" t="s">
        <v>873</v>
      </c>
      <c r="M308" t="s">
        <v>568</v>
      </c>
      <c r="N308">
        <v>24.69832402234637</v>
      </c>
      <c r="O308">
        <v>1.79</v>
      </c>
      <c r="P308">
        <v>1.15</v>
      </c>
      <c r="Q308">
        <v>0.6424581005586592</v>
      </c>
      <c r="R308">
        <v>31</v>
      </c>
      <c r="S308">
        <v>0.06014330757368569</v>
      </c>
      <c r="T308" t="s">
        <v>913</v>
      </c>
      <c r="U308">
        <v>-0.037238675958188</v>
      </c>
      <c r="V308" t="s">
        <v>978</v>
      </c>
      <c r="W308" t="s">
        <v>987</v>
      </c>
      <c r="X308">
        <v>11590.569432</v>
      </c>
      <c r="Y308" s="2">
        <v>44796</v>
      </c>
      <c r="Z308" t="s">
        <v>996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870</v>
      </c>
      <c r="D309">
        <v>47</v>
      </c>
      <c r="E309">
        <v>54.12</v>
      </c>
      <c r="F309">
        <v>46</v>
      </c>
      <c r="G309">
        <v>1.176521739130435</v>
      </c>
      <c r="H309">
        <v>0.05838876570583888</v>
      </c>
      <c r="I309">
        <v>-0.03198963233258945</v>
      </c>
      <c r="J309">
        <v>0.015</v>
      </c>
      <c r="K309">
        <v>0.03995781896697448</v>
      </c>
      <c r="L309" t="s">
        <v>873</v>
      </c>
      <c r="M309" t="s">
        <v>872</v>
      </c>
      <c r="N309">
        <v>15.46285714285714</v>
      </c>
      <c r="O309">
        <v>3.5</v>
      </c>
      <c r="P309">
        <v>3.16</v>
      </c>
      <c r="Q309">
        <v>0.9028571428571429</v>
      </c>
      <c r="R309">
        <v>52</v>
      </c>
      <c r="S309">
        <v>0.00992750501674311</v>
      </c>
      <c r="T309" t="s">
        <v>885</v>
      </c>
      <c r="U309">
        <v>0.164041193120714</v>
      </c>
      <c r="V309" t="s">
        <v>978</v>
      </c>
      <c r="W309" t="s">
        <v>990</v>
      </c>
      <c r="X309">
        <v>1331.042975</v>
      </c>
      <c r="Y309" s="2">
        <v>44828</v>
      </c>
      <c r="Z309" t="s">
        <v>994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870</v>
      </c>
      <c r="D310">
        <v>62</v>
      </c>
      <c r="E310">
        <v>63.69</v>
      </c>
      <c r="F310">
        <v>56</v>
      </c>
      <c r="G310">
        <v>1.137321428571429</v>
      </c>
      <c r="H310">
        <v>0.02763385146804836</v>
      </c>
      <c r="I310">
        <v>-0.02540684766845225</v>
      </c>
      <c r="J310">
        <v>0.04</v>
      </c>
      <c r="K310">
        <v>0.03922616715397687</v>
      </c>
      <c r="L310" t="s">
        <v>873</v>
      </c>
      <c r="M310" t="s">
        <v>873</v>
      </c>
      <c r="N310">
        <v>18.19714285714286</v>
      </c>
      <c r="O310">
        <v>3.5</v>
      </c>
      <c r="P310">
        <v>1.76</v>
      </c>
      <c r="Q310">
        <v>0.5028571428571429</v>
      </c>
      <c r="R310">
        <v>30</v>
      </c>
      <c r="S310">
        <v>0.01002427579815035</v>
      </c>
      <c r="T310" t="s">
        <v>883</v>
      </c>
      <c r="U310">
        <v>-0.112427272410549</v>
      </c>
      <c r="V310" t="s">
        <v>978</v>
      </c>
      <c r="W310" t="s">
        <v>986</v>
      </c>
      <c r="X310">
        <v>3422.192099</v>
      </c>
      <c r="Y310" s="2">
        <v>44867</v>
      </c>
      <c r="Z310" t="s">
        <v>1001</v>
      </c>
    </row>
    <row r="311" spans="1:26">
      <c r="A311" s="1" t="s">
        <v>335</v>
      </c>
      <c r="B311">
        <f>HYPERLINK("https://www.suredividend.com/sure-analysis-GILD/","Gilead Sciences, Inc.")</f>
        <v>0</v>
      </c>
      <c r="C311" t="s">
        <v>870</v>
      </c>
      <c r="D311">
        <v>66</v>
      </c>
      <c r="E311">
        <v>80.34</v>
      </c>
      <c r="F311">
        <v>66</v>
      </c>
      <c r="G311">
        <v>1.217272727272727</v>
      </c>
      <c r="H311">
        <v>0.03634553149116256</v>
      </c>
      <c r="I311">
        <v>-0.03855947984584285</v>
      </c>
      <c r="J311">
        <v>0.04</v>
      </c>
      <c r="K311">
        <v>0.03894228671705657</v>
      </c>
      <c r="L311" t="s">
        <v>873</v>
      </c>
      <c r="M311" t="s">
        <v>873</v>
      </c>
      <c r="N311">
        <v>12.26564885496183</v>
      </c>
      <c r="O311">
        <v>6.55</v>
      </c>
      <c r="P311">
        <v>2.92</v>
      </c>
      <c r="Q311">
        <v>0.4458015267175572</v>
      </c>
      <c r="R311">
        <v>7</v>
      </c>
      <c r="S311">
        <v>0.05018351330582038</v>
      </c>
      <c r="T311" t="s">
        <v>883</v>
      </c>
      <c r="U311">
        <v>0.26615394313812</v>
      </c>
      <c r="V311" t="s">
        <v>978</v>
      </c>
      <c r="W311" t="s">
        <v>988</v>
      </c>
      <c r="X311">
        <v>100765.950507</v>
      </c>
      <c r="Y311" s="2">
        <v>44790</v>
      </c>
      <c r="Z311" t="s">
        <v>994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870</v>
      </c>
      <c r="D312">
        <v>47</v>
      </c>
      <c r="E312">
        <v>46.92</v>
      </c>
      <c r="F312">
        <v>38</v>
      </c>
      <c r="G312">
        <v>1.234736842105263</v>
      </c>
      <c r="H312">
        <v>0.02962489343563512</v>
      </c>
      <c r="I312">
        <v>-0.04129472129946909</v>
      </c>
      <c r="J312">
        <v>0.05</v>
      </c>
      <c r="K312">
        <v>0.03804933794504106</v>
      </c>
      <c r="L312" t="s">
        <v>873</v>
      </c>
      <c r="M312" t="s">
        <v>873</v>
      </c>
      <c r="N312">
        <v>18.4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945</v>
      </c>
      <c r="U312">
        <v>0.001746437736719</v>
      </c>
      <c r="V312" t="s">
        <v>978</v>
      </c>
      <c r="W312" t="s">
        <v>987</v>
      </c>
      <c r="X312">
        <v>4027.372288</v>
      </c>
      <c r="Y312" s="2">
        <v>44807</v>
      </c>
      <c r="Z312" t="s">
        <v>1006</v>
      </c>
    </row>
    <row r="313" spans="1:26">
      <c r="A313" s="1" t="s">
        <v>337</v>
      </c>
      <c r="B313">
        <f>HYPERLINK("https://www.suredividend.com/sure-analysis-GATX/","GATX Corp.")</f>
        <v>0</v>
      </c>
      <c r="C313" t="s">
        <v>870</v>
      </c>
      <c r="D313">
        <v>100</v>
      </c>
      <c r="E313">
        <v>105.75</v>
      </c>
      <c r="F313">
        <v>99</v>
      </c>
      <c r="G313">
        <v>1.068181818181818</v>
      </c>
      <c r="H313">
        <v>0.01966903073286052</v>
      </c>
      <c r="I313">
        <v>-0.01310496582571075</v>
      </c>
      <c r="J313">
        <v>0.03</v>
      </c>
      <c r="K313">
        <v>0.03536473573595411</v>
      </c>
      <c r="L313" t="s">
        <v>873</v>
      </c>
      <c r="M313" t="s">
        <v>568</v>
      </c>
      <c r="N313">
        <v>18.23275862068965</v>
      </c>
      <c r="O313">
        <v>5.8</v>
      </c>
      <c r="P313">
        <v>2.08</v>
      </c>
      <c r="Q313">
        <v>0.3586206896551725</v>
      </c>
      <c r="R313">
        <v>17</v>
      </c>
      <c r="S313">
        <v>0.02031177855938826</v>
      </c>
      <c r="T313" t="s">
        <v>883</v>
      </c>
      <c r="U313">
        <v>0.07829601698354401</v>
      </c>
      <c r="V313" t="s">
        <v>978</v>
      </c>
      <c r="W313" t="s">
        <v>984</v>
      </c>
      <c r="X313">
        <v>3722.4</v>
      </c>
      <c r="Y313" s="2">
        <v>44783</v>
      </c>
      <c r="Z313" t="s">
        <v>995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870</v>
      </c>
      <c r="D314">
        <v>169</v>
      </c>
      <c r="E314">
        <v>178.78</v>
      </c>
      <c r="F314">
        <v>141</v>
      </c>
      <c r="G314">
        <v>1.267943262411348</v>
      </c>
      <c r="H314">
        <v>0.02572994742141179</v>
      </c>
      <c r="I314">
        <v>-0.04636971240608323</v>
      </c>
      <c r="J314">
        <v>0.055</v>
      </c>
      <c r="K314">
        <v>0.03404891284082567</v>
      </c>
      <c r="L314" t="s">
        <v>873</v>
      </c>
      <c r="M314" t="s">
        <v>873</v>
      </c>
      <c r="N314">
        <v>26.56463595839524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889</v>
      </c>
      <c r="U314">
        <v>0.117752940212909</v>
      </c>
      <c r="V314" t="s">
        <v>978</v>
      </c>
      <c r="W314" t="s">
        <v>990</v>
      </c>
      <c r="X314">
        <v>246306.852385</v>
      </c>
      <c r="Y314" s="2">
        <v>44847</v>
      </c>
      <c r="Z314" t="s">
        <v>993</v>
      </c>
    </row>
    <row r="315" spans="1:26">
      <c r="A315" s="1" t="s">
        <v>339</v>
      </c>
      <c r="B315">
        <f>HYPERLINK("https://www.suredividend.com/sure-analysis-LRLCF/","L`Oreal")</f>
        <v>0</v>
      </c>
      <c r="C315" t="s">
        <v>871</v>
      </c>
      <c r="D315">
        <v>304</v>
      </c>
      <c r="E315">
        <v>319.65</v>
      </c>
      <c r="F315">
        <v>262</v>
      </c>
      <c r="G315">
        <v>1.220038167938931</v>
      </c>
      <c r="H315">
        <v>0.01801970905678086</v>
      </c>
      <c r="I315">
        <v>-0.03899573188054428</v>
      </c>
      <c r="J315">
        <v>0.055</v>
      </c>
      <c r="K315">
        <v>0.03291681082600695</v>
      </c>
      <c r="L315" t="s">
        <v>873</v>
      </c>
      <c r="M315" t="s">
        <v>586</v>
      </c>
      <c r="N315">
        <v>29.32568807339449</v>
      </c>
      <c r="O315">
        <v>10.9</v>
      </c>
      <c r="P315">
        <v>5.76</v>
      </c>
      <c r="Q315">
        <v>0.528440366972477</v>
      </c>
      <c r="R315">
        <v>22</v>
      </c>
      <c r="S315">
        <v>0.04996052445273014</v>
      </c>
      <c r="T315" t="s">
        <v>947</v>
      </c>
      <c r="U315">
        <v>-0.327887466094745</v>
      </c>
      <c r="V315" t="s">
        <v>978</v>
      </c>
      <c r="W315" t="s">
        <v>990</v>
      </c>
      <c r="X315">
        <v>171565.385213</v>
      </c>
      <c r="Y315" s="2">
        <v>44855</v>
      </c>
      <c r="Z315" t="s">
        <v>1000</v>
      </c>
    </row>
    <row r="316" spans="1:26">
      <c r="A316" s="1" t="s">
        <v>340</v>
      </c>
      <c r="B316">
        <f>HYPERLINK("https://www.suredividend.com/sure-analysis-BAH/","Booz Allen Hamilton Holding Corp")</f>
        <v>0</v>
      </c>
      <c r="C316" t="s">
        <v>870</v>
      </c>
      <c r="D316">
        <v>98</v>
      </c>
      <c r="E316">
        <v>106.83</v>
      </c>
      <c r="F316">
        <v>77</v>
      </c>
      <c r="G316">
        <v>1.387402597402597</v>
      </c>
      <c r="H316">
        <v>0.01610034634465974</v>
      </c>
      <c r="I316">
        <v>-0.06338847093388167</v>
      </c>
      <c r="J316">
        <v>0.08</v>
      </c>
      <c r="K316">
        <v>0.03252907357861279</v>
      </c>
      <c r="L316" t="s">
        <v>873</v>
      </c>
      <c r="M316" t="s">
        <v>586</v>
      </c>
      <c r="N316">
        <v>24.84418604651163</v>
      </c>
      <c r="O316">
        <v>4.3</v>
      </c>
      <c r="P316">
        <v>1.72</v>
      </c>
      <c r="Q316">
        <v>0.4</v>
      </c>
      <c r="R316">
        <v>11</v>
      </c>
      <c r="S316">
        <v>0.1199092617598778</v>
      </c>
      <c r="T316" t="s">
        <v>905</v>
      </c>
      <c r="U316">
        <v>0.246230569570416</v>
      </c>
      <c r="V316" t="s">
        <v>978</v>
      </c>
      <c r="W316" t="s">
        <v>984</v>
      </c>
      <c r="X316">
        <v>14125.72313</v>
      </c>
      <c r="Y316" s="2">
        <v>44796</v>
      </c>
      <c r="Z316" t="s">
        <v>1007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870</v>
      </c>
      <c r="D317">
        <v>362</v>
      </c>
      <c r="E317">
        <v>395.09</v>
      </c>
      <c r="F317">
        <v>394</v>
      </c>
      <c r="G317">
        <v>1.002766497461929</v>
      </c>
      <c r="H317">
        <v>0.01144043129413551</v>
      </c>
      <c r="I317">
        <v>-0.0005523829305469352</v>
      </c>
      <c r="J317">
        <v>0.02</v>
      </c>
      <c r="K317">
        <v>0.03215183764357787</v>
      </c>
      <c r="L317" t="s">
        <v>873</v>
      </c>
      <c r="M317" t="s">
        <v>586</v>
      </c>
      <c r="N317">
        <v>17.02974137931034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886</v>
      </c>
      <c r="U317">
        <v>0.140283204914742</v>
      </c>
      <c r="V317" t="s">
        <v>978</v>
      </c>
      <c r="W317" t="s">
        <v>984</v>
      </c>
      <c r="X317">
        <v>119245.917617</v>
      </c>
      <c r="Y317" s="2">
        <v>44809</v>
      </c>
      <c r="Z317" t="s">
        <v>996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870</v>
      </c>
      <c r="D318">
        <v>243</v>
      </c>
      <c r="E318">
        <v>247.43</v>
      </c>
      <c r="F318">
        <v>190</v>
      </c>
      <c r="G318">
        <v>1.302263157894737</v>
      </c>
      <c r="H318">
        <v>0.01907610233197268</v>
      </c>
      <c r="I318">
        <v>-0.0514499545917827</v>
      </c>
      <c r="J318">
        <v>0.065</v>
      </c>
      <c r="K318">
        <v>0.03113175082282504</v>
      </c>
      <c r="L318" t="s">
        <v>873</v>
      </c>
      <c r="M318" t="s">
        <v>586</v>
      </c>
      <c r="N318">
        <v>26.04526315789474</v>
      </c>
      <c r="O318">
        <v>9.5</v>
      </c>
      <c r="P318">
        <v>4.72</v>
      </c>
      <c r="Q318">
        <v>0.4968421052631579</v>
      </c>
      <c r="R318">
        <v>13</v>
      </c>
      <c r="S318">
        <v>0.05877463654409043</v>
      </c>
      <c r="T318" t="s">
        <v>905</v>
      </c>
      <c r="U318">
        <v>-0.263586506040447</v>
      </c>
      <c r="V318" t="s">
        <v>978</v>
      </c>
      <c r="W318" t="s">
        <v>984</v>
      </c>
      <c r="X318">
        <v>28562.175084</v>
      </c>
      <c r="Y318" s="2">
        <v>44797</v>
      </c>
      <c r="Z318" t="s">
        <v>994</v>
      </c>
    </row>
    <row r="319" spans="1:26">
      <c r="A319" s="1" t="s">
        <v>343</v>
      </c>
      <c r="B319">
        <f>HYPERLINK("https://www.suredividend.com/sure-analysis-YORW/","York Water Co.")</f>
        <v>0</v>
      </c>
      <c r="C319" t="s">
        <v>871</v>
      </c>
      <c r="D319">
        <v>43</v>
      </c>
      <c r="E319">
        <v>44.45</v>
      </c>
      <c r="F319">
        <v>35</v>
      </c>
      <c r="G319">
        <v>1.27</v>
      </c>
      <c r="H319">
        <v>0.01754780652418448</v>
      </c>
      <c r="I319">
        <v>-0.04667878942197823</v>
      </c>
      <c r="J319">
        <v>0.06</v>
      </c>
      <c r="K319">
        <v>0.02881702402216302</v>
      </c>
      <c r="L319" t="s">
        <v>873</v>
      </c>
      <c r="M319" t="s">
        <v>586</v>
      </c>
      <c r="N319">
        <v>33.42105263157895</v>
      </c>
      <c r="O319">
        <v>1.33</v>
      </c>
      <c r="P319">
        <v>0.78</v>
      </c>
      <c r="Q319">
        <v>0.5864661654135338</v>
      </c>
      <c r="R319">
        <v>25</v>
      </c>
      <c r="S319">
        <v>0.04022143939343281</v>
      </c>
      <c r="T319" t="s">
        <v>886</v>
      </c>
      <c r="U319">
        <v>-0.06102790510995101</v>
      </c>
      <c r="V319" t="s">
        <v>978</v>
      </c>
      <c r="W319" t="s">
        <v>987</v>
      </c>
      <c r="X319">
        <v>634.5824679999999</v>
      </c>
      <c r="Y319" s="2">
        <v>44777</v>
      </c>
      <c r="Z319" t="s">
        <v>1000</v>
      </c>
    </row>
    <row r="320" spans="1:26">
      <c r="A320" s="1" t="s">
        <v>344</v>
      </c>
      <c r="B320">
        <f>HYPERLINK("https://www.suredividend.com/sure-analysis-HUBB/","Hubbell Inc.")</f>
        <v>0</v>
      </c>
      <c r="C320" t="s">
        <v>870</v>
      </c>
      <c r="D320">
        <v>237</v>
      </c>
      <c r="E320">
        <v>237.87</v>
      </c>
      <c r="F320">
        <v>185</v>
      </c>
      <c r="G320">
        <v>1.285783783783784</v>
      </c>
      <c r="H320">
        <v>0.01883381679068399</v>
      </c>
      <c r="I320">
        <v>-0.04903088772929087</v>
      </c>
      <c r="J320">
        <v>0.06</v>
      </c>
      <c r="K320">
        <v>0.02778616039168691</v>
      </c>
      <c r="L320" t="s">
        <v>873</v>
      </c>
      <c r="M320" t="s">
        <v>568</v>
      </c>
      <c r="N320">
        <v>23.09417475728155</v>
      </c>
      <c r="O320">
        <v>10.3</v>
      </c>
      <c r="P320">
        <v>4.48</v>
      </c>
      <c r="Q320">
        <v>0.4349514563106796</v>
      </c>
      <c r="R320">
        <v>16</v>
      </c>
      <c r="S320">
        <v>0.03997691152451632</v>
      </c>
      <c r="T320" t="s">
        <v>881</v>
      </c>
      <c r="U320">
        <v>0.191393836125874</v>
      </c>
      <c r="V320" t="s">
        <v>978</v>
      </c>
      <c r="W320" t="s">
        <v>984</v>
      </c>
      <c r="X320">
        <v>12775.005544</v>
      </c>
      <c r="Y320" s="2">
        <v>44870</v>
      </c>
      <c r="Z320" t="s">
        <v>995</v>
      </c>
    </row>
    <row r="321" spans="1:26">
      <c r="A321" s="1" t="s">
        <v>345</v>
      </c>
      <c r="B321">
        <f>HYPERLINK("https://www.suredividend.com/sure-analysis-ED/","Consolidated Edison, Inc.")</f>
        <v>0</v>
      </c>
      <c r="C321" t="s">
        <v>871</v>
      </c>
      <c r="D321">
        <v>100</v>
      </c>
      <c r="E321">
        <v>90.04000000000001</v>
      </c>
      <c r="F321">
        <v>72</v>
      </c>
      <c r="G321">
        <v>1.250555555555556</v>
      </c>
      <c r="H321">
        <v>0.03509551310528654</v>
      </c>
      <c r="I321">
        <v>-0.04373248665934504</v>
      </c>
      <c r="J321">
        <v>0.035</v>
      </c>
      <c r="K321">
        <v>0.02734575604715217</v>
      </c>
      <c r="L321" t="s">
        <v>873</v>
      </c>
      <c r="M321" t="s">
        <v>873</v>
      </c>
      <c r="N321">
        <v>20.00888888888889</v>
      </c>
      <c r="O321">
        <v>4.5</v>
      </c>
      <c r="P321">
        <v>3.16</v>
      </c>
      <c r="Q321">
        <v>0.7022222222222223</v>
      </c>
      <c r="R321">
        <v>48</v>
      </c>
      <c r="S321">
        <v>0.03482958654183155</v>
      </c>
      <c r="T321" t="s">
        <v>900</v>
      </c>
      <c r="U321">
        <v>0.223294771379467</v>
      </c>
      <c r="V321" t="s">
        <v>978</v>
      </c>
      <c r="W321" t="s">
        <v>987</v>
      </c>
      <c r="X321">
        <v>31951.850834</v>
      </c>
      <c r="Y321" s="2">
        <v>44789</v>
      </c>
      <c r="Z321" t="s">
        <v>993</v>
      </c>
    </row>
    <row r="322" spans="1:26">
      <c r="A322" s="1" t="s">
        <v>346</v>
      </c>
      <c r="B322">
        <f>HYPERLINK("https://www.suredividend.com/sure-analysis-TRI/","Thomson-Reuters Corp")</f>
        <v>0</v>
      </c>
      <c r="C322" t="s">
        <v>871</v>
      </c>
      <c r="D322">
        <v>115</v>
      </c>
      <c r="E322">
        <v>104.99</v>
      </c>
      <c r="F322">
        <v>74</v>
      </c>
      <c r="G322">
        <v>1.418783783783784</v>
      </c>
      <c r="H322">
        <v>0.01695399561863035</v>
      </c>
      <c r="I322">
        <v>-0.06756888626631308</v>
      </c>
      <c r="J322">
        <v>0.08</v>
      </c>
      <c r="K322">
        <v>0.02397286688444944</v>
      </c>
      <c r="L322" t="s">
        <v>873</v>
      </c>
      <c r="M322" t="s">
        <v>586</v>
      </c>
      <c r="N322">
        <v>42.67886178861789</v>
      </c>
      <c r="O322">
        <v>2.46</v>
      </c>
      <c r="P322">
        <v>1.78</v>
      </c>
      <c r="Q322">
        <v>0.7235772357723578</v>
      </c>
      <c r="R322">
        <v>29</v>
      </c>
      <c r="S322">
        <v>0.02049115477439067</v>
      </c>
      <c r="T322" t="s">
        <v>876</v>
      </c>
      <c r="U322">
        <v>-0.102496920416378</v>
      </c>
      <c r="V322" t="s">
        <v>978</v>
      </c>
      <c r="W322" t="s">
        <v>984</v>
      </c>
      <c r="X322">
        <v>50488.64467</v>
      </c>
      <c r="Y322" s="2">
        <v>44777</v>
      </c>
      <c r="Z322" t="s">
        <v>998</v>
      </c>
    </row>
    <row r="323" spans="1:26">
      <c r="A323" s="1" t="s">
        <v>347</v>
      </c>
      <c r="B323">
        <f>HYPERLINK("https://www.suredividend.com/sure-analysis-DDS/","Dillard`s Inc.")</f>
        <v>0</v>
      </c>
      <c r="C323" t="s">
        <v>870</v>
      </c>
      <c r="D323">
        <v>279</v>
      </c>
      <c r="E323">
        <v>314.05</v>
      </c>
      <c r="F323">
        <v>385</v>
      </c>
      <c r="G323">
        <v>0.8157142857142857</v>
      </c>
      <c r="H323">
        <v>0.002547365069256488</v>
      </c>
      <c r="I323">
        <v>0.0415794104851932</v>
      </c>
      <c r="J323">
        <v>-0.02</v>
      </c>
      <c r="K323">
        <v>0.02342176820427588</v>
      </c>
      <c r="L323" t="s">
        <v>873</v>
      </c>
      <c r="M323" t="s">
        <v>637</v>
      </c>
      <c r="N323">
        <v>8.972857142857142</v>
      </c>
      <c r="O323">
        <v>35</v>
      </c>
      <c r="P323">
        <v>0.8</v>
      </c>
      <c r="Q323">
        <v>0.02285714285714286</v>
      </c>
      <c r="R323">
        <v>11</v>
      </c>
      <c r="S323">
        <v>0.04563955259127317</v>
      </c>
      <c r="T323" t="s">
        <v>886</v>
      </c>
      <c r="U323">
        <v>0.09880228626449901</v>
      </c>
      <c r="V323" t="s">
        <v>978</v>
      </c>
      <c r="W323" t="s">
        <v>983</v>
      </c>
      <c r="X323">
        <v>4129.658888</v>
      </c>
      <c r="Y323" s="2">
        <v>44827</v>
      </c>
      <c r="Z323" t="s">
        <v>994</v>
      </c>
    </row>
    <row r="324" spans="1:26">
      <c r="A324" s="1" t="s">
        <v>348</v>
      </c>
      <c r="B324">
        <f>HYPERLINK("https://www.suredividend.com/sure-analysis-OTIS/","Otis Worldwide Corp")</f>
        <v>0</v>
      </c>
      <c r="C324" t="s">
        <v>870</v>
      </c>
      <c r="D324">
        <v>68</v>
      </c>
      <c r="E324">
        <v>73.22</v>
      </c>
      <c r="F324">
        <v>56</v>
      </c>
      <c r="G324">
        <v>1.3075</v>
      </c>
      <c r="H324">
        <v>0.01584266593826823</v>
      </c>
      <c r="I324">
        <v>-0.05221100763100694</v>
      </c>
      <c r="J324">
        <v>0.06</v>
      </c>
      <c r="K324">
        <v>0.02257276500759087</v>
      </c>
      <c r="L324" t="s">
        <v>873</v>
      </c>
      <c r="M324" t="s">
        <v>586</v>
      </c>
      <c r="N324">
        <v>23.39297124600639</v>
      </c>
      <c r="O324">
        <v>3.13</v>
      </c>
      <c r="P324">
        <v>1.16</v>
      </c>
      <c r="Q324">
        <v>0.3706070287539936</v>
      </c>
      <c r="R324">
        <v>2</v>
      </c>
      <c r="S324">
        <v>0.05968000996951628</v>
      </c>
      <c r="T324" t="s">
        <v>895</v>
      </c>
      <c r="U324">
        <v>-0.09318002519081901</v>
      </c>
      <c r="V324" t="s">
        <v>978</v>
      </c>
      <c r="W324" t="s">
        <v>984</v>
      </c>
      <c r="X324">
        <v>30502.432558</v>
      </c>
      <c r="Y324" s="2">
        <v>44860</v>
      </c>
      <c r="Z324" t="s">
        <v>1008</v>
      </c>
    </row>
    <row r="325" spans="1:26">
      <c r="A325" s="1" t="s">
        <v>349</v>
      </c>
      <c r="B325">
        <f>HYPERLINK("https://www.suredividend.com/sure-analysis-LMT/","Lockheed Martin Corp.")</f>
        <v>0</v>
      </c>
      <c r="C325" t="s">
        <v>871</v>
      </c>
      <c r="D325">
        <v>472</v>
      </c>
      <c r="E325">
        <v>481.67</v>
      </c>
      <c r="F325">
        <v>345</v>
      </c>
      <c r="G325">
        <v>1.396144927536232</v>
      </c>
      <c r="H325">
        <v>0.02491332239915294</v>
      </c>
      <c r="I325">
        <v>-0.06456438804295372</v>
      </c>
      <c r="J325">
        <v>0.06</v>
      </c>
      <c r="K325">
        <v>0.02061020956227888</v>
      </c>
      <c r="L325" t="s">
        <v>873</v>
      </c>
      <c r="M325" t="s">
        <v>568</v>
      </c>
      <c r="N325">
        <v>22.35127610208817</v>
      </c>
      <c r="O325">
        <v>21.55</v>
      </c>
      <c r="P325">
        <v>12</v>
      </c>
      <c r="Q325">
        <v>0.5568445475638051</v>
      </c>
      <c r="R325">
        <v>21</v>
      </c>
      <c r="S325">
        <v>0.06001706997692002</v>
      </c>
      <c r="T325" t="s">
        <v>874</v>
      </c>
      <c r="U325">
        <v>0.46718607740414</v>
      </c>
      <c r="V325" t="s">
        <v>978</v>
      </c>
      <c r="W325" t="s">
        <v>984</v>
      </c>
      <c r="X325">
        <v>126233.165758</v>
      </c>
      <c r="Y325" s="2">
        <v>44864</v>
      </c>
      <c r="Z325" t="s">
        <v>1007</v>
      </c>
    </row>
    <row r="326" spans="1:26">
      <c r="A326" s="1" t="s">
        <v>350</v>
      </c>
      <c r="B326">
        <f>HYPERLINK("https://www.suredividend.com/sure-analysis-RE/","Everest Re Group Ltd")</f>
        <v>0</v>
      </c>
      <c r="C326" t="s">
        <v>870</v>
      </c>
      <c r="D326">
        <v>277</v>
      </c>
      <c r="E326">
        <v>333.16</v>
      </c>
      <c r="F326">
        <v>297</v>
      </c>
      <c r="G326">
        <v>1.121750841750842</v>
      </c>
      <c r="H326">
        <v>0.01981030135670548</v>
      </c>
      <c r="I326">
        <v>-0.02271615621432377</v>
      </c>
      <c r="J326">
        <v>0.02</v>
      </c>
      <c r="K326">
        <v>0.01908845986650487</v>
      </c>
      <c r="L326" t="s">
        <v>873</v>
      </c>
      <c r="M326" t="s">
        <v>568</v>
      </c>
      <c r="N326">
        <v>10.09575757575758</v>
      </c>
      <c r="O326">
        <v>33</v>
      </c>
      <c r="P326">
        <v>6.6</v>
      </c>
      <c r="Q326">
        <v>0.2</v>
      </c>
      <c r="R326">
        <v>1</v>
      </c>
      <c r="S326">
        <v>0.04991376879974663</v>
      </c>
      <c r="T326" t="s">
        <v>931</v>
      </c>
      <c r="U326">
        <v>0.2690509048787</v>
      </c>
      <c r="V326" t="s">
        <v>978</v>
      </c>
      <c r="W326" t="s">
        <v>986</v>
      </c>
      <c r="X326">
        <v>13129.987521</v>
      </c>
      <c r="Y326" s="2">
        <v>44790</v>
      </c>
      <c r="Z326" t="s">
        <v>994</v>
      </c>
    </row>
    <row r="327" spans="1:26">
      <c r="A327" s="1" t="s">
        <v>351</v>
      </c>
      <c r="B327">
        <f>HYPERLINK("https://www.suredividend.com/sure-analysis-SJM/","J.M. Smucker Co.")</f>
        <v>0</v>
      </c>
      <c r="C327" t="s">
        <v>871</v>
      </c>
      <c r="D327">
        <v>140</v>
      </c>
      <c r="E327">
        <v>149.38</v>
      </c>
      <c r="F327">
        <v>110</v>
      </c>
      <c r="G327">
        <v>1.358</v>
      </c>
      <c r="H327">
        <v>0.02731289329227474</v>
      </c>
      <c r="I327">
        <v>-0.05936735718614938</v>
      </c>
      <c r="J327">
        <v>0.05</v>
      </c>
      <c r="K327">
        <v>0.01893774805987758</v>
      </c>
      <c r="L327" t="s">
        <v>873</v>
      </c>
      <c r="M327" t="s">
        <v>873</v>
      </c>
      <c r="N327">
        <v>21.64927536231884</v>
      </c>
      <c r="O327">
        <v>6.9</v>
      </c>
      <c r="P327">
        <v>4.08</v>
      </c>
      <c r="Q327">
        <v>0.591304347826087</v>
      </c>
      <c r="R327">
        <v>26</v>
      </c>
      <c r="S327">
        <v>0.05011173571018346</v>
      </c>
      <c r="T327" t="s">
        <v>913</v>
      </c>
      <c r="U327">
        <v>0.232717772162595</v>
      </c>
      <c r="V327" t="s">
        <v>978</v>
      </c>
      <c r="W327" t="s">
        <v>990</v>
      </c>
      <c r="X327">
        <v>15917.536196</v>
      </c>
      <c r="Y327" s="2">
        <v>44810</v>
      </c>
      <c r="Z327" t="s">
        <v>996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871</v>
      </c>
      <c r="D328">
        <v>264</v>
      </c>
      <c r="E328">
        <v>276.06</v>
      </c>
      <c r="F328">
        <v>196</v>
      </c>
      <c r="G328">
        <v>1.408469387755102</v>
      </c>
      <c r="H328">
        <v>0.02347315800912845</v>
      </c>
      <c r="I328">
        <v>-0.06620720740260322</v>
      </c>
      <c r="J328">
        <v>0.06</v>
      </c>
      <c r="K328">
        <v>0.01823834459549212</v>
      </c>
      <c r="L328" t="s">
        <v>873</v>
      </c>
      <c r="M328" t="s">
        <v>873</v>
      </c>
      <c r="N328">
        <v>26.80194174757282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891</v>
      </c>
      <c r="U328">
        <v>-0.060231514073718</v>
      </c>
      <c r="V328" t="s">
        <v>978</v>
      </c>
      <c r="W328" t="s">
        <v>989</v>
      </c>
      <c r="X328">
        <v>61229.826971</v>
      </c>
      <c r="Y328" s="2">
        <v>44798</v>
      </c>
      <c r="Z328" t="s">
        <v>994</v>
      </c>
    </row>
    <row r="329" spans="1:26">
      <c r="A329" s="1" t="s">
        <v>353</v>
      </c>
      <c r="B329">
        <f>HYPERLINK("https://www.suredividend.com/sure-analysis-TT/","Trane Technologies plc")</f>
        <v>0</v>
      </c>
      <c r="C329" t="s">
        <v>871</v>
      </c>
      <c r="D329">
        <v>151</v>
      </c>
      <c r="E329">
        <v>166.74</v>
      </c>
      <c r="F329">
        <v>121</v>
      </c>
      <c r="G329">
        <v>1.37801652892562</v>
      </c>
      <c r="H329">
        <v>0.01607292791171884</v>
      </c>
      <c r="I329">
        <v>-0.06211602670755356</v>
      </c>
      <c r="J329">
        <v>0.06</v>
      </c>
      <c r="K329">
        <v>0.01309733162690496</v>
      </c>
      <c r="L329" t="s">
        <v>873</v>
      </c>
      <c r="M329" t="s">
        <v>586</v>
      </c>
      <c r="N329">
        <v>23.48450704225352</v>
      </c>
      <c r="O329">
        <v>7.1</v>
      </c>
      <c r="P329">
        <v>2.68</v>
      </c>
      <c r="Q329">
        <v>0.3774647887323944</v>
      </c>
      <c r="R329">
        <v>2</v>
      </c>
      <c r="S329">
        <v>0.06021008469571831</v>
      </c>
      <c r="T329" t="s">
        <v>889</v>
      </c>
      <c r="U329">
        <v>-0.06266232233083001</v>
      </c>
      <c r="V329" t="s">
        <v>978</v>
      </c>
      <c r="W329" t="s">
        <v>984</v>
      </c>
      <c r="X329">
        <v>38401.438535</v>
      </c>
      <c r="Y329" s="2">
        <v>44776</v>
      </c>
      <c r="Z329" t="s">
        <v>1000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871</v>
      </c>
      <c r="D330">
        <v>128</v>
      </c>
      <c r="E330">
        <v>107.57</v>
      </c>
      <c r="F330">
        <v>75</v>
      </c>
      <c r="G330">
        <v>1.434266666666667</v>
      </c>
      <c r="H330">
        <v>0.01989402249697871</v>
      </c>
      <c r="I330">
        <v>-0.06959075103728019</v>
      </c>
      <c r="J330">
        <v>0.06</v>
      </c>
      <c r="K330">
        <v>0.01015426040328871</v>
      </c>
      <c r="L330" t="s">
        <v>873</v>
      </c>
      <c r="M330" t="s">
        <v>568</v>
      </c>
      <c r="N330">
        <v>21.514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883</v>
      </c>
      <c r="U330">
        <v>-0.173661011272379</v>
      </c>
      <c r="V330" t="s">
        <v>978</v>
      </c>
      <c r="W330" t="s">
        <v>987</v>
      </c>
      <c r="X330">
        <v>1908.403027</v>
      </c>
      <c r="Y330" s="2">
        <v>44814</v>
      </c>
      <c r="Z330" t="s">
        <v>1006</v>
      </c>
    </row>
    <row r="331" spans="1:26">
      <c r="A331" s="1" t="s">
        <v>355</v>
      </c>
      <c r="B331">
        <f>HYPERLINK("https://www.suredividend.com/sure-analysis-SPTN/","SpartanNash Co")</f>
        <v>0</v>
      </c>
      <c r="C331" t="s">
        <v>870</v>
      </c>
      <c r="D331">
        <v>30</v>
      </c>
      <c r="E331">
        <v>35.84</v>
      </c>
      <c r="F331">
        <v>27</v>
      </c>
      <c r="G331">
        <v>1.327407407407408</v>
      </c>
      <c r="H331">
        <v>0.0234375</v>
      </c>
      <c r="I331">
        <v>-0.055071054649384</v>
      </c>
      <c r="J331">
        <v>0.035</v>
      </c>
      <c r="K331">
        <v>0.005265463221864275</v>
      </c>
      <c r="L331" t="s">
        <v>873</v>
      </c>
      <c r="M331" t="s">
        <v>568</v>
      </c>
      <c r="N331">
        <v>15.65065502183406</v>
      </c>
      <c r="O331">
        <v>2.29</v>
      </c>
      <c r="P331">
        <v>0.84</v>
      </c>
      <c r="Q331">
        <v>0.3668122270742358</v>
      </c>
      <c r="R331">
        <v>12</v>
      </c>
      <c r="S331">
        <v>0.03959498820755258</v>
      </c>
      <c r="T331" t="s">
        <v>883</v>
      </c>
      <c r="U331">
        <v>0.498666086825621</v>
      </c>
      <c r="V331" t="s">
        <v>978</v>
      </c>
      <c r="W331" t="s">
        <v>990</v>
      </c>
      <c r="X331">
        <v>1281.180401</v>
      </c>
      <c r="Y331" s="2">
        <v>44806</v>
      </c>
      <c r="Z331" t="s">
        <v>998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228</v>
      </c>
      <c r="E332">
        <v>229.03</v>
      </c>
      <c r="F332">
        <v>165</v>
      </c>
      <c r="G332">
        <v>1.388060606060606</v>
      </c>
      <c r="H332">
        <v>0.01807623455442518</v>
      </c>
      <c r="I332">
        <v>-0.06347728771726047</v>
      </c>
      <c r="J332">
        <v>0.05</v>
      </c>
      <c r="K332">
        <v>0.004837756521484549</v>
      </c>
      <c r="L332" t="s">
        <v>873</v>
      </c>
      <c r="M332" t="s">
        <v>586</v>
      </c>
      <c r="N332">
        <v>27.82867557715674</v>
      </c>
      <c r="O332">
        <v>8.23</v>
      </c>
      <c r="P332">
        <v>4.14</v>
      </c>
      <c r="Q332">
        <v>0.5030376670716888</v>
      </c>
      <c r="R332">
        <v>13</v>
      </c>
      <c r="S332">
        <v>0.05024607263868264</v>
      </c>
      <c r="T332" t="s">
        <v>895</v>
      </c>
      <c r="U332">
        <v>0.330163042689156</v>
      </c>
      <c r="V332" t="s">
        <v>978</v>
      </c>
      <c r="W332" t="s">
        <v>990</v>
      </c>
      <c r="X332">
        <v>33637.556398</v>
      </c>
      <c r="Y332" s="2">
        <v>44869</v>
      </c>
      <c r="Z332" t="s">
        <v>1008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162</v>
      </c>
      <c r="E333">
        <v>155.77</v>
      </c>
      <c r="F333">
        <v>114</v>
      </c>
      <c r="G333">
        <v>1.36640350877193</v>
      </c>
      <c r="H333">
        <v>0.01669127559863902</v>
      </c>
      <c r="I333">
        <v>-0.06052720964941716</v>
      </c>
      <c r="J333">
        <v>0.04</v>
      </c>
      <c r="K333">
        <v>-0.003146442637496194</v>
      </c>
      <c r="L333" t="s">
        <v>873</v>
      </c>
      <c r="M333" t="s">
        <v>586</v>
      </c>
      <c r="N333">
        <v>27.3280701754386</v>
      </c>
      <c r="O333">
        <v>5.7</v>
      </c>
      <c r="P333">
        <v>2.6</v>
      </c>
      <c r="Q333">
        <v>0.456140350877193</v>
      </c>
      <c r="R333">
        <v>19</v>
      </c>
      <c r="S333">
        <v>0.03978308212039239</v>
      </c>
      <c r="T333" t="s">
        <v>901</v>
      </c>
      <c r="U333">
        <v>-0.015456766246037</v>
      </c>
      <c r="V333" t="s">
        <v>978</v>
      </c>
      <c r="W333" t="s">
        <v>984</v>
      </c>
      <c r="X333">
        <v>63940.017244</v>
      </c>
      <c r="Y333" s="2">
        <v>44770</v>
      </c>
      <c r="Z333" t="s">
        <v>998</v>
      </c>
    </row>
    <row r="334" spans="1:26">
      <c r="A334" s="1" t="s">
        <v>358</v>
      </c>
      <c r="B334">
        <f>HYPERLINK("https://www.suredividend.com/sure-analysis-NC/","Nacco Industries Inc.")</f>
        <v>0</v>
      </c>
      <c r="C334" t="s">
        <v>871</v>
      </c>
      <c r="D334">
        <v>47</v>
      </c>
      <c r="E334">
        <v>55.11</v>
      </c>
      <c r="F334">
        <v>50</v>
      </c>
      <c r="G334">
        <v>1.1022</v>
      </c>
      <c r="H334">
        <v>0.01506078751587734</v>
      </c>
      <c r="I334">
        <v>-0.01927348142475238</v>
      </c>
      <c r="J334">
        <v>-0.02</v>
      </c>
      <c r="K334">
        <v>-0.01922029226531752</v>
      </c>
      <c r="L334" t="s">
        <v>873</v>
      </c>
      <c r="M334" t="s">
        <v>586</v>
      </c>
      <c r="N334">
        <v>10.02</v>
      </c>
      <c r="O334">
        <v>5.5</v>
      </c>
      <c r="P334">
        <v>0.83</v>
      </c>
      <c r="Q334">
        <v>0.1509090909090909</v>
      </c>
      <c r="R334">
        <v>37</v>
      </c>
      <c r="S334">
        <v>0.05013601855760697</v>
      </c>
      <c r="T334" t="s">
        <v>881</v>
      </c>
      <c r="U334">
        <v>0.785749003596772</v>
      </c>
      <c r="V334" t="s">
        <v>978</v>
      </c>
      <c r="W334" t="s">
        <v>991</v>
      </c>
      <c r="X334">
        <v>318.312825</v>
      </c>
      <c r="Y334" s="2">
        <v>44790</v>
      </c>
      <c r="Z334" t="s">
        <v>993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107.21</v>
      </c>
      <c r="F335">
        <v>57</v>
      </c>
      <c r="G335">
        <v>1.880877192982456</v>
      </c>
      <c r="H335">
        <v>0.0111929857289432</v>
      </c>
      <c r="I335">
        <v>-0.1186915951165649</v>
      </c>
      <c r="J335">
        <v>0.09</v>
      </c>
      <c r="K335">
        <v>-0.0225672602968483</v>
      </c>
      <c r="L335" t="s">
        <v>873</v>
      </c>
      <c r="M335" t="s">
        <v>586</v>
      </c>
      <c r="N335">
        <v>41.23461538461538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-0.163319998688907</v>
      </c>
      <c r="V335" t="s">
        <v>978</v>
      </c>
      <c r="W335" t="s">
        <v>984</v>
      </c>
      <c r="X335">
        <v>19321.550446</v>
      </c>
      <c r="Y335" s="2">
        <v>44796</v>
      </c>
      <c r="Z335" t="s">
        <v>994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264.33</v>
      </c>
      <c r="F336">
        <v>135</v>
      </c>
      <c r="G336">
        <v>1.958</v>
      </c>
      <c r="H336">
        <v>0.01679718533651118</v>
      </c>
      <c r="I336">
        <v>-0.1257463331981085</v>
      </c>
      <c r="J336">
        <v>0.055</v>
      </c>
      <c r="K336">
        <v>-0.05216883780938264</v>
      </c>
      <c r="L336" t="s">
        <v>873</v>
      </c>
      <c r="M336" t="s">
        <v>586</v>
      </c>
      <c r="N336">
        <v>42.98048780487805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935</v>
      </c>
      <c r="U336">
        <v>0.232162360336985</v>
      </c>
      <c r="V336" t="s">
        <v>978</v>
      </c>
      <c r="W336" t="s">
        <v>986</v>
      </c>
      <c r="X336">
        <v>12209.156344</v>
      </c>
      <c r="Y336" s="2">
        <v>44789</v>
      </c>
      <c r="Z336" t="s">
        <v>994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357.41</v>
      </c>
      <c r="F337">
        <v>140</v>
      </c>
      <c r="G337">
        <v>2.552928571428572</v>
      </c>
      <c r="H337">
        <v>0.01096779608852578</v>
      </c>
      <c r="I337">
        <v>-0.1709279634595309</v>
      </c>
      <c r="J337">
        <v>0.06</v>
      </c>
      <c r="K337">
        <v>-0.1002224048523961</v>
      </c>
      <c r="L337" t="s">
        <v>873</v>
      </c>
      <c r="M337" t="s">
        <v>586</v>
      </c>
      <c r="N337">
        <v>44.78822055137844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905</v>
      </c>
      <c r="U337">
        <v>0.337491140398212</v>
      </c>
      <c r="V337" t="s">
        <v>978</v>
      </c>
      <c r="W337" t="s">
        <v>988</v>
      </c>
      <c r="X337">
        <v>339603.083239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94.31999999999999</v>
      </c>
      <c r="F338">
        <v>35</v>
      </c>
      <c r="G338">
        <v>2.694857142857143</v>
      </c>
      <c r="H338">
        <v>0.005937234944868534</v>
      </c>
      <c r="I338">
        <v>-0.1798508286170545</v>
      </c>
      <c r="J338">
        <v>0.02</v>
      </c>
      <c r="K338">
        <v>-0.1509359325845535</v>
      </c>
      <c r="L338" t="s">
        <v>873</v>
      </c>
      <c r="M338" t="s">
        <v>586</v>
      </c>
      <c r="N338">
        <v>32.75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905</v>
      </c>
      <c r="U338">
        <v>0.7927332720043181</v>
      </c>
      <c r="V338" t="s">
        <v>978</v>
      </c>
      <c r="W338" t="s">
        <v>991</v>
      </c>
      <c r="X338">
        <v>30828.044735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17.6</v>
      </c>
      <c r="F339">
        <v>50</v>
      </c>
      <c r="G339">
        <v>0.352</v>
      </c>
      <c r="H339">
        <v>0.06818181818181818</v>
      </c>
      <c r="I339">
        <v>0.2322291185589467</v>
      </c>
      <c r="J339">
        <v>0</v>
      </c>
      <c r="K339">
        <v>0.2604774247635946</v>
      </c>
      <c r="L339" t="s">
        <v>568</v>
      </c>
      <c r="M339" t="s">
        <v>873</v>
      </c>
      <c r="N339">
        <v>3.52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901</v>
      </c>
      <c r="U339">
        <v>-0.6401495015252751</v>
      </c>
      <c r="V339" t="s">
        <v>978</v>
      </c>
      <c r="W339" t="s">
        <v>983</v>
      </c>
      <c r="X339">
        <v>509.377264</v>
      </c>
      <c r="Y339" s="2">
        <v>44828</v>
      </c>
      <c r="Z339" t="s">
        <v>1006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6.97</v>
      </c>
      <c r="F340">
        <v>12</v>
      </c>
      <c r="G340">
        <v>0.5808333333333333</v>
      </c>
      <c r="H340">
        <v>0.08608321377331421</v>
      </c>
      <c r="I340">
        <v>0.1147813477432313</v>
      </c>
      <c r="J340">
        <v>0.08</v>
      </c>
      <c r="K340">
        <v>0.2441821275604497</v>
      </c>
      <c r="L340" t="s">
        <v>568</v>
      </c>
      <c r="M340" t="s">
        <v>872</v>
      </c>
      <c r="N340">
        <v>5.808333333333334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931</v>
      </c>
      <c r="U340">
        <v>-0.5900843943893901</v>
      </c>
      <c r="V340" t="s">
        <v>978</v>
      </c>
      <c r="W340" t="s">
        <v>983</v>
      </c>
      <c r="X340">
        <v>2432.127615</v>
      </c>
      <c r="Y340" s="2">
        <v>44797</v>
      </c>
      <c r="Z340" t="s">
        <v>996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29.87</v>
      </c>
      <c r="F341">
        <v>59</v>
      </c>
      <c r="G341">
        <v>0.506271186440678</v>
      </c>
      <c r="H341">
        <v>0.02678272514228323</v>
      </c>
      <c r="I341">
        <v>0.1458383612735898</v>
      </c>
      <c r="J341">
        <v>0.06</v>
      </c>
      <c r="K341">
        <v>0.2289473276895095</v>
      </c>
      <c r="L341" t="s">
        <v>568</v>
      </c>
      <c r="M341" t="s">
        <v>568</v>
      </c>
      <c r="N341">
        <v>4.560305343511451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904</v>
      </c>
      <c r="U341">
        <v>-0.140312906530973</v>
      </c>
      <c r="V341" t="s">
        <v>978</v>
      </c>
      <c r="W341" t="s">
        <v>986</v>
      </c>
      <c r="X341">
        <v>11219.844852</v>
      </c>
      <c r="Y341" s="2">
        <v>44828</v>
      </c>
      <c r="Z341" t="s">
        <v>1006</v>
      </c>
    </row>
    <row r="342" spans="1:26">
      <c r="A342" s="1" t="s">
        <v>366</v>
      </c>
      <c r="B342">
        <f>HYPERLINK("https://www.suredividend.com/sure-analysis-OTEX/","Open Text Corp")</f>
        <v>0</v>
      </c>
      <c r="C342" t="s">
        <v>869</v>
      </c>
      <c r="D342">
        <v>27</v>
      </c>
      <c r="E342">
        <v>26.81</v>
      </c>
      <c r="F342">
        <v>46</v>
      </c>
      <c r="G342">
        <v>0.5828260869565217</v>
      </c>
      <c r="H342">
        <v>0.03618052965311451</v>
      </c>
      <c r="I342">
        <v>0.1140179882855037</v>
      </c>
      <c r="J342">
        <v>0.08</v>
      </c>
      <c r="K342">
        <v>0.2255538235380796</v>
      </c>
      <c r="L342" t="s">
        <v>568</v>
      </c>
      <c r="M342" t="s">
        <v>568</v>
      </c>
      <c r="N342">
        <v>8.099697885196374</v>
      </c>
      <c r="O342">
        <v>3.31</v>
      </c>
      <c r="P342">
        <v>0.97</v>
      </c>
      <c r="Q342">
        <v>0.2930513595166163</v>
      </c>
      <c r="R342">
        <v>9</v>
      </c>
      <c r="S342">
        <v>0.1010970107725466</v>
      </c>
      <c r="T342" t="s">
        <v>889</v>
      </c>
      <c r="U342">
        <v>-0.4604374461644971</v>
      </c>
      <c r="V342" t="s">
        <v>978</v>
      </c>
      <c r="W342" t="s">
        <v>982</v>
      </c>
      <c r="X342">
        <v>7235.503417</v>
      </c>
      <c r="Y342" s="2">
        <v>44829</v>
      </c>
      <c r="Z342" t="s">
        <v>1005</v>
      </c>
    </row>
    <row r="343" spans="1:26">
      <c r="A343" s="1" t="s">
        <v>367</v>
      </c>
      <c r="B343">
        <f>HYPERLINK("https://www.suredividend.com/sure-analysis-HASI/","Hannon Armstrong Sustainable Infrastructure capital Inc")</f>
        <v>0</v>
      </c>
      <c r="C343" t="s">
        <v>869</v>
      </c>
      <c r="D343">
        <v>39</v>
      </c>
      <c r="E343">
        <v>27.48</v>
      </c>
      <c r="F343">
        <v>38</v>
      </c>
      <c r="G343">
        <v>0.7231578947368421</v>
      </c>
      <c r="H343">
        <v>0.05458515283842795</v>
      </c>
      <c r="I343">
        <v>0.06697286243231271</v>
      </c>
      <c r="J343">
        <v>0.115</v>
      </c>
      <c r="K343">
        <v>0.22143038375085</v>
      </c>
      <c r="L343" t="s">
        <v>568</v>
      </c>
      <c r="M343" t="s">
        <v>873</v>
      </c>
      <c r="N343">
        <v>13.14832535885168</v>
      </c>
      <c r="O343">
        <v>2.09</v>
      </c>
      <c r="P343">
        <v>1.5</v>
      </c>
      <c r="Q343">
        <v>0.7177033492822967</v>
      </c>
      <c r="R343">
        <v>4</v>
      </c>
      <c r="S343">
        <v>0.06961037572506878</v>
      </c>
      <c r="T343" t="s">
        <v>923</v>
      </c>
      <c r="U343">
        <v>-0.5508710454015761</v>
      </c>
      <c r="V343" t="s">
        <v>980</v>
      </c>
      <c r="W343" t="s">
        <v>992</v>
      </c>
      <c r="X343">
        <v>2388.649591</v>
      </c>
      <c r="Y343" s="2">
        <v>44778</v>
      </c>
      <c r="Z343" t="s">
        <v>1000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62.48</v>
      </c>
      <c r="F344">
        <v>102</v>
      </c>
      <c r="G344">
        <v>0.6125490196078431</v>
      </c>
      <c r="H344">
        <v>0.029449423815621</v>
      </c>
      <c r="I344">
        <v>0.1029906480106071</v>
      </c>
      <c r="J344">
        <v>0.09</v>
      </c>
      <c r="K344">
        <v>0.2206095560487293</v>
      </c>
      <c r="L344" t="s">
        <v>568</v>
      </c>
      <c r="M344" t="s">
        <v>586</v>
      </c>
      <c r="N344">
        <v>10.41333333333333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887</v>
      </c>
      <c r="U344">
        <v>-0.4589417496410551</v>
      </c>
      <c r="V344" t="s">
        <v>978</v>
      </c>
      <c r="W344" t="s">
        <v>982</v>
      </c>
      <c r="X344">
        <v>324026.034228</v>
      </c>
      <c r="Y344" s="2">
        <v>44847</v>
      </c>
      <c r="Z344" t="s">
        <v>996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869</v>
      </c>
      <c r="D345">
        <v>51</v>
      </c>
      <c r="E345">
        <v>34.42</v>
      </c>
      <c r="F345">
        <v>68</v>
      </c>
      <c r="G345">
        <v>0.5061764705882353</v>
      </c>
      <c r="H345">
        <v>0.05229517722254503</v>
      </c>
      <c r="I345">
        <v>0.1458812399695288</v>
      </c>
      <c r="J345">
        <v>0.03</v>
      </c>
      <c r="K345">
        <v>0.2144265505500209</v>
      </c>
      <c r="L345" t="s">
        <v>568</v>
      </c>
      <c r="M345" t="s">
        <v>873</v>
      </c>
      <c r="N345">
        <v>4.049411764705883</v>
      </c>
      <c r="O345">
        <v>8.5</v>
      </c>
      <c r="P345">
        <v>1.8</v>
      </c>
      <c r="Q345">
        <v>0.2117647058823529</v>
      </c>
      <c r="R345">
        <v>11</v>
      </c>
      <c r="S345">
        <v>0.100082101138866</v>
      </c>
      <c r="T345" t="s">
        <v>885</v>
      </c>
      <c r="U345">
        <v>-0.5050622554609231</v>
      </c>
      <c r="V345" t="s">
        <v>978</v>
      </c>
      <c r="W345" t="s">
        <v>986</v>
      </c>
      <c r="X345">
        <v>5824.396271</v>
      </c>
      <c r="Y345" s="2">
        <v>44785</v>
      </c>
      <c r="Z345" t="s">
        <v>998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10.44</v>
      </c>
      <c r="F346">
        <v>15.6</v>
      </c>
      <c r="G346">
        <v>0.6692307692307692</v>
      </c>
      <c r="H346">
        <v>0.07662835249042146</v>
      </c>
      <c r="I346">
        <v>0.08363948182764003</v>
      </c>
      <c r="J346">
        <v>0.05</v>
      </c>
      <c r="K346">
        <v>0.19354385922059</v>
      </c>
      <c r="L346" t="s">
        <v>568</v>
      </c>
      <c r="M346" t="s">
        <v>872</v>
      </c>
      <c r="N346">
        <v>6.692307692307692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885</v>
      </c>
      <c r="U346">
        <v>-0.376880103137086</v>
      </c>
      <c r="V346" t="s">
        <v>980</v>
      </c>
      <c r="W346" t="s">
        <v>992</v>
      </c>
      <c r="X346">
        <v>434.020763</v>
      </c>
      <c r="Y346" s="2">
        <v>44781</v>
      </c>
      <c r="Z346" t="s">
        <v>1000</v>
      </c>
    </row>
    <row r="347" spans="1:26">
      <c r="A347" s="1" t="s">
        <v>371</v>
      </c>
      <c r="B347">
        <f>HYPERLINK("https://www.suredividend.com/sure-analysis-ILPT/","Industrial Logistics Properties Trust")</f>
        <v>0</v>
      </c>
      <c r="C347" t="s">
        <v>869</v>
      </c>
      <c r="D347">
        <v>5.03</v>
      </c>
      <c r="E347">
        <v>4.18</v>
      </c>
      <c r="F347">
        <v>7.8</v>
      </c>
      <c r="G347">
        <v>0.5358974358974359</v>
      </c>
      <c r="H347">
        <v>0.009569377990430623</v>
      </c>
      <c r="I347">
        <v>0.1328793593555329</v>
      </c>
      <c r="J347">
        <v>0.02</v>
      </c>
      <c r="K347">
        <v>0.1919383664022691</v>
      </c>
      <c r="L347" t="s">
        <v>568</v>
      </c>
      <c r="M347" t="s">
        <v>637</v>
      </c>
      <c r="N347">
        <v>3.215384615384615</v>
      </c>
      <c r="O347">
        <v>1.3</v>
      </c>
      <c r="P347">
        <v>0.04</v>
      </c>
      <c r="Q347">
        <v>0.03076923076923077</v>
      </c>
      <c r="R347">
        <v>0</v>
      </c>
      <c r="S347">
        <v>0.7518494810508827</v>
      </c>
      <c r="T347" t="s">
        <v>926</v>
      </c>
      <c r="U347">
        <v>-0.847244554889636</v>
      </c>
      <c r="V347" t="s">
        <v>980</v>
      </c>
      <c r="W347" t="s">
        <v>992</v>
      </c>
      <c r="X347">
        <v>274.076581</v>
      </c>
      <c r="Y347" s="2">
        <v>44860</v>
      </c>
      <c r="Z347" t="s">
        <v>1000</v>
      </c>
    </row>
    <row r="348" spans="1:26">
      <c r="A348" s="1" t="s">
        <v>372</v>
      </c>
      <c r="B348">
        <f>HYPERLINK("https://www.suredividend.com/sure-analysis-BASFY/","Basf SE")</f>
        <v>0</v>
      </c>
      <c r="C348" t="s">
        <v>869</v>
      </c>
      <c r="D348">
        <v>11.5</v>
      </c>
      <c r="E348">
        <v>11.67</v>
      </c>
      <c r="F348">
        <v>19.6</v>
      </c>
      <c r="G348">
        <v>0.5954081632653061</v>
      </c>
      <c r="H348">
        <v>0.07883461868037704</v>
      </c>
      <c r="I348">
        <v>0.1092694261444673</v>
      </c>
      <c r="J348">
        <v>0.03</v>
      </c>
      <c r="K348">
        <v>0.188519039130151</v>
      </c>
      <c r="L348" t="s">
        <v>568</v>
      </c>
      <c r="M348" t="s">
        <v>872</v>
      </c>
      <c r="N348">
        <v>7.728476821192053</v>
      </c>
      <c r="O348">
        <v>1.51</v>
      </c>
      <c r="P348">
        <v>0.92</v>
      </c>
      <c r="Q348">
        <v>0.6092715231788079</v>
      </c>
      <c r="R348">
        <v>1</v>
      </c>
      <c r="S348">
        <v>0.02482356331085978</v>
      </c>
      <c r="T348" t="s">
        <v>948</v>
      </c>
      <c r="U348">
        <v>-0.295485553529816</v>
      </c>
      <c r="V348" t="s">
        <v>978</v>
      </c>
      <c r="W348" t="s">
        <v>989</v>
      </c>
      <c r="X348">
        <v>42874.585436</v>
      </c>
      <c r="Y348" s="2">
        <v>44864</v>
      </c>
      <c r="Z348" t="s">
        <v>1004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351.74</v>
      </c>
      <c r="F349">
        <v>311</v>
      </c>
      <c r="G349">
        <v>1.130996784565916</v>
      </c>
      <c r="H349">
        <v>0.008529027122306248</v>
      </c>
      <c r="I349">
        <v>-0.02431927374602827</v>
      </c>
      <c r="J349">
        <v>0.2</v>
      </c>
      <c r="K349">
        <v>0.1788096487242994</v>
      </c>
      <c r="L349" t="s">
        <v>568</v>
      </c>
      <c r="M349" t="s">
        <v>637</v>
      </c>
      <c r="N349">
        <v>30.58608695652174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886</v>
      </c>
      <c r="U349">
        <v>-0.338315064290139</v>
      </c>
      <c r="V349" t="s">
        <v>978</v>
      </c>
      <c r="W349" t="s">
        <v>982</v>
      </c>
      <c r="X349">
        <v>16457.56286</v>
      </c>
      <c r="Y349" s="2">
        <v>44775</v>
      </c>
      <c r="Z349" t="s">
        <v>1000</v>
      </c>
    </row>
    <row r="350" spans="1:26">
      <c r="A350" s="1" t="s">
        <v>374</v>
      </c>
      <c r="B350">
        <f>HYPERLINK("https://www.suredividend.com/sure-analysis-CE/","Celanese Corp")</f>
        <v>0</v>
      </c>
      <c r="C350" t="s">
        <v>869</v>
      </c>
      <c r="D350">
        <v>113</v>
      </c>
      <c r="E350">
        <v>91.94</v>
      </c>
      <c r="F350">
        <v>179</v>
      </c>
      <c r="G350">
        <v>0.5136312849162011</v>
      </c>
      <c r="H350">
        <v>0.03045464433326082</v>
      </c>
      <c r="I350">
        <v>0.1425355086592508</v>
      </c>
      <c r="J350">
        <v>0.01</v>
      </c>
      <c r="K350">
        <v>0.1757650294146096</v>
      </c>
      <c r="L350" t="s">
        <v>568</v>
      </c>
      <c r="M350" t="s">
        <v>568</v>
      </c>
      <c r="N350">
        <v>5.136312849162011</v>
      </c>
      <c r="O350">
        <v>17.9</v>
      </c>
      <c r="P350">
        <v>2.8</v>
      </c>
      <c r="Q350">
        <v>0.1564245810055866</v>
      </c>
      <c r="R350">
        <v>12</v>
      </c>
      <c r="S350">
        <v>0.09361187110756197</v>
      </c>
      <c r="T350" t="s">
        <v>911</v>
      </c>
      <c r="U350">
        <v>-0.436267717037542</v>
      </c>
      <c r="V350" t="s">
        <v>978</v>
      </c>
      <c r="W350" t="s">
        <v>984</v>
      </c>
      <c r="X350">
        <v>9961.575156999999</v>
      </c>
      <c r="Y350" s="2">
        <v>44774</v>
      </c>
      <c r="Z350" t="s">
        <v>998</v>
      </c>
    </row>
    <row r="351" spans="1:26">
      <c r="A351" s="1" t="s">
        <v>375</v>
      </c>
      <c r="B351">
        <f>HYPERLINK("https://www.suredividend.com/sure-analysis-SNY/","Sanofi")</f>
        <v>0</v>
      </c>
      <c r="C351" t="s">
        <v>869</v>
      </c>
      <c r="D351">
        <v>43</v>
      </c>
      <c r="E351">
        <v>43.62</v>
      </c>
      <c r="F351">
        <v>71</v>
      </c>
      <c r="G351">
        <v>0.6143661971830986</v>
      </c>
      <c r="H351">
        <v>0.04401650618982118</v>
      </c>
      <c r="I351">
        <v>0.1023373876368296</v>
      </c>
      <c r="J351">
        <v>0.04</v>
      </c>
      <c r="K351">
        <v>0.1738275313989703</v>
      </c>
      <c r="L351" t="s">
        <v>568</v>
      </c>
      <c r="M351" t="s">
        <v>873</v>
      </c>
      <c r="N351">
        <v>9.802247191011235</v>
      </c>
      <c r="O351">
        <v>4.45</v>
      </c>
      <c r="P351">
        <v>1.92</v>
      </c>
      <c r="Q351">
        <v>0.4314606741573033</v>
      </c>
      <c r="R351">
        <v>27</v>
      </c>
      <c r="S351">
        <v>0.0403582746309219</v>
      </c>
      <c r="T351" t="s">
        <v>949</v>
      </c>
      <c r="U351">
        <v>-0.125672983255094</v>
      </c>
      <c r="V351" t="s">
        <v>978</v>
      </c>
      <c r="W351" t="s">
        <v>988</v>
      </c>
      <c r="X351">
        <v>110574.878167</v>
      </c>
      <c r="Y351" s="2">
        <v>44866</v>
      </c>
      <c r="Z351" t="s">
        <v>993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869</v>
      </c>
      <c r="D352">
        <v>72</v>
      </c>
      <c r="E352">
        <v>63.86</v>
      </c>
      <c r="F352">
        <v>73</v>
      </c>
      <c r="G352">
        <v>0.8747945205479452</v>
      </c>
      <c r="H352">
        <v>0.02051362355151895</v>
      </c>
      <c r="I352">
        <v>0.02711433182481127</v>
      </c>
      <c r="J352">
        <v>0.12</v>
      </c>
      <c r="K352">
        <v>0.1657336670699441</v>
      </c>
      <c r="L352" t="s">
        <v>568</v>
      </c>
      <c r="M352" t="s">
        <v>586</v>
      </c>
      <c r="N352">
        <v>11.40357142857143</v>
      </c>
      <c r="O352">
        <v>5.6</v>
      </c>
      <c r="P352">
        <v>1.31</v>
      </c>
      <c r="Q352">
        <v>0.2339285714285715</v>
      </c>
      <c r="R352">
        <v>20</v>
      </c>
      <c r="S352">
        <v>0.1010648866534951</v>
      </c>
      <c r="T352" t="s">
        <v>895</v>
      </c>
      <c r="U352">
        <v>-0.218413425762738</v>
      </c>
      <c r="V352" t="s">
        <v>978</v>
      </c>
      <c r="W352" t="s">
        <v>982</v>
      </c>
      <c r="X352">
        <v>35123.556221</v>
      </c>
      <c r="Y352" s="2">
        <v>44776</v>
      </c>
      <c r="Z352" t="s">
        <v>1000</v>
      </c>
    </row>
    <row r="353" spans="1:26">
      <c r="A353" s="1" t="s">
        <v>377</v>
      </c>
      <c r="B353">
        <f>HYPERLINK("https://www.suredividend.com/sure-analysis-LII/","Lennox International Inc")</f>
        <v>0</v>
      </c>
      <c r="C353" t="s">
        <v>869</v>
      </c>
      <c r="D353">
        <v>237</v>
      </c>
      <c r="E353">
        <v>234.38</v>
      </c>
      <c r="F353">
        <v>296</v>
      </c>
      <c r="G353">
        <v>0.7918243243243243</v>
      </c>
      <c r="H353">
        <v>0.01809028074067753</v>
      </c>
      <c r="I353">
        <v>0.04778995888299309</v>
      </c>
      <c r="J353">
        <v>0.1</v>
      </c>
      <c r="K353">
        <v>0.1656387531314929</v>
      </c>
      <c r="L353" t="s">
        <v>568</v>
      </c>
      <c r="M353" t="s">
        <v>586</v>
      </c>
      <c r="N353">
        <v>16.62269503546099</v>
      </c>
      <c r="O353">
        <v>14.1</v>
      </c>
      <c r="P353">
        <v>4.24</v>
      </c>
      <c r="Q353">
        <v>0.3007092198581561</v>
      </c>
      <c r="R353">
        <v>14</v>
      </c>
      <c r="S353">
        <v>0.08987413962369373</v>
      </c>
      <c r="T353" t="s">
        <v>881</v>
      </c>
      <c r="U353">
        <v>-0.208870853685663</v>
      </c>
      <c r="V353" t="s">
        <v>978</v>
      </c>
      <c r="W353" t="s">
        <v>984</v>
      </c>
      <c r="X353">
        <v>8306.136334000001</v>
      </c>
      <c r="Y353" s="2">
        <v>44870</v>
      </c>
      <c r="Z353" t="s">
        <v>995</v>
      </c>
    </row>
    <row r="354" spans="1:26">
      <c r="A354" s="1" t="s">
        <v>378</v>
      </c>
      <c r="B354">
        <f>HYPERLINK("https://www.suredividend.com/sure-analysis-KKR/","KKR &amp; Co. Inc")</f>
        <v>0</v>
      </c>
      <c r="C354" t="s">
        <v>869</v>
      </c>
      <c r="D354">
        <v>72</v>
      </c>
      <c r="E354">
        <v>51.33</v>
      </c>
      <c r="F354">
        <v>72</v>
      </c>
      <c r="G354">
        <v>0.7129166666666666</v>
      </c>
      <c r="H354">
        <v>0.01207870640950711</v>
      </c>
      <c r="I354">
        <v>0.07002086521943607</v>
      </c>
      <c r="J354">
        <v>0.08</v>
      </c>
      <c r="K354">
        <v>0.16269642161991</v>
      </c>
      <c r="L354" t="s">
        <v>568</v>
      </c>
      <c r="M354" t="s">
        <v>637</v>
      </c>
      <c r="N354">
        <v>10.69375</v>
      </c>
      <c r="O354">
        <v>4.8</v>
      </c>
      <c r="P354">
        <v>0.62</v>
      </c>
      <c r="Q354">
        <v>0.1291666666666667</v>
      </c>
      <c r="R354">
        <v>3</v>
      </c>
      <c r="S354">
        <v>0.01864637644473</v>
      </c>
      <c r="T354" t="s">
        <v>905</v>
      </c>
      <c r="U354">
        <v>-0.086586542054744</v>
      </c>
      <c r="V354" t="s">
        <v>978</v>
      </c>
      <c r="W354" t="s">
        <v>986</v>
      </c>
      <c r="X354">
        <v>44135.250681</v>
      </c>
      <c r="Y354" s="2">
        <v>44867</v>
      </c>
      <c r="Z354" t="s">
        <v>1004</v>
      </c>
    </row>
    <row r="355" spans="1:26">
      <c r="A355" s="1" t="s">
        <v>379</v>
      </c>
      <c r="B355">
        <f>HYPERLINK("https://www.suredividend.com/sure-analysis-CC/","Chemours Company")</f>
        <v>0</v>
      </c>
      <c r="C355" t="s">
        <v>869</v>
      </c>
      <c r="D355">
        <v>29</v>
      </c>
      <c r="E355">
        <v>30.25</v>
      </c>
      <c r="F355">
        <v>51</v>
      </c>
      <c r="G355">
        <v>0.5931372549019608</v>
      </c>
      <c r="H355">
        <v>0.03305785123966942</v>
      </c>
      <c r="I355">
        <v>0.1101175267224515</v>
      </c>
      <c r="J355">
        <v>0.03</v>
      </c>
      <c r="K355">
        <v>0.1621378889901774</v>
      </c>
      <c r="L355" t="s">
        <v>568</v>
      </c>
      <c r="M355" t="s">
        <v>568</v>
      </c>
      <c r="N355">
        <v>5.954724409448819</v>
      </c>
      <c r="O355">
        <v>5.08</v>
      </c>
      <c r="P355">
        <v>1</v>
      </c>
      <c r="Q355">
        <v>0.1968503937007874</v>
      </c>
      <c r="R355">
        <v>0</v>
      </c>
      <c r="S355">
        <v>0</v>
      </c>
      <c r="T355" t="s">
        <v>905</v>
      </c>
      <c r="U355">
        <v>0.05620402020928501</v>
      </c>
      <c r="V355" t="s">
        <v>978</v>
      </c>
      <c r="W355" t="s">
        <v>989</v>
      </c>
      <c r="X355">
        <v>4565.260546</v>
      </c>
      <c r="Y355" s="2">
        <v>44862</v>
      </c>
      <c r="Z355" t="s">
        <v>993</v>
      </c>
    </row>
    <row r="356" spans="1:26">
      <c r="A356" s="1" t="s">
        <v>380</v>
      </c>
      <c r="B356">
        <f>HYPERLINK("https://www.suredividend.com/sure-analysis-NXST/","Nexstar Media Group Inc")</f>
        <v>0</v>
      </c>
      <c r="C356" t="s">
        <v>869</v>
      </c>
      <c r="D356">
        <v>194</v>
      </c>
      <c r="E356">
        <v>155.5</v>
      </c>
      <c r="F356">
        <v>196</v>
      </c>
      <c r="G356">
        <v>0.7933673469387755</v>
      </c>
      <c r="H356">
        <v>0.02315112540192926</v>
      </c>
      <c r="I356">
        <v>0.0473820714504769</v>
      </c>
      <c r="J356">
        <v>0.09</v>
      </c>
      <c r="K356">
        <v>0.1588995380413227</v>
      </c>
      <c r="L356" t="s">
        <v>568</v>
      </c>
      <c r="M356" t="s">
        <v>586</v>
      </c>
      <c r="N356">
        <v>6.760869565217392</v>
      </c>
      <c r="O356">
        <v>23</v>
      </c>
      <c r="P356">
        <v>3.6</v>
      </c>
      <c r="Q356">
        <v>0.1565217391304348</v>
      </c>
      <c r="R356">
        <v>9</v>
      </c>
      <c r="S356">
        <v>0.0900375345982718</v>
      </c>
      <c r="T356" t="s">
        <v>898</v>
      </c>
      <c r="U356">
        <v>-0.199834100652122</v>
      </c>
      <c r="V356" t="s">
        <v>978</v>
      </c>
      <c r="W356" t="s">
        <v>985</v>
      </c>
      <c r="X356">
        <v>6032.455027</v>
      </c>
      <c r="Y356" s="2">
        <v>44779</v>
      </c>
      <c r="Z356" t="s">
        <v>1009</v>
      </c>
    </row>
    <row r="357" spans="1:26">
      <c r="A357" s="1" t="s">
        <v>381</v>
      </c>
      <c r="B357">
        <f>HYPERLINK("https://www.suredividend.com/sure-analysis-PFE/","Pfizer Inc.")</f>
        <v>0</v>
      </c>
      <c r="C357" t="s">
        <v>869</v>
      </c>
      <c r="D357">
        <v>50</v>
      </c>
      <c r="E357">
        <v>47.22</v>
      </c>
      <c r="F357">
        <v>70</v>
      </c>
      <c r="G357">
        <v>0.6745714285714286</v>
      </c>
      <c r="H357">
        <v>0.03388394747988141</v>
      </c>
      <c r="I357">
        <v>0.08191816240481464</v>
      </c>
      <c r="J357">
        <v>0.05</v>
      </c>
      <c r="K357">
        <v>0.1562328866111342</v>
      </c>
      <c r="L357" t="s">
        <v>568</v>
      </c>
      <c r="M357" t="s">
        <v>568</v>
      </c>
      <c r="N357">
        <v>7.41287284144427</v>
      </c>
      <c r="O357">
        <v>6.37</v>
      </c>
      <c r="P357">
        <v>1.6</v>
      </c>
      <c r="Q357">
        <v>0.2511773940345369</v>
      </c>
      <c r="R357">
        <v>13</v>
      </c>
      <c r="S357">
        <v>0.009805797673485328</v>
      </c>
      <c r="T357" t="s">
        <v>915</v>
      </c>
      <c r="U357">
        <v>0.111825328991516</v>
      </c>
      <c r="V357" t="s">
        <v>978</v>
      </c>
      <c r="W357" t="s">
        <v>988</v>
      </c>
      <c r="X357">
        <v>265015.252421</v>
      </c>
      <c r="Y357" s="2">
        <v>44783</v>
      </c>
      <c r="Z357" t="s">
        <v>1007</v>
      </c>
    </row>
    <row r="358" spans="1:26">
      <c r="A358" s="1" t="s">
        <v>382</v>
      </c>
      <c r="B358">
        <f>HYPERLINK("https://www.suredividend.com/sure-analysis-POOL/","Pool Corporation")</f>
        <v>0</v>
      </c>
      <c r="C358" t="s">
        <v>869</v>
      </c>
      <c r="D358">
        <v>299</v>
      </c>
      <c r="E358">
        <v>292.62</v>
      </c>
      <c r="F358">
        <v>451</v>
      </c>
      <c r="G358">
        <v>0.6488248337028825</v>
      </c>
      <c r="H358">
        <v>0.01366960563187752</v>
      </c>
      <c r="I358">
        <v>0.09037153952519117</v>
      </c>
      <c r="J358">
        <v>0.05</v>
      </c>
      <c r="K358">
        <v>0.155995090174984</v>
      </c>
      <c r="L358" t="s">
        <v>568</v>
      </c>
      <c r="M358" t="s">
        <v>637</v>
      </c>
      <c r="N358">
        <v>15.56489361702128</v>
      </c>
      <c r="O358">
        <v>18.8</v>
      </c>
      <c r="P358">
        <v>4</v>
      </c>
      <c r="Q358">
        <v>0.2127659574468085</v>
      </c>
      <c r="R358">
        <v>13</v>
      </c>
      <c r="S358">
        <v>0.1200201219146697</v>
      </c>
      <c r="T358" t="s">
        <v>898</v>
      </c>
      <c r="U358">
        <v>-0.4347917709297691</v>
      </c>
      <c r="V358" t="s">
        <v>978</v>
      </c>
      <c r="W358" t="s">
        <v>983</v>
      </c>
      <c r="X358">
        <v>11426.991839</v>
      </c>
      <c r="Y358" s="2">
        <v>44860</v>
      </c>
      <c r="Z358" t="s">
        <v>995</v>
      </c>
    </row>
    <row r="359" spans="1:26">
      <c r="A359" s="1" t="s">
        <v>383</v>
      </c>
      <c r="B359">
        <f>HYPERLINK("https://www.suredividend.com/sure-analysis-NTR/","Nutrien Ltd")</f>
        <v>0</v>
      </c>
      <c r="C359" t="s">
        <v>870</v>
      </c>
      <c r="D359">
        <v>97</v>
      </c>
      <c r="E359">
        <v>73.29000000000001</v>
      </c>
      <c r="F359">
        <v>138</v>
      </c>
      <c r="G359">
        <v>0.5310869565217392</v>
      </c>
      <c r="H359">
        <v>0.02619729840360212</v>
      </c>
      <c r="I359">
        <v>0.1349242427658199</v>
      </c>
      <c r="J359">
        <v>0</v>
      </c>
      <c r="K359">
        <v>0.1512139694995636</v>
      </c>
      <c r="L359" t="s">
        <v>568</v>
      </c>
      <c r="M359" t="s">
        <v>586</v>
      </c>
      <c r="N359">
        <v>6.662727272727273</v>
      </c>
      <c r="O359">
        <v>11</v>
      </c>
      <c r="P359">
        <v>1.92</v>
      </c>
      <c r="Q359">
        <v>0.1745454545454545</v>
      </c>
      <c r="R359">
        <v>4</v>
      </c>
      <c r="S359">
        <v>0.02001586442069092</v>
      </c>
      <c r="T359" t="s">
        <v>886</v>
      </c>
      <c r="U359">
        <v>0.115750981553343</v>
      </c>
      <c r="V359" t="s">
        <v>978</v>
      </c>
      <c r="W359" t="s">
        <v>989</v>
      </c>
      <c r="X359">
        <v>38354.631359</v>
      </c>
      <c r="Y359" s="2">
        <v>44807</v>
      </c>
      <c r="Z359" t="s">
        <v>997</v>
      </c>
    </row>
    <row r="360" spans="1:26">
      <c r="A360" s="1" t="s">
        <v>384</v>
      </c>
      <c r="B360">
        <f>HYPERLINK("https://www.suredividend.com/sure-analysis-TRTN/","Triton International Ltd")</f>
        <v>0</v>
      </c>
      <c r="C360" t="s">
        <v>869</v>
      </c>
      <c r="D360">
        <v>62</v>
      </c>
      <c r="E360">
        <v>63.09</v>
      </c>
      <c r="F360">
        <v>86</v>
      </c>
      <c r="G360">
        <v>0.7336046511627907</v>
      </c>
      <c r="H360">
        <v>0.04438104295450943</v>
      </c>
      <c r="I360">
        <v>0.06391659913343539</v>
      </c>
      <c r="J360">
        <v>0.05</v>
      </c>
      <c r="K360">
        <v>0.1501825637940934</v>
      </c>
      <c r="L360" t="s">
        <v>568</v>
      </c>
      <c r="M360" t="s">
        <v>873</v>
      </c>
      <c r="N360">
        <v>5.53421052631579</v>
      </c>
      <c r="O360">
        <v>11.4</v>
      </c>
      <c r="P360">
        <v>2.8</v>
      </c>
      <c r="Q360">
        <v>0.2456140350877193</v>
      </c>
      <c r="R360">
        <v>7</v>
      </c>
      <c r="S360">
        <v>0.07015553929861928</v>
      </c>
      <c r="T360" t="s">
        <v>925</v>
      </c>
      <c r="U360">
        <v>0.05883063744658801</v>
      </c>
      <c r="V360" t="s">
        <v>978</v>
      </c>
      <c r="W360" t="s">
        <v>984</v>
      </c>
      <c r="X360">
        <v>3710.875127</v>
      </c>
      <c r="Y360" s="2">
        <v>44866</v>
      </c>
      <c r="Z360" t="s">
        <v>1000</v>
      </c>
    </row>
    <row r="361" spans="1:26">
      <c r="A361" s="1" t="s">
        <v>385</v>
      </c>
      <c r="B361">
        <f>HYPERLINK("https://www.suredividend.com/sure-analysis-ALLY/","Ally Financial Inc")</f>
        <v>0</v>
      </c>
      <c r="C361" t="s">
        <v>869</v>
      </c>
      <c r="D361">
        <v>27</v>
      </c>
      <c r="E361">
        <v>25.68</v>
      </c>
      <c r="F361">
        <v>42</v>
      </c>
      <c r="G361">
        <v>0.6114285714285714</v>
      </c>
      <c r="H361">
        <v>0.04672897196261682</v>
      </c>
      <c r="I361">
        <v>0.1033946000134776</v>
      </c>
      <c r="J361">
        <v>0.01</v>
      </c>
      <c r="K361">
        <v>0.1485385862891333</v>
      </c>
      <c r="L361" t="s">
        <v>568</v>
      </c>
      <c r="M361" t="s">
        <v>873</v>
      </c>
      <c r="N361">
        <v>4.28</v>
      </c>
      <c r="O361">
        <v>6</v>
      </c>
      <c r="P361">
        <v>1.2</v>
      </c>
      <c r="Q361">
        <v>0.2</v>
      </c>
      <c r="R361">
        <v>6</v>
      </c>
      <c r="S361">
        <v>0.06054457313435013</v>
      </c>
      <c r="T361" t="s">
        <v>930</v>
      </c>
      <c r="U361">
        <v>-0.459781261898801</v>
      </c>
      <c r="V361" t="s">
        <v>978</v>
      </c>
      <c r="W361" t="s">
        <v>986</v>
      </c>
      <c r="X361">
        <v>7669.252392</v>
      </c>
      <c r="Y361" s="2">
        <v>44859</v>
      </c>
      <c r="Z361" t="s">
        <v>994</v>
      </c>
    </row>
    <row r="362" spans="1:26">
      <c r="A362" s="1" t="s">
        <v>386</v>
      </c>
      <c r="B362">
        <f>HYPERLINK("https://www.suredividend.com/sure-analysis-VTRS/","Viatris Inc")</f>
        <v>0</v>
      </c>
      <c r="C362" t="s">
        <v>869</v>
      </c>
      <c r="D362">
        <v>10.96</v>
      </c>
      <c r="E362">
        <v>9.699999999999999</v>
      </c>
      <c r="F362">
        <v>16</v>
      </c>
      <c r="G362">
        <v>0.60625</v>
      </c>
      <c r="H362">
        <v>0.04948453608247423</v>
      </c>
      <c r="I362">
        <v>0.1052732255496012</v>
      </c>
      <c r="J362">
        <v>0.01</v>
      </c>
      <c r="K362">
        <v>0.1482738438722304</v>
      </c>
      <c r="L362" t="s">
        <v>568</v>
      </c>
      <c r="M362" t="s">
        <v>873</v>
      </c>
      <c r="N362">
        <v>3.03125</v>
      </c>
      <c r="O362">
        <v>3.2</v>
      </c>
      <c r="P362">
        <v>0.48</v>
      </c>
      <c r="Q362">
        <v>0.15</v>
      </c>
      <c r="R362">
        <v>1</v>
      </c>
      <c r="S362">
        <v>0.02001586442069092</v>
      </c>
      <c r="T362" t="s">
        <v>931</v>
      </c>
      <c r="U362">
        <v>-0.263024335392306</v>
      </c>
      <c r="V362" t="s">
        <v>978</v>
      </c>
      <c r="W362" t="s">
        <v>988</v>
      </c>
      <c r="X362">
        <v>11762.871695</v>
      </c>
      <c r="Y362" s="2">
        <v>44787</v>
      </c>
      <c r="Z362" t="s">
        <v>1004</v>
      </c>
    </row>
    <row r="363" spans="1:26">
      <c r="A363" s="1" t="s">
        <v>387</v>
      </c>
      <c r="B363">
        <f>HYPERLINK("https://www.suredividend.com/sure-analysis-MGA/","Magna International Inc.")</f>
        <v>0</v>
      </c>
      <c r="C363" t="s">
        <v>869</v>
      </c>
      <c r="D363">
        <v>65</v>
      </c>
      <c r="E363">
        <v>56.63</v>
      </c>
      <c r="F363">
        <v>57</v>
      </c>
      <c r="G363">
        <v>0.9935087719298246</v>
      </c>
      <c r="H363">
        <v>0.03178527282359173</v>
      </c>
      <c r="I363">
        <v>0.001303326134024729</v>
      </c>
      <c r="J363">
        <v>0.12</v>
      </c>
      <c r="K363">
        <v>0.1472432365007597</v>
      </c>
      <c r="L363" t="s">
        <v>568</v>
      </c>
      <c r="M363" t="s">
        <v>586</v>
      </c>
      <c r="N363">
        <v>10.95357833655706</v>
      </c>
      <c r="O363">
        <v>5.17</v>
      </c>
      <c r="P363">
        <v>1.8</v>
      </c>
      <c r="Q363">
        <v>0.3481624758220503</v>
      </c>
      <c r="R363">
        <v>12</v>
      </c>
      <c r="S363">
        <v>0.100082101138866</v>
      </c>
      <c r="T363" t="s">
        <v>913</v>
      </c>
      <c r="U363">
        <v>-0.307358777879023</v>
      </c>
      <c r="V363" t="s">
        <v>978</v>
      </c>
      <c r="W363" t="s">
        <v>983</v>
      </c>
      <c r="X363">
        <v>16185.944354</v>
      </c>
      <c r="Y363" s="2">
        <v>44789</v>
      </c>
      <c r="Z363" t="s">
        <v>1005</v>
      </c>
    </row>
    <row r="364" spans="1:26">
      <c r="A364" s="1" t="s">
        <v>388</v>
      </c>
      <c r="B364">
        <f>HYPERLINK("https://www.suredividend.com/sure-analysis-MAN/","ManpowerGroup")</f>
        <v>0</v>
      </c>
      <c r="C364" t="s">
        <v>869</v>
      </c>
      <c r="D364">
        <v>79</v>
      </c>
      <c r="E364">
        <v>78.65000000000001</v>
      </c>
      <c r="F364">
        <v>110</v>
      </c>
      <c r="G364">
        <v>0.7150000000000001</v>
      </c>
      <c r="H364">
        <v>0.03458359821996185</v>
      </c>
      <c r="I364">
        <v>0.06939658190911846</v>
      </c>
      <c r="J364">
        <v>0.05</v>
      </c>
      <c r="K364">
        <v>0.146915968457594</v>
      </c>
      <c r="L364" t="s">
        <v>568</v>
      </c>
      <c r="M364" t="s">
        <v>568</v>
      </c>
      <c r="N364">
        <v>9.296690307328605</v>
      </c>
      <c r="O364">
        <v>8.460000000000001</v>
      </c>
      <c r="P364">
        <v>2.72</v>
      </c>
      <c r="Q364">
        <v>0.3215130023640662</v>
      </c>
      <c r="R364">
        <v>12</v>
      </c>
      <c r="S364">
        <v>0.04808838399458915</v>
      </c>
      <c r="T364" t="s">
        <v>896</v>
      </c>
      <c r="U364">
        <v>-0.221031843108979</v>
      </c>
      <c r="V364" t="s">
        <v>978</v>
      </c>
      <c r="W364" t="s">
        <v>984</v>
      </c>
      <c r="X364">
        <v>4069.511682</v>
      </c>
      <c r="Y364" s="2">
        <v>44864</v>
      </c>
      <c r="Z364" t="s">
        <v>1003</v>
      </c>
    </row>
    <row r="365" spans="1:26">
      <c r="A365" s="1" t="s">
        <v>389</v>
      </c>
      <c r="B365">
        <f>HYPERLINK("https://www.suredividend.com/sure-analysis-KLAC/","KLA Corp.")</f>
        <v>0</v>
      </c>
      <c r="C365" t="s">
        <v>869</v>
      </c>
      <c r="D365">
        <v>374</v>
      </c>
      <c r="E365">
        <v>328.03</v>
      </c>
      <c r="F365">
        <v>417</v>
      </c>
      <c r="G365">
        <v>0.7866426858513189</v>
      </c>
      <c r="H365">
        <v>0.01585220863945371</v>
      </c>
      <c r="I365">
        <v>0.04916670083619357</v>
      </c>
      <c r="J365">
        <v>0.08</v>
      </c>
      <c r="K365">
        <v>0.1457270070413661</v>
      </c>
      <c r="L365" t="s">
        <v>568</v>
      </c>
      <c r="M365" t="s">
        <v>586</v>
      </c>
      <c r="N365">
        <v>13.38897959183673</v>
      </c>
      <c r="O365">
        <v>24.5</v>
      </c>
      <c r="P365">
        <v>5.2</v>
      </c>
      <c r="Q365">
        <v>0.2122448979591837</v>
      </c>
      <c r="R365">
        <v>13</v>
      </c>
      <c r="S365">
        <v>0.09987776596826192</v>
      </c>
      <c r="T365" t="s">
        <v>905</v>
      </c>
      <c r="U365">
        <v>-0.188389288114256</v>
      </c>
      <c r="V365" t="s">
        <v>978</v>
      </c>
      <c r="W365" t="s">
        <v>982</v>
      </c>
      <c r="X365">
        <v>46487.862806</v>
      </c>
      <c r="Y365" s="2">
        <v>44790</v>
      </c>
      <c r="Z365" t="s">
        <v>994</v>
      </c>
    </row>
    <row r="366" spans="1:26">
      <c r="A366" s="1" t="s">
        <v>390</v>
      </c>
      <c r="B366">
        <f>HYPERLINK("https://www.suredividend.com/sure-analysis-STT/","State Street Corp.")</f>
        <v>0</v>
      </c>
      <c r="C366" t="s">
        <v>869</v>
      </c>
      <c r="D366">
        <v>67</v>
      </c>
      <c r="E366">
        <v>75.45</v>
      </c>
      <c r="F366">
        <v>94</v>
      </c>
      <c r="G366">
        <v>0.8026595744680851</v>
      </c>
      <c r="H366">
        <v>0.03339960238568589</v>
      </c>
      <c r="I366">
        <v>0.04494569693517425</v>
      </c>
      <c r="J366">
        <v>0.07000000000000001</v>
      </c>
      <c r="K366">
        <v>0.1431744198604499</v>
      </c>
      <c r="L366" t="s">
        <v>568</v>
      </c>
      <c r="M366" t="s">
        <v>568</v>
      </c>
      <c r="N366">
        <v>10.06</v>
      </c>
      <c r="O366">
        <v>7.5</v>
      </c>
      <c r="P366">
        <v>2.52</v>
      </c>
      <c r="Q366">
        <v>0.336</v>
      </c>
      <c r="R366">
        <v>13</v>
      </c>
      <c r="S366">
        <v>0.06912485106932209</v>
      </c>
      <c r="T366" t="s">
        <v>891</v>
      </c>
      <c r="U366">
        <v>-0.193337146583844</v>
      </c>
      <c r="V366" t="s">
        <v>978</v>
      </c>
      <c r="W366" t="s">
        <v>986</v>
      </c>
      <c r="X366">
        <v>27685.634091</v>
      </c>
      <c r="Y366" s="2">
        <v>44852</v>
      </c>
      <c r="Z366" t="s">
        <v>996</v>
      </c>
    </row>
    <row r="367" spans="1:26">
      <c r="A367" s="1" t="s">
        <v>391</v>
      </c>
      <c r="B367">
        <f>HYPERLINK("https://www.suredividend.com/sure-analysis-TRSWF/","TransAlta Renewables Inc")</f>
        <v>0</v>
      </c>
      <c r="C367" t="s">
        <v>870</v>
      </c>
      <c r="D367">
        <v>14.1</v>
      </c>
      <c r="E367">
        <v>10.2</v>
      </c>
      <c r="F367">
        <v>13.9</v>
      </c>
      <c r="G367">
        <v>0.7338129496402876</v>
      </c>
      <c r="H367">
        <v>0.07058823529411765</v>
      </c>
      <c r="I367">
        <v>0.0638561920842784</v>
      </c>
      <c r="J367">
        <v>0.03</v>
      </c>
      <c r="K367">
        <v>0.142241259136956</v>
      </c>
      <c r="L367" t="s">
        <v>568</v>
      </c>
      <c r="M367" t="s">
        <v>872</v>
      </c>
      <c r="N367">
        <v>9.532710280373831</v>
      </c>
      <c r="O367">
        <v>1.07</v>
      </c>
      <c r="P367">
        <v>0.72</v>
      </c>
      <c r="Q367">
        <v>0.6728971962616822</v>
      </c>
      <c r="R367">
        <v>0</v>
      </c>
      <c r="S367">
        <v>0.01087212085035083</v>
      </c>
      <c r="T367" t="s">
        <v>910</v>
      </c>
      <c r="U367">
        <v>-0.31726907630522</v>
      </c>
      <c r="V367" t="s">
        <v>978</v>
      </c>
      <c r="W367" t="s">
        <v>987</v>
      </c>
      <c r="X367">
        <v>2722.010158</v>
      </c>
      <c r="Y367" s="2">
        <v>44785</v>
      </c>
      <c r="Z367" t="s">
        <v>998</v>
      </c>
    </row>
    <row r="368" spans="1:26">
      <c r="A368" s="1" t="s">
        <v>392</v>
      </c>
      <c r="B368">
        <f>HYPERLINK("https://www.suredividend.com/sure-analysis-WRK/","WestRock Co")</f>
        <v>0</v>
      </c>
      <c r="C368" t="s">
        <v>870</v>
      </c>
      <c r="D368">
        <v>43</v>
      </c>
      <c r="E368">
        <v>34.62</v>
      </c>
      <c r="F368">
        <v>54</v>
      </c>
      <c r="G368">
        <v>0.6411111111111111</v>
      </c>
      <c r="H368">
        <v>0.0317735413056037</v>
      </c>
      <c r="I368">
        <v>0.0929828292894177</v>
      </c>
      <c r="J368">
        <v>0.02</v>
      </c>
      <c r="K368">
        <v>0.1383866645990401</v>
      </c>
      <c r="L368" t="s">
        <v>568</v>
      </c>
      <c r="M368" t="s">
        <v>568</v>
      </c>
      <c r="N368">
        <v>6.993939393939393</v>
      </c>
      <c r="O368">
        <v>4.95</v>
      </c>
      <c r="P368">
        <v>1.1</v>
      </c>
      <c r="Q368">
        <v>0.2222222222222222</v>
      </c>
      <c r="R368">
        <v>2</v>
      </c>
      <c r="S368">
        <v>0.05970486933121499</v>
      </c>
      <c r="T368" t="s">
        <v>913</v>
      </c>
      <c r="U368">
        <v>-0.262768981782174</v>
      </c>
      <c r="V368" t="s">
        <v>978</v>
      </c>
      <c r="W368" t="s">
        <v>983</v>
      </c>
      <c r="X368">
        <v>8822.975132</v>
      </c>
      <c r="Y368" s="2">
        <v>44799</v>
      </c>
      <c r="Z368" t="s">
        <v>996</v>
      </c>
    </row>
    <row r="369" spans="1:26">
      <c r="A369" s="1" t="s">
        <v>393</v>
      </c>
      <c r="B369">
        <f>HYPERLINK("https://www.suredividend.com/sure-analysis-ZION/","Zions Bancorporation N.A")</f>
        <v>0</v>
      </c>
      <c r="C369" t="s">
        <v>869</v>
      </c>
      <c r="D369">
        <v>52</v>
      </c>
      <c r="E369">
        <v>49.76</v>
      </c>
      <c r="F369">
        <v>67</v>
      </c>
      <c r="G369">
        <v>0.742686567164179</v>
      </c>
      <c r="H369">
        <v>0.03295819935691318</v>
      </c>
      <c r="I369">
        <v>0.06130176431334555</v>
      </c>
      <c r="J369">
        <v>0.05</v>
      </c>
      <c r="K369">
        <v>0.1381105014870683</v>
      </c>
      <c r="L369" t="s">
        <v>568</v>
      </c>
      <c r="M369" t="s">
        <v>568</v>
      </c>
      <c r="N369">
        <v>8.885714285714286</v>
      </c>
      <c r="O369">
        <v>5.6</v>
      </c>
      <c r="P369">
        <v>1.64</v>
      </c>
      <c r="Q369">
        <v>0.2928571428571429</v>
      </c>
      <c r="R369">
        <v>11</v>
      </c>
      <c r="S369">
        <v>0.04968861687192305</v>
      </c>
      <c r="T369" t="s">
        <v>876</v>
      </c>
      <c r="U369">
        <v>-0.206509935369468</v>
      </c>
      <c r="V369" t="s">
        <v>978</v>
      </c>
      <c r="W369" t="s">
        <v>986</v>
      </c>
      <c r="X369">
        <v>7444.979439</v>
      </c>
      <c r="Y369" s="2">
        <v>44860</v>
      </c>
      <c r="Z369" t="s">
        <v>1002</v>
      </c>
    </row>
    <row r="370" spans="1:26">
      <c r="A370" s="1" t="s">
        <v>394</v>
      </c>
      <c r="B370">
        <f>HYPERLINK("https://www.suredividend.com/sure-analysis-ALE/","Allete, Inc.")</f>
        <v>0</v>
      </c>
      <c r="C370" t="s">
        <v>869</v>
      </c>
      <c r="D370">
        <v>63</v>
      </c>
      <c r="E370">
        <v>55.28</v>
      </c>
      <c r="F370">
        <v>75</v>
      </c>
      <c r="G370">
        <v>0.7370666666666666</v>
      </c>
      <c r="H370">
        <v>0.04703328509406657</v>
      </c>
      <c r="I370">
        <v>0.0629152689423782</v>
      </c>
      <c r="J370">
        <v>0.04</v>
      </c>
      <c r="K370">
        <v>0.1378887332111671</v>
      </c>
      <c r="L370" t="s">
        <v>568</v>
      </c>
      <c r="M370" t="s">
        <v>873</v>
      </c>
      <c r="N370">
        <v>14.74133333333333</v>
      </c>
      <c r="O370">
        <v>3.75</v>
      </c>
      <c r="P370">
        <v>2.6</v>
      </c>
      <c r="Q370">
        <v>0.6933333333333334</v>
      </c>
      <c r="R370">
        <v>11</v>
      </c>
      <c r="S370">
        <v>0.02971877064044981</v>
      </c>
      <c r="T370" t="s">
        <v>905</v>
      </c>
      <c r="U370">
        <v>-0.100373162868585</v>
      </c>
      <c r="V370" t="s">
        <v>978</v>
      </c>
      <c r="W370" t="s">
        <v>987</v>
      </c>
      <c r="X370">
        <v>3154.938336</v>
      </c>
      <c r="Y370" s="2">
        <v>44776</v>
      </c>
      <c r="Z370" t="s">
        <v>998</v>
      </c>
    </row>
    <row r="371" spans="1:26">
      <c r="A371" s="1" t="s">
        <v>395</v>
      </c>
      <c r="B371">
        <f>HYPERLINK("https://www.suredividend.com/sure-analysis-CUBE/","CubeSmart")</f>
        <v>0</v>
      </c>
      <c r="C371" t="s">
        <v>870</v>
      </c>
      <c r="D371">
        <v>42</v>
      </c>
      <c r="E371">
        <v>38.91</v>
      </c>
      <c r="F371">
        <v>44</v>
      </c>
      <c r="G371">
        <v>0.8843181818181818</v>
      </c>
      <c r="H371">
        <v>0.04420457465947058</v>
      </c>
      <c r="I371">
        <v>0.0248924388578422</v>
      </c>
      <c r="J371">
        <v>0.075</v>
      </c>
      <c r="K371">
        <v>0.1374170118407954</v>
      </c>
      <c r="L371" t="s">
        <v>568</v>
      </c>
      <c r="M371" t="s">
        <v>873</v>
      </c>
      <c r="N371">
        <v>15.50199203187251</v>
      </c>
      <c r="O371">
        <v>2.51</v>
      </c>
      <c r="P371">
        <v>1.72</v>
      </c>
      <c r="Q371">
        <v>0.6852589641434264</v>
      </c>
      <c r="R371">
        <v>12</v>
      </c>
      <c r="S371">
        <v>0.08023542380212056</v>
      </c>
      <c r="T371" t="s">
        <v>891</v>
      </c>
      <c r="U371">
        <v>-0.270014108182746</v>
      </c>
      <c r="V371" t="s">
        <v>980</v>
      </c>
      <c r="W371" t="s">
        <v>992</v>
      </c>
      <c r="X371">
        <v>8738.201032000001</v>
      </c>
      <c r="Y371" s="2">
        <v>44864</v>
      </c>
      <c r="Z371" t="s">
        <v>1000</v>
      </c>
    </row>
    <row r="372" spans="1:26">
      <c r="A372" s="1" t="s">
        <v>396</v>
      </c>
      <c r="B372">
        <f>HYPERLINK("https://www.suredividend.com/sure-analysis-ACI/","Albertsons Companies Inc")</f>
        <v>0</v>
      </c>
      <c r="C372" t="s">
        <v>870</v>
      </c>
      <c r="D372">
        <v>20</v>
      </c>
      <c r="E372">
        <v>21.26</v>
      </c>
      <c r="F372">
        <v>32</v>
      </c>
      <c r="G372">
        <v>0.664375</v>
      </c>
      <c r="H372">
        <v>0.02257761053621825</v>
      </c>
      <c r="I372">
        <v>0.08521888717457404</v>
      </c>
      <c r="J372">
        <v>0.03</v>
      </c>
      <c r="K372">
        <v>0.133222222988449</v>
      </c>
      <c r="L372" t="s">
        <v>568</v>
      </c>
      <c r="M372" t="s">
        <v>586</v>
      </c>
      <c r="N372">
        <v>8.022641509433964</v>
      </c>
      <c r="O372">
        <v>2.65</v>
      </c>
      <c r="P372">
        <v>0.48</v>
      </c>
      <c r="Q372">
        <v>0.1811320754716981</v>
      </c>
      <c r="R372">
        <v>1</v>
      </c>
      <c r="S372">
        <v>0.03131030647754507</v>
      </c>
      <c r="T372" t="s">
        <v>911</v>
      </c>
      <c r="U372">
        <v>-0.170121241929565</v>
      </c>
      <c r="V372" t="s">
        <v>978</v>
      </c>
      <c r="W372" t="s">
        <v>990</v>
      </c>
      <c r="X372">
        <v>11375.509793</v>
      </c>
      <c r="Y372" s="2">
        <v>44864</v>
      </c>
      <c r="Z372" t="s">
        <v>1006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869</v>
      </c>
      <c r="D373">
        <v>331</v>
      </c>
      <c r="E373">
        <v>318.37</v>
      </c>
      <c r="F373">
        <v>286</v>
      </c>
      <c r="G373">
        <v>1.113181818181818</v>
      </c>
      <c r="H373">
        <v>0.006156358953418978</v>
      </c>
      <c r="I373">
        <v>-0.02121618540822978</v>
      </c>
      <c r="J373">
        <v>0.15</v>
      </c>
      <c r="K373">
        <v>0.1314847195806796</v>
      </c>
      <c r="L373" t="s">
        <v>568</v>
      </c>
      <c r="M373" t="s">
        <v>637</v>
      </c>
      <c r="N373">
        <v>30.03490566037736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885</v>
      </c>
      <c r="U373">
        <v>-0.04529889848178</v>
      </c>
      <c r="V373" t="s">
        <v>978</v>
      </c>
      <c r="W373" t="s">
        <v>986</v>
      </c>
      <c r="X373">
        <v>303662.274163</v>
      </c>
      <c r="Y373" s="2">
        <v>44864</v>
      </c>
      <c r="Z373" t="s">
        <v>993</v>
      </c>
    </row>
    <row r="374" spans="1:26">
      <c r="A374" s="1" t="s">
        <v>398</v>
      </c>
      <c r="B374">
        <f>HYPERLINK("https://www.suredividend.com/sure-analysis-DFS/","Discover Financial Services")</f>
        <v>0</v>
      </c>
      <c r="C374" t="s">
        <v>869</v>
      </c>
      <c r="D374">
        <v>96</v>
      </c>
      <c r="E374">
        <v>99.84999999999999</v>
      </c>
      <c r="F374">
        <v>140</v>
      </c>
      <c r="G374">
        <v>0.7132142857142857</v>
      </c>
      <c r="H374">
        <v>0.02403605408112168</v>
      </c>
      <c r="I374">
        <v>0.06993154795064371</v>
      </c>
      <c r="J374">
        <v>0.04</v>
      </c>
      <c r="K374">
        <v>0.1308588404394115</v>
      </c>
      <c r="L374" t="s">
        <v>568</v>
      </c>
      <c r="M374" t="s">
        <v>586</v>
      </c>
      <c r="N374">
        <v>6.441935483870967</v>
      </c>
      <c r="O374">
        <v>15.5</v>
      </c>
      <c r="P374">
        <v>2.4</v>
      </c>
      <c r="Q374">
        <v>0.1548387096774194</v>
      </c>
      <c r="R374">
        <v>10</v>
      </c>
      <c r="S374">
        <v>0.05988502997905321</v>
      </c>
      <c r="T374" t="s">
        <v>879</v>
      </c>
      <c r="U374">
        <v>-0.110394001462927</v>
      </c>
      <c r="V374" t="s">
        <v>978</v>
      </c>
      <c r="W374" t="s">
        <v>986</v>
      </c>
      <c r="X374">
        <v>27281.592635</v>
      </c>
      <c r="Y374" s="2">
        <v>44859</v>
      </c>
      <c r="Z374" t="s">
        <v>994</v>
      </c>
    </row>
    <row r="375" spans="1:26">
      <c r="A375" s="1" t="s">
        <v>399</v>
      </c>
      <c r="B375">
        <f>HYPERLINK("https://www.suredividend.com/sure-analysis-DLR/","Digital Realty Trust Inc")</f>
        <v>0</v>
      </c>
      <c r="C375" t="s">
        <v>869</v>
      </c>
      <c r="D375">
        <v>100</v>
      </c>
      <c r="E375">
        <v>96.77</v>
      </c>
      <c r="F375">
        <v>114</v>
      </c>
      <c r="G375">
        <v>0.848859649122807</v>
      </c>
      <c r="H375">
        <v>0.0504288519169164</v>
      </c>
      <c r="I375">
        <v>0.03331520993884873</v>
      </c>
      <c r="J375">
        <v>0.055</v>
      </c>
      <c r="K375">
        <v>0.1298212625444946</v>
      </c>
      <c r="L375" t="s">
        <v>568</v>
      </c>
      <c r="M375" t="s">
        <v>873</v>
      </c>
      <c r="N375">
        <v>14.37890044576523</v>
      </c>
      <c r="O375">
        <v>6.73</v>
      </c>
      <c r="P375">
        <v>4.88</v>
      </c>
      <c r="Q375">
        <v>0.725111441307578</v>
      </c>
      <c r="R375">
        <v>17</v>
      </c>
      <c r="S375">
        <v>0.05998244289972532</v>
      </c>
      <c r="T375" t="s">
        <v>883</v>
      </c>
      <c r="U375">
        <v>-0.357814725201508</v>
      </c>
      <c r="V375" t="s">
        <v>980</v>
      </c>
      <c r="W375" t="s">
        <v>992</v>
      </c>
      <c r="X375">
        <v>27812.45687</v>
      </c>
      <c r="Y375" s="2">
        <v>44867</v>
      </c>
      <c r="Z375" t="s">
        <v>998</v>
      </c>
    </row>
    <row r="376" spans="1:26">
      <c r="A376" s="1" t="s">
        <v>400</v>
      </c>
      <c r="B376">
        <f>HYPERLINK("https://www.suredividend.com/sure-analysis-HUN/","Huntsman Corp")</f>
        <v>0</v>
      </c>
      <c r="C376" t="s">
        <v>869</v>
      </c>
      <c r="D376">
        <v>30</v>
      </c>
      <c r="E376">
        <v>27.12</v>
      </c>
      <c r="F376">
        <v>35</v>
      </c>
      <c r="G376">
        <v>0.7748571428571429</v>
      </c>
      <c r="H376">
        <v>0.03134218289085546</v>
      </c>
      <c r="I376">
        <v>0.05233901466029645</v>
      </c>
      <c r="J376">
        <v>0.05</v>
      </c>
      <c r="K376">
        <v>0.1290440850330541</v>
      </c>
      <c r="L376" t="s">
        <v>568</v>
      </c>
      <c r="M376" t="s">
        <v>568</v>
      </c>
      <c r="N376">
        <v>5.424</v>
      </c>
      <c r="O376">
        <v>5</v>
      </c>
      <c r="P376">
        <v>0.85</v>
      </c>
      <c r="Q376">
        <v>0.17</v>
      </c>
      <c r="R376">
        <v>2</v>
      </c>
      <c r="S376">
        <v>0.06046706494283782</v>
      </c>
      <c r="T376" t="s">
        <v>883</v>
      </c>
      <c r="U376">
        <v>-0.16726286796879</v>
      </c>
      <c r="V376" t="s">
        <v>978</v>
      </c>
      <c r="W376" t="s">
        <v>989</v>
      </c>
      <c r="X376">
        <v>5462.179916</v>
      </c>
      <c r="Y376" s="2">
        <v>44775</v>
      </c>
      <c r="Z376" t="s">
        <v>1000</v>
      </c>
    </row>
    <row r="377" spans="1:26">
      <c r="A377" s="1" t="s">
        <v>401</v>
      </c>
      <c r="B377">
        <f>HYPERLINK("https://www.suredividend.com/sure-analysis-AZN/","Astrazeneca plc")</f>
        <v>0</v>
      </c>
      <c r="C377" t="s">
        <v>869</v>
      </c>
      <c r="D377">
        <v>66</v>
      </c>
      <c r="E377">
        <v>60.99</v>
      </c>
      <c r="F377">
        <v>86</v>
      </c>
      <c r="G377">
        <v>0.709186046511628</v>
      </c>
      <c r="H377">
        <v>0.02361042793900639</v>
      </c>
      <c r="I377">
        <v>0.0711442568389431</v>
      </c>
      <c r="J377">
        <v>0.04</v>
      </c>
      <c r="K377">
        <v>0.1289159470016377</v>
      </c>
      <c r="L377" t="s">
        <v>568</v>
      </c>
      <c r="M377" t="s">
        <v>586</v>
      </c>
      <c r="N377">
        <v>9.240909090909092</v>
      </c>
      <c r="O377">
        <v>6.6</v>
      </c>
      <c r="P377">
        <v>1.44</v>
      </c>
      <c r="Q377">
        <v>0.2181818181818182</v>
      </c>
      <c r="R377">
        <v>1</v>
      </c>
      <c r="S377">
        <v>0</v>
      </c>
      <c r="T377" t="s">
        <v>913</v>
      </c>
      <c r="U377">
        <v>-0.021829606855372</v>
      </c>
      <c r="V377" t="s">
        <v>978</v>
      </c>
      <c r="W377" t="s">
        <v>988</v>
      </c>
      <c r="X377">
        <v>188998.269531</v>
      </c>
      <c r="Y377" s="2">
        <v>44775</v>
      </c>
      <c r="Z377" t="s">
        <v>993</v>
      </c>
    </row>
    <row r="378" spans="1:26">
      <c r="A378" s="1" t="s">
        <v>402</v>
      </c>
      <c r="B378">
        <f>HYPERLINK("https://www.suredividend.com/sure-analysis-POR/","Portland General Electric Co")</f>
        <v>0</v>
      </c>
      <c r="C378" t="s">
        <v>869</v>
      </c>
      <c r="D378">
        <v>45</v>
      </c>
      <c r="E378">
        <v>45.38</v>
      </c>
      <c r="F378">
        <v>54</v>
      </c>
      <c r="G378">
        <v>0.8403703703703704</v>
      </c>
      <c r="H378">
        <v>0.03988541207580432</v>
      </c>
      <c r="I378">
        <v>0.03539449992513277</v>
      </c>
      <c r="J378">
        <v>0.06</v>
      </c>
      <c r="K378">
        <v>0.1285466518313003</v>
      </c>
      <c r="L378" t="s">
        <v>568</v>
      </c>
      <c r="M378" t="s">
        <v>873</v>
      </c>
      <c r="N378">
        <v>16.09219858156029</v>
      </c>
      <c r="O378">
        <v>2.82</v>
      </c>
      <c r="P378">
        <v>1.81</v>
      </c>
      <c r="Q378">
        <v>0.6418439716312058</v>
      </c>
      <c r="R378">
        <v>15</v>
      </c>
      <c r="S378">
        <v>0.05980840202347104</v>
      </c>
      <c r="T378" t="s">
        <v>938</v>
      </c>
      <c r="U378">
        <v>-0.04474620940224</v>
      </c>
      <c r="V378" t="s">
        <v>978</v>
      </c>
      <c r="W378" t="s">
        <v>987</v>
      </c>
      <c r="X378">
        <v>4051.204384</v>
      </c>
      <c r="Y378" s="2">
        <v>44867</v>
      </c>
      <c r="Z378" t="s">
        <v>998</v>
      </c>
    </row>
    <row r="379" spans="1:26">
      <c r="A379" s="1" t="s">
        <v>403</v>
      </c>
      <c r="B379">
        <f>HYPERLINK("https://www.suredividend.com/sure-analysis-BC/","Brunswick Corp.")</f>
        <v>0</v>
      </c>
      <c r="C379" t="s">
        <v>869</v>
      </c>
      <c r="D379">
        <v>71</v>
      </c>
      <c r="E379">
        <v>67.41</v>
      </c>
      <c r="F379">
        <v>100</v>
      </c>
      <c r="G379">
        <v>0.6740999999999999</v>
      </c>
      <c r="H379">
        <v>0.02165850763981605</v>
      </c>
      <c r="I379">
        <v>0.08206944693647111</v>
      </c>
      <c r="J379">
        <v>0.025</v>
      </c>
      <c r="K379">
        <v>0.1262122138363533</v>
      </c>
      <c r="L379" t="s">
        <v>568</v>
      </c>
      <c r="M379" t="s">
        <v>586</v>
      </c>
      <c r="N379">
        <v>6.741</v>
      </c>
      <c r="O379">
        <v>10</v>
      </c>
      <c r="P379">
        <v>1.46</v>
      </c>
      <c r="Q379">
        <v>0.146</v>
      </c>
      <c r="R379">
        <v>10</v>
      </c>
      <c r="S379">
        <v>0.070237590997412</v>
      </c>
      <c r="T379" t="s">
        <v>931</v>
      </c>
      <c r="U379">
        <v>-0.309771428980999</v>
      </c>
      <c r="V379" t="s">
        <v>978</v>
      </c>
      <c r="W379" t="s">
        <v>983</v>
      </c>
      <c r="X379">
        <v>4887.664176</v>
      </c>
      <c r="Y379" s="2">
        <v>44862</v>
      </c>
      <c r="Z379" t="s">
        <v>1000</v>
      </c>
    </row>
    <row r="380" spans="1:26">
      <c r="A380" s="1" t="s">
        <v>404</v>
      </c>
      <c r="B380">
        <f>HYPERLINK("https://www.suredividend.com/sure-analysis-MMP/","Magellan Midstream Partners L.P.")</f>
        <v>0</v>
      </c>
      <c r="C380" t="s">
        <v>869</v>
      </c>
      <c r="D380">
        <v>54</v>
      </c>
      <c r="E380">
        <v>51.6</v>
      </c>
      <c r="F380">
        <v>62</v>
      </c>
      <c r="G380">
        <v>0.832258064516129</v>
      </c>
      <c r="H380">
        <v>0.08120155038759691</v>
      </c>
      <c r="I380">
        <v>0.03740514507726633</v>
      </c>
      <c r="J380">
        <v>0.03</v>
      </c>
      <c r="K380">
        <v>0.1261253716658235</v>
      </c>
      <c r="L380" t="s">
        <v>568</v>
      </c>
      <c r="M380" t="s">
        <v>872</v>
      </c>
      <c r="N380">
        <v>9.923076923076923</v>
      </c>
      <c r="O380">
        <v>5.2</v>
      </c>
      <c r="P380">
        <v>4.19</v>
      </c>
      <c r="Q380">
        <v>0.8057692307692308</v>
      </c>
      <c r="R380">
        <v>22</v>
      </c>
      <c r="S380">
        <v>0.009828749370162759</v>
      </c>
      <c r="T380" t="s">
        <v>919</v>
      </c>
      <c r="U380">
        <v>0.150678699733069</v>
      </c>
      <c r="V380" t="s">
        <v>979</v>
      </c>
      <c r="W380" t="s">
        <v>991</v>
      </c>
      <c r="X380">
        <v>10574.701573</v>
      </c>
      <c r="Y380" s="2">
        <v>44866</v>
      </c>
      <c r="Z380" t="s">
        <v>996</v>
      </c>
    </row>
    <row r="381" spans="1:26">
      <c r="A381" s="1" t="s">
        <v>405</v>
      </c>
      <c r="B381">
        <f>HYPERLINK("https://www.suredividend.com/sure-analysis-SAXPY/","Sampo Plc")</f>
        <v>0</v>
      </c>
      <c r="C381" t="s">
        <v>869</v>
      </c>
      <c r="D381">
        <v>23</v>
      </c>
      <c r="E381">
        <v>22.78</v>
      </c>
      <c r="F381">
        <v>26</v>
      </c>
      <c r="G381">
        <v>0.8761538461538462</v>
      </c>
      <c r="H381">
        <v>0.0961369622475856</v>
      </c>
      <c r="I381">
        <v>0.02679542662824108</v>
      </c>
      <c r="J381">
        <v>0.025</v>
      </c>
      <c r="K381">
        <v>0.125940581463774</v>
      </c>
      <c r="L381" t="s">
        <v>568</v>
      </c>
      <c r="M381" t="s">
        <v>872</v>
      </c>
      <c r="N381">
        <v>0.9491666666666667</v>
      </c>
      <c r="O381">
        <v>24</v>
      </c>
      <c r="P381">
        <v>2.19</v>
      </c>
      <c r="Q381">
        <v>0.09125</v>
      </c>
      <c r="R381">
        <v>2</v>
      </c>
      <c r="S381">
        <v>0.02518327682991406</v>
      </c>
      <c r="T381" t="s">
        <v>890</v>
      </c>
      <c r="U381">
        <v>-0.137121212121211</v>
      </c>
      <c r="V381" t="s">
        <v>978</v>
      </c>
      <c r="W381" t="s">
        <v>986</v>
      </c>
      <c r="X381">
        <v>24286.275152</v>
      </c>
      <c r="Y381" s="2">
        <v>44792</v>
      </c>
      <c r="Z381" t="s">
        <v>993</v>
      </c>
    </row>
    <row r="382" spans="1:26">
      <c r="A382" s="1" t="s">
        <v>406</v>
      </c>
      <c r="B382">
        <f>HYPERLINK("https://www.suredividend.com/sure-analysis-BK/","Bank Of New York Mellon Corp")</f>
        <v>0</v>
      </c>
      <c r="C382" t="s">
        <v>869</v>
      </c>
      <c r="D382">
        <v>40</v>
      </c>
      <c r="E382">
        <v>42.49</v>
      </c>
      <c r="F382">
        <v>51</v>
      </c>
      <c r="G382">
        <v>0.8331372549019608</v>
      </c>
      <c r="H382">
        <v>0.03483172511179101</v>
      </c>
      <c r="I382">
        <v>0.03718610268883582</v>
      </c>
      <c r="J382">
        <v>0.06</v>
      </c>
      <c r="K382">
        <v>0.1257954641947123</v>
      </c>
      <c r="L382" t="s">
        <v>568</v>
      </c>
      <c r="M382" t="s">
        <v>568</v>
      </c>
      <c r="N382">
        <v>9.99764705882353</v>
      </c>
      <c r="O382">
        <v>4.25</v>
      </c>
      <c r="P382">
        <v>1.48</v>
      </c>
      <c r="Q382">
        <v>0.348235294117647</v>
      </c>
      <c r="R382">
        <v>12</v>
      </c>
      <c r="S382">
        <v>0.0501226304546607</v>
      </c>
      <c r="T382" t="s">
        <v>945</v>
      </c>
      <c r="U382">
        <v>-0.257753065327862</v>
      </c>
      <c r="V382" t="s">
        <v>978</v>
      </c>
      <c r="W382" t="s">
        <v>986</v>
      </c>
      <c r="X382">
        <v>34336.305945</v>
      </c>
      <c r="Y382" s="2">
        <v>44853</v>
      </c>
      <c r="Z382" t="s">
        <v>1001</v>
      </c>
    </row>
    <row r="383" spans="1:26">
      <c r="A383" s="1" t="s">
        <v>407</v>
      </c>
      <c r="B383">
        <f>HYPERLINK("https://www.suredividend.com/sure-analysis-EMRAF/","Emera Inc.")</f>
        <v>0</v>
      </c>
      <c r="C383" t="s">
        <v>870</v>
      </c>
      <c r="D383">
        <v>48</v>
      </c>
      <c r="E383">
        <v>36.8</v>
      </c>
      <c r="F383">
        <v>43</v>
      </c>
      <c r="G383">
        <v>0.8558139534883721</v>
      </c>
      <c r="H383">
        <v>0.05625</v>
      </c>
      <c r="I383">
        <v>0.03163039043320404</v>
      </c>
      <c r="J383">
        <v>0.05</v>
      </c>
      <c r="K383">
        <v>0.1257790453278853</v>
      </c>
      <c r="L383" t="s">
        <v>568</v>
      </c>
      <c r="M383" t="s">
        <v>873</v>
      </c>
      <c r="N383">
        <v>15.6595744680851</v>
      </c>
      <c r="O383">
        <v>2.35</v>
      </c>
      <c r="P383">
        <v>2.07</v>
      </c>
      <c r="Q383">
        <v>0.8808510638297872</v>
      </c>
      <c r="R383">
        <v>15</v>
      </c>
      <c r="S383">
        <v>0.04012620718096094</v>
      </c>
      <c r="T383" t="s">
        <v>930</v>
      </c>
      <c r="U383">
        <v>-0.213339033775117</v>
      </c>
      <c r="V383" t="s">
        <v>978</v>
      </c>
      <c r="W383" t="s">
        <v>987</v>
      </c>
      <c r="X383">
        <v>9871.035965999999</v>
      </c>
      <c r="Y383" s="2">
        <v>44785</v>
      </c>
      <c r="Z383" t="s">
        <v>998</v>
      </c>
    </row>
    <row r="384" spans="1:26">
      <c r="A384" s="1" t="s">
        <v>408</v>
      </c>
      <c r="B384">
        <f>HYPERLINK("https://www.suredividend.com/sure-analysis-KEY/","Keycorp")</f>
        <v>0</v>
      </c>
      <c r="C384" t="s">
        <v>869</v>
      </c>
      <c r="D384">
        <v>16</v>
      </c>
      <c r="E384">
        <v>18.23</v>
      </c>
      <c r="F384">
        <v>27</v>
      </c>
      <c r="G384">
        <v>0.6751851851851852</v>
      </c>
      <c r="H384">
        <v>0.04278661546900713</v>
      </c>
      <c r="I384">
        <v>0.08172139386717214</v>
      </c>
      <c r="J384">
        <v>0.01</v>
      </c>
      <c r="K384">
        <v>0.1254405870438768</v>
      </c>
      <c r="L384" t="s">
        <v>568</v>
      </c>
      <c r="M384" t="s">
        <v>568</v>
      </c>
      <c r="N384">
        <v>8.102222222222222</v>
      </c>
      <c r="O384">
        <v>2.25</v>
      </c>
      <c r="P384">
        <v>0.78</v>
      </c>
      <c r="Q384">
        <v>0.3466666666666667</v>
      </c>
      <c r="R384">
        <v>11</v>
      </c>
      <c r="S384">
        <v>0.0509476404473832</v>
      </c>
      <c r="T384" t="s">
        <v>877</v>
      </c>
      <c r="U384">
        <v>-0.19623292050069</v>
      </c>
      <c r="V384" t="s">
        <v>978</v>
      </c>
      <c r="W384" t="s">
        <v>986</v>
      </c>
      <c r="X384">
        <v>17008.03568</v>
      </c>
      <c r="Y384" s="2">
        <v>44855</v>
      </c>
      <c r="Z384" t="s">
        <v>996</v>
      </c>
    </row>
    <row r="385" spans="1:26">
      <c r="A385" s="1" t="s">
        <v>409</v>
      </c>
      <c r="B385">
        <f>HYPERLINK("https://www.suredividend.com/sure-analysis-CMA/","Comerica, Inc.")</f>
        <v>0</v>
      </c>
      <c r="C385" t="s">
        <v>869</v>
      </c>
      <c r="D385">
        <v>70</v>
      </c>
      <c r="E385">
        <v>67.95999999999999</v>
      </c>
      <c r="F385">
        <v>102</v>
      </c>
      <c r="G385">
        <v>0.6662745098039216</v>
      </c>
      <c r="H385">
        <v>0.04002354326074162</v>
      </c>
      <c r="I385">
        <v>0.08459940116136089</v>
      </c>
      <c r="J385">
        <v>0.01</v>
      </c>
      <c r="K385">
        <v>0.1242672047421181</v>
      </c>
      <c r="L385" t="s">
        <v>568</v>
      </c>
      <c r="M385" t="s">
        <v>568</v>
      </c>
      <c r="N385">
        <v>7.96717467760844</v>
      </c>
      <c r="O385">
        <v>8.529999999999999</v>
      </c>
      <c r="P385">
        <v>2.72</v>
      </c>
      <c r="Q385">
        <v>0.3188745603751466</v>
      </c>
      <c r="R385">
        <v>11</v>
      </c>
      <c r="S385">
        <v>0.02978919320783269</v>
      </c>
      <c r="T385" t="s">
        <v>883</v>
      </c>
      <c r="U385">
        <v>-0.198290882623226</v>
      </c>
      <c r="V385" t="s">
        <v>978</v>
      </c>
      <c r="W385" t="s">
        <v>986</v>
      </c>
      <c r="X385">
        <v>8899.526395000001</v>
      </c>
      <c r="Y385" s="2">
        <v>44867</v>
      </c>
      <c r="Z385" t="s">
        <v>998</v>
      </c>
    </row>
    <row r="386" spans="1:26">
      <c r="A386" s="1" t="s">
        <v>410</v>
      </c>
      <c r="B386">
        <f>HYPERLINK("https://www.suredividend.com/sure-analysis-DLB/","Dolby Laboratories Inc")</f>
        <v>0</v>
      </c>
      <c r="C386" t="s">
        <v>870</v>
      </c>
      <c r="D386">
        <v>79</v>
      </c>
      <c r="E386">
        <v>66.90000000000001</v>
      </c>
      <c r="F386">
        <v>81</v>
      </c>
      <c r="G386">
        <v>0.825925925925926</v>
      </c>
      <c r="H386">
        <v>0.01494768310911809</v>
      </c>
      <c r="I386">
        <v>0.03899098711988436</v>
      </c>
      <c r="J386">
        <v>0.07000000000000001</v>
      </c>
      <c r="K386">
        <v>0.1231856120368933</v>
      </c>
      <c r="L386" t="s">
        <v>568</v>
      </c>
      <c r="M386" t="s">
        <v>637</v>
      </c>
      <c r="N386">
        <v>19.11428571428572</v>
      </c>
      <c r="O386">
        <v>3.5</v>
      </c>
      <c r="P386">
        <v>1</v>
      </c>
      <c r="Q386">
        <v>0.2857142857142857</v>
      </c>
      <c r="R386">
        <v>8</v>
      </c>
      <c r="S386">
        <v>0.0602809527753625</v>
      </c>
      <c r="T386" t="s">
        <v>916</v>
      </c>
      <c r="U386">
        <v>-0.246379750257684</v>
      </c>
      <c r="V386" t="s">
        <v>978</v>
      </c>
      <c r="W386" t="s">
        <v>983</v>
      </c>
      <c r="X386">
        <v>4335.65219</v>
      </c>
      <c r="Y386" s="2">
        <v>44783</v>
      </c>
      <c r="Z386" t="s">
        <v>1009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869</v>
      </c>
      <c r="D387">
        <v>21</v>
      </c>
      <c r="E387">
        <v>20.15</v>
      </c>
      <c r="F387">
        <v>23</v>
      </c>
      <c r="G387">
        <v>0.8760869565217391</v>
      </c>
      <c r="H387">
        <v>0.07047146401985112</v>
      </c>
      <c r="I387">
        <v>0.02681110540769582</v>
      </c>
      <c r="J387">
        <v>0.045</v>
      </c>
      <c r="K387">
        <v>0.1230692323222644</v>
      </c>
      <c r="L387" t="s">
        <v>568</v>
      </c>
      <c r="M387" t="s">
        <v>873</v>
      </c>
      <c r="N387">
        <v>9.641148325358852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886</v>
      </c>
      <c r="U387">
        <v>-0.572303068380567</v>
      </c>
      <c r="V387" t="s">
        <v>978</v>
      </c>
      <c r="W387" t="s">
        <v>985</v>
      </c>
      <c r="X387">
        <v>7937.078129</v>
      </c>
      <c r="Y387" s="2">
        <v>44802</v>
      </c>
      <c r="Z387" t="s">
        <v>998</v>
      </c>
    </row>
    <row r="388" spans="1:26">
      <c r="A388" s="1" t="s">
        <v>412</v>
      </c>
      <c r="B388">
        <f>HYPERLINK("https://www.suredividend.com/sure-analysis-STN/","Stantec Inc")</f>
        <v>0</v>
      </c>
      <c r="C388" t="s">
        <v>869</v>
      </c>
      <c r="D388">
        <v>49</v>
      </c>
      <c r="E388">
        <v>48.35</v>
      </c>
      <c r="F388">
        <v>49</v>
      </c>
      <c r="G388">
        <v>0.9867346938775511</v>
      </c>
      <c r="H388">
        <v>0.01158221302998966</v>
      </c>
      <c r="I388">
        <v>0.002674385046682382</v>
      </c>
      <c r="J388">
        <v>0.11</v>
      </c>
      <c r="K388">
        <v>0.1218510291300288</v>
      </c>
      <c r="L388" t="s">
        <v>568</v>
      </c>
      <c r="M388" t="s">
        <v>637</v>
      </c>
      <c r="N388">
        <v>20.66239316239317</v>
      </c>
      <c r="O388">
        <v>2.34</v>
      </c>
      <c r="P388">
        <v>0.5600000000000001</v>
      </c>
      <c r="Q388">
        <v>0.2393162393162394</v>
      </c>
      <c r="R388">
        <v>10</v>
      </c>
      <c r="S388">
        <v>0.06016789231717423</v>
      </c>
      <c r="T388" t="s">
        <v>950</v>
      </c>
      <c r="U388">
        <v>-0.110190936277892</v>
      </c>
      <c r="V388" t="s">
        <v>978</v>
      </c>
      <c r="W388" t="s">
        <v>984</v>
      </c>
      <c r="X388">
        <v>5354.571034</v>
      </c>
      <c r="Y388" s="2">
        <v>44787</v>
      </c>
      <c r="Z388" t="s">
        <v>1000</v>
      </c>
    </row>
    <row r="389" spans="1:26">
      <c r="A389" s="1" t="s">
        <v>413</v>
      </c>
      <c r="B389">
        <f>HYPERLINK("https://www.suredividend.com/sure-analysis-FNF/","Fidelity National Financial Inc")</f>
        <v>0</v>
      </c>
      <c r="C389" t="s">
        <v>869</v>
      </c>
      <c r="D389">
        <v>39</v>
      </c>
      <c r="E389">
        <v>39.5</v>
      </c>
      <c r="F389">
        <v>55</v>
      </c>
      <c r="G389">
        <v>0.7181818181818181</v>
      </c>
      <c r="H389">
        <v>0.04556962025316456</v>
      </c>
      <c r="I389">
        <v>0.06844733160794769</v>
      </c>
      <c r="J389">
        <v>0.02</v>
      </c>
      <c r="K389">
        <v>0.1216930859365035</v>
      </c>
      <c r="L389" t="s">
        <v>568</v>
      </c>
      <c r="M389" t="s">
        <v>873</v>
      </c>
      <c r="N389">
        <v>6.475409836065574</v>
      </c>
      <c r="O389">
        <v>6.1</v>
      </c>
      <c r="P389">
        <v>1.8</v>
      </c>
      <c r="Q389">
        <v>0.2950819672131148</v>
      </c>
      <c r="R389">
        <v>12</v>
      </c>
      <c r="S389">
        <v>0.01509302814089541</v>
      </c>
      <c r="T389" t="s">
        <v>887</v>
      </c>
      <c r="U389">
        <v>-0.147773855859432</v>
      </c>
      <c r="V389" t="s">
        <v>978</v>
      </c>
      <c r="W389" t="s">
        <v>986</v>
      </c>
      <c r="X389">
        <v>10914.528966</v>
      </c>
      <c r="Y389" s="2">
        <v>44777</v>
      </c>
      <c r="Z389" t="s">
        <v>998</v>
      </c>
    </row>
    <row r="390" spans="1:26">
      <c r="A390" s="1" t="s">
        <v>414</v>
      </c>
      <c r="B390">
        <f>HYPERLINK("https://www.suredividend.com/sure-analysis-THG/","Hanover Insurance Group Inc")</f>
        <v>0</v>
      </c>
      <c r="C390" t="s">
        <v>869</v>
      </c>
      <c r="D390">
        <v>143</v>
      </c>
      <c r="E390">
        <v>144.33</v>
      </c>
      <c r="F390">
        <v>137</v>
      </c>
      <c r="G390">
        <v>1.053503649635037</v>
      </c>
      <c r="H390">
        <v>0.02078569943878611</v>
      </c>
      <c r="I390">
        <v>-0.01037013916751284</v>
      </c>
      <c r="J390">
        <v>0.11</v>
      </c>
      <c r="K390">
        <v>0.1160154133446769</v>
      </c>
      <c r="L390" t="s">
        <v>568</v>
      </c>
      <c r="M390" t="s">
        <v>586</v>
      </c>
      <c r="N390">
        <v>15.86043956043956</v>
      </c>
      <c r="O390">
        <v>9.1</v>
      </c>
      <c r="P390">
        <v>3</v>
      </c>
      <c r="Q390">
        <v>0.3296703296703297</v>
      </c>
      <c r="R390">
        <v>17</v>
      </c>
      <c r="S390">
        <v>0.08009875865888949</v>
      </c>
      <c r="T390" t="s">
        <v>887</v>
      </c>
      <c r="U390">
        <v>0.180658888317178</v>
      </c>
      <c r="V390" t="s">
        <v>978</v>
      </c>
      <c r="W390" t="s">
        <v>986</v>
      </c>
      <c r="X390">
        <v>5132.707769</v>
      </c>
      <c r="Y390" s="2">
        <v>44867</v>
      </c>
      <c r="Z390" t="s">
        <v>1002</v>
      </c>
    </row>
    <row r="391" spans="1:26">
      <c r="A391" s="1" t="s">
        <v>415</v>
      </c>
      <c r="B391">
        <f>HYPERLINK("https://www.suredividend.com/sure-analysis-HPQ/","HP Inc")</f>
        <v>0</v>
      </c>
      <c r="C391" t="s">
        <v>869</v>
      </c>
      <c r="D391">
        <v>25</v>
      </c>
      <c r="E391">
        <v>28.29</v>
      </c>
      <c r="F391">
        <v>37</v>
      </c>
      <c r="G391">
        <v>0.7645945945945946</v>
      </c>
      <c r="H391">
        <v>0.03534817956875221</v>
      </c>
      <c r="I391">
        <v>0.05514891166605684</v>
      </c>
      <c r="J391">
        <v>0.03</v>
      </c>
      <c r="K391">
        <v>0.1155471092337772</v>
      </c>
      <c r="L391" t="s">
        <v>568</v>
      </c>
      <c r="M391" t="s">
        <v>568</v>
      </c>
      <c r="N391">
        <v>6.967980295566503</v>
      </c>
      <c r="O391">
        <v>4.06</v>
      </c>
      <c r="P391">
        <v>1</v>
      </c>
      <c r="Q391">
        <v>0.2463054187192119</v>
      </c>
      <c r="R391">
        <v>11</v>
      </c>
      <c r="S391">
        <v>0.0602809527753625</v>
      </c>
      <c r="T391" t="s">
        <v>951</v>
      </c>
      <c r="U391">
        <v>-0.07047806801379901</v>
      </c>
      <c r="V391" t="s">
        <v>978</v>
      </c>
      <c r="W391" t="s">
        <v>982</v>
      </c>
      <c r="X391">
        <v>28458.009472</v>
      </c>
      <c r="Y391" s="2">
        <v>44830</v>
      </c>
      <c r="Z391" t="s">
        <v>994</v>
      </c>
    </row>
    <row r="392" spans="1:26">
      <c r="A392" s="1" t="s">
        <v>416</v>
      </c>
      <c r="B392">
        <f>HYPERLINK("https://www.suredividend.com/sure-analysis-WAFD/","Washington Federal Inc.")</f>
        <v>0</v>
      </c>
      <c r="C392" t="s">
        <v>869</v>
      </c>
      <c r="D392">
        <v>37</v>
      </c>
      <c r="E392">
        <v>38.19</v>
      </c>
      <c r="F392">
        <v>42</v>
      </c>
      <c r="G392">
        <v>0.9092857142857143</v>
      </c>
      <c r="H392">
        <v>0.02513747054202671</v>
      </c>
      <c r="I392">
        <v>0.01920120018354332</v>
      </c>
      <c r="J392">
        <v>0.07000000000000001</v>
      </c>
      <c r="K392">
        <v>0.1134700346199957</v>
      </c>
      <c r="L392" t="s">
        <v>568</v>
      </c>
      <c r="M392" t="s">
        <v>586</v>
      </c>
      <c r="N392">
        <v>10.91142857142857</v>
      </c>
      <c r="O392">
        <v>3.5</v>
      </c>
      <c r="P392">
        <v>0.96</v>
      </c>
      <c r="Q392">
        <v>0.2742857142857143</v>
      </c>
      <c r="R392">
        <v>12</v>
      </c>
      <c r="S392">
        <v>0.1005558662160053</v>
      </c>
      <c r="T392" t="s">
        <v>895</v>
      </c>
      <c r="U392">
        <v>0.094677100352566</v>
      </c>
      <c r="V392" t="s">
        <v>978</v>
      </c>
      <c r="W392" t="s">
        <v>986</v>
      </c>
      <c r="X392">
        <v>2494.733719</v>
      </c>
      <c r="Y392" s="2">
        <v>44852</v>
      </c>
      <c r="Z392" t="s">
        <v>1002</v>
      </c>
    </row>
    <row r="393" spans="1:26">
      <c r="A393" s="1" t="s">
        <v>417</v>
      </c>
      <c r="B393">
        <f>HYPERLINK("https://www.suredividend.com/sure-analysis-BWA/","BorgWarner Inc")</f>
        <v>0</v>
      </c>
      <c r="C393" t="s">
        <v>869</v>
      </c>
      <c r="D393">
        <v>38</v>
      </c>
      <c r="E393">
        <v>37.94</v>
      </c>
      <c r="F393">
        <v>48</v>
      </c>
      <c r="G393">
        <v>0.7904166666666667</v>
      </c>
      <c r="H393">
        <v>0.01792303637322088</v>
      </c>
      <c r="I393">
        <v>0.04816289636228288</v>
      </c>
      <c r="J393">
        <v>0.05</v>
      </c>
      <c r="K393">
        <v>0.1125248229276585</v>
      </c>
      <c r="L393" t="s">
        <v>568</v>
      </c>
      <c r="M393" t="s">
        <v>586</v>
      </c>
      <c r="N393">
        <v>8.72183908045977</v>
      </c>
      <c r="O393">
        <v>4.35</v>
      </c>
      <c r="P393">
        <v>0.68</v>
      </c>
      <c r="Q393">
        <v>0.1563218390804598</v>
      </c>
      <c r="R393">
        <v>0</v>
      </c>
      <c r="S393">
        <v>0</v>
      </c>
      <c r="T393" t="s">
        <v>874</v>
      </c>
      <c r="U393">
        <v>-0.175233528039668</v>
      </c>
      <c r="V393" t="s">
        <v>978</v>
      </c>
      <c r="W393" t="s">
        <v>984</v>
      </c>
      <c r="X393">
        <v>8883.800104</v>
      </c>
      <c r="Y393" s="2">
        <v>44864</v>
      </c>
      <c r="Z393" t="s">
        <v>993</v>
      </c>
    </row>
    <row r="394" spans="1:26">
      <c r="A394" s="1" t="s">
        <v>418</v>
      </c>
      <c r="B394">
        <f>HYPERLINK("https://www.suredividend.com/sure-analysis-EQNR/","Equinor ASA")</f>
        <v>0</v>
      </c>
      <c r="C394" t="s">
        <v>869</v>
      </c>
      <c r="D394">
        <v>37</v>
      </c>
      <c r="E394">
        <v>37.98</v>
      </c>
      <c r="F394">
        <v>84</v>
      </c>
      <c r="G394">
        <v>0.4521428571428571</v>
      </c>
      <c r="H394">
        <v>0.02106371774618221</v>
      </c>
      <c r="I394">
        <v>0.1720465615982629</v>
      </c>
      <c r="J394">
        <v>-0.07000000000000001</v>
      </c>
      <c r="K394">
        <v>0.1122271052379733</v>
      </c>
      <c r="L394" t="s">
        <v>568</v>
      </c>
      <c r="M394" t="s">
        <v>586</v>
      </c>
      <c r="N394">
        <v>5.425714285714285</v>
      </c>
      <c r="O394">
        <v>7</v>
      </c>
      <c r="P394">
        <v>0.8</v>
      </c>
      <c r="Q394">
        <v>0.1142857142857143</v>
      </c>
      <c r="R394">
        <v>1</v>
      </c>
      <c r="S394">
        <v>0.1501306516611158</v>
      </c>
      <c r="T394" t="s">
        <v>913</v>
      </c>
      <c r="U394">
        <v>0.502064448768449</v>
      </c>
      <c r="V394" t="s">
        <v>978</v>
      </c>
      <c r="W394" t="s">
        <v>991</v>
      </c>
      <c r="X394">
        <v>120604.356639</v>
      </c>
      <c r="Y394" s="2">
        <v>44864</v>
      </c>
      <c r="Z394" t="s">
        <v>1000</v>
      </c>
    </row>
    <row r="395" spans="1:26">
      <c r="A395" s="1" t="s">
        <v>419</v>
      </c>
      <c r="B395">
        <f>HYPERLINK("https://www.suredividend.com/sure-analysis-NAVI/","Navient Corp")</f>
        <v>0</v>
      </c>
      <c r="C395" t="s">
        <v>869</v>
      </c>
      <c r="D395">
        <v>16</v>
      </c>
      <c r="E395">
        <v>14.92</v>
      </c>
      <c r="F395">
        <v>20</v>
      </c>
      <c r="G395">
        <v>0.746</v>
      </c>
      <c r="H395">
        <v>0.04289544235924933</v>
      </c>
      <c r="I395">
        <v>0.06035730949780627</v>
      </c>
      <c r="J395">
        <v>0.02</v>
      </c>
      <c r="K395">
        <v>0.1112383007798503</v>
      </c>
      <c r="L395" t="s">
        <v>568</v>
      </c>
      <c r="M395" t="s">
        <v>873</v>
      </c>
      <c r="N395">
        <v>4.388235294117647</v>
      </c>
      <c r="O395">
        <v>3.4</v>
      </c>
      <c r="P395">
        <v>0.64</v>
      </c>
      <c r="Q395">
        <v>0.1882352941176471</v>
      </c>
      <c r="R395">
        <v>0</v>
      </c>
      <c r="S395">
        <v>0</v>
      </c>
      <c r="T395" t="s">
        <v>889</v>
      </c>
      <c r="U395">
        <v>-0.19859055067357</v>
      </c>
      <c r="V395" t="s">
        <v>978</v>
      </c>
      <c r="W395" t="s">
        <v>986</v>
      </c>
      <c r="X395">
        <v>2023.363461</v>
      </c>
      <c r="Y395" s="2">
        <v>44778</v>
      </c>
      <c r="Z395" t="s">
        <v>994</v>
      </c>
    </row>
    <row r="396" spans="1:26">
      <c r="A396" s="1" t="s">
        <v>420</v>
      </c>
      <c r="B396">
        <f>HYPERLINK("https://www.suredividend.com/sure-analysis-MSM/","MSC Industrial Direct Co., Inc.")</f>
        <v>0</v>
      </c>
      <c r="C396" t="s">
        <v>869</v>
      </c>
      <c r="D396">
        <v>80</v>
      </c>
      <c r="E396">
        <v>82.56999999999999</v>
      </c>
      <c r="F396">
        <v>95</v>
      </c>
      <c r="G396">
        <v>0.869157894736842</v>
      </c>
      <c r="H396">
        <v>0.03827055831415769</v>
      </c>
      <c r="I396">
        <v>0.02844308903689408</v>
      </c>
      <c r="J396">
        <v>0.05</v>
      </c>
      <c r="K396">
        <v>0.1106963125658487</v>
      </c>
      <c r="L396" t="s">
        <v>568</v>
      </c>
      <c r="M396" t="s">
        <v>873</v>
      </c>
      <c r="N396">
        <v>13.4260162601626</v>
      </c>
      <c r="O396">
        <v>6.15</v>
      </c>
      <c r="P396">
        <v>3.16</v>
      </c>
      <c r="Q396">
        <v>0.5138211382113821</v>
      </c>
      <c r="R396">
        <v>1</v>
      </c>
      <c r="S396">
        <v>0.04984115279430545</v>
      </c>
      <c r="T396" t="s">
        <v>952</v>
      </c>
      <c r="U396">
        <v>0.009349038936400001</v>
      </c>
      <c r="V396" t="s">
        <v>978</v>
      </c>
      <c r="W396" t="s">
        <v>984</v>
      </c>
      <c r="X396">
        <v>3898.921216</v>
      </c>
      <c r="Y396" s="2">
        <v>44861</v>
      </c>
      <c r="Z396" t="s">
        <v>998</v>
      </c>
    </row>
    <row r="397" spans="1:26">
      <c r="A397" s="1" t="s">
        <v>421</v>
      </c>
      <c r="B397">
        <f>HYPERLINK("https://www.suredividend.com/sure-analysis-AVB/","Avalonbay Communities Inc.")</f>
        <v>0</v>
      </c>
      <c r="C397" t="s">
        <v>870</v>
      </c>
      <c r="D397">
        <v>214</v>
      </c>
      <c r="E397">
        <v>167.29</v>
      </c>
      <c r="F397">
        <v>175</v>
      </c>
      <c r="G397">
        <v>0.9559428571428571</v>
      </c>
      <c r="H397">
        <v>0.03801781337796641</v>
      </c>
      <c r="I397">
        <v>0.009052153273099162</v>
      </c>
      <c r="J397">
        <v>0.068</v>
      </c>
      <c r="K397">
        <v>0.1099475366857887</v>
      </c>
      <c r="L397" t="s">
        <v>568</v>
      </c>
      <c r="M397" t="s">
        <v>873</v>
      </c>
      <c r="N397">
        <v>17.24639175257732</v>
      </c>
      <c r="O397">
        <v>9.699999999999999</v>
      </c>
      <c r="P397">
        <v>6.36</v>
      </c>
      <c r="Q397">
        <v>0.6556701030927836</v>
      </c>
      <c r="R397">
        <v>10</v>
      </c>
      <c r="S397">
        <v>0.06588459987138284</v>
      </c>
      <c r="T397" t="s">
        <v>886</v>
      </c>
      <c r="U397">
        <v>-0.263050685584445</v>
      </c>
      <c r="V397" t="s">
        <v>980</v>
      </c>
      <c r="W397" t="s">
        <v>992</v>
      </c>
      <c r="X397">
        <v>23392.314941</v>
      </c>
      <c r="Y397" s="2">
        <v>44773</v>
      </c>
      <c r="Z397" t="s">
        <v>999</v>
      </c>
    </row>
    <row r="398" spans="1:26">
      <c r="A398" s="1" t="s">
        <v>422</v>
      </c>
      <c r="B398">
        <f>HYPERLINK("https://www.suredividend.com/sure-analysis-JBL/","Jabil Inc")</f>
        <v>0</v>
      </c>
      <c r="C398" t="s">
        <v>869</v>
      </c>
      <c r="D398">
        <v>61</v>
      </c>
      <c r="E398">
        <v>63.98</v>
      </c>
      <c r="F398">
        <v>83</v>
      </c>
      <c r="G398">
        <v>0.7708433734939759</v>
      </c>
      <c r="H398">
        <v>0.005001562988433886</v>
      </c>
      <c r="I398">
        <v>0.05343264177741291</v>
      </c>
      <c r="J398">
        <v>0.05</v>
      </c>
      <c r="K398">
        <v>0.109425613752187</v>
      </c>
      <c r="L398" t="s">
        <v>568</v>
      </c>
      <c r="M398" t="s">
        <v>637</v>
      </c>
      <c r="N398">
        <v>7.717732207478891</v>
      </c>
      <c r="O398">
        <v>8.289999999999999</v>
      </c>
      <c r="P398">
        <v>0.32</v>
      </c>
      <c r="Q398">
        <v>0.03860072376357057</v>
      </c>
      <c r="R398">
        <v>0</v>
      </c>
      <c r="S398">
        <v>0</v>
      </c>
      <c r="T398" t="s">
        <v>905</v>
      </c>
      <c r="U398">
        <v>0.006397339763705</v>
      </c>
      <c r="V398" t="s">
        <v>978</v>
      </c>
      <c r="W398" t="s">
        <v>982</v>
      </c>
      <c r="X398">
        <v>8614.175773000001</v>
      </c>
      <c r="Y398" s="2">
        <v>44854</v>
      </c>
      <c r="Z398" t="s">
        <v>998</v>
      </c>
    </row>
    <row r="399" spans="1:26">
      <c r="A399" s="1" t="s">
        <v>423</v>
      </c>
      <c r="B399">
        <f>HYPERLINK("https://www.suredividend.com/sure-analysis-SYF/","Synchrony Financial")</f>
        <v>0</v>
      </c>
      <c r="C399" t="s">
        <v>869</v>
      </c>
      <c r="D399">
        <v>35</v>
      </c>
      <c r="E399">
        <v>35.02</v>
      </c>
      <c r="F399">
        <v>46</v>
      </c>
      <c r="G399">
        <v>0.761304347826087</v>
      </c>
      <c r="H399">
        <v>0.02627070245573957</v>
      </c>
      <c r="I399">
        <v>0.05605937911555969</v>
      </c>
      <c r="J399">
        <v>0.03</v>
      </c>
      <c r="K399">
        <v>0.1086493709175651</v>
      </c>
      <c r="L399" t="s">
        <v>568</v>
      </c>
      <c r="M399" t="s">
        <v>586</v>
      </c>
      <c r="N399">
        <v>6.037931034482759</v>
      </c>
      <c r="O399">
        <v>5.8</v>
      </c>
      <c r="P399">
        <v>0.92</v>
      </c>
      <c r="Q399">
        <v>0.1586206896551724</v>
      </c>
      <c r="R399">
        <v>1</v>
      </c>
      <c r="S399">
        <v>0.04925151964895069</v>
      </c>
      <c r="T399" t="s">
        <v>930</v>
      </c>
      <c r="U399">
        <v>-0.252342035371779</v>
      </c>
      <c r="V399" t="s">
        <v>978</v>
      </c>
      <c r="W399" t="s">
        <v>986</v>
      </c>
      <c r="X399">
        <v>15777.960809</v>
      </c>
      <c r="Y399" s="2">
        <v>44859</v>
      </c>
      <c r="Z399" t="s">
        <v>994</v>
      </c>
    </row>
    <row r="400" spans="1:26">
      <c r="A400" s="1" t="s">
        <v>424</v>
      </c>
      <c r="B400">
        <f>HYPERLINK("https://www.suredividend.com/sure-analysis-LRCX/","Lam Research Corp.")</f>
        <v>0</v>
      </c>
      <c r="C400" t="s">
        <v>869</v>
      </c>
      <c r="D400">
        <v>406</v>
      </c>
      <c r="E400">
        <v>419.54</v>
      </c>
      <c r="F400">
        <v>450</v>
      </c>
      <c r="G400">
        <v>0.9323111111111112</v>
      </c>
      <c r="H400">
        <v>0.01537398102683892</v>
      </c>
      <c r="I400">
        <v>0.01411645119112204</v>
      </c>
      <c r="J400">
        <v>0.08</v>
      </c>
      <c r="K400">
        <v>0.1084641869421168</v>
      </c>
      <c r="L400" t="s">
        <v>568</v>
      </c>
      <c r="M400" t="s">
        <v>637</v>
      </c>
      <c r="N400">
        <v>12.10793650793651</v>
      </c>
      <c r="O400">
        <v>34.65</v>
      </c>
      <c r="P400">
        <v>6.45</v>
      </c>
      <c r="Q400">
        <v>0.1861471861471862</v>
      </c>
      <c r="R400">
        <v>9</v>
      </c>
      <c r="S400">
        <v>0.0800645815630181</v>
      </c>
      <c r="T400" t="s">
        <v>951</v>
      </c>
      <c r="U400">
        <v>-0.2903841590281</v>
      </c>
      <c r="V400" t="s">
        <v>978</v>
      </c>
      <c r="W400" t="s">
        <v>982</v>
      </c>
      <c r="X400">
        <v>57216.586625</v>
      </c>
      <c r="Y400" s="2">
        <v>44867</v>
      </c>
      <c r="Z400" t="s">
        <v>997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869</v>
      </c>
      <c r="D401">
        <v>46</v>
      </c>
      <c r="E401">
        <v>46.28</v>
      </c>
      <c r="F401">
        <v>50</v>
      </c>
      <c r="G401">
        <v>0.9256</v>
      </c>
      <c r="H401">
        <v>0.03889369057908384</v>
      </c>
      <c r="I401">
        <v>0.01558278549448855</v>
      </c>
      <c r="J401">
        <v>0.06</v>
      </c>
      <c r="K401">
        <v>0.1082231309691422</v>
      </c>
      <c r="L401" t="s">
        <v>568</v>
      </c>
      <c r="M401" t="s">
        <v>873</v>
      </c>
      <c r="N401">
        <v>16.82909090909091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942</v>
      </c>
      <c r="U401">
        <v>-0.099079807746589</v>
      </c>
      <c r="V401" t="s">
        <v>978</v>
      </c>
      <c r="W401" t="s">
        <v>990</v>
      </c>
      <c r="X401">
        <v>117381.472682</v>
      </c>
      <c r="Y401" s="2">
        <v>44865</v>
      </c>
      <c r="Z401" t="s">
        <v>996</v>
      </c>
    </row>
    <row r="402" spans="1:26">
      <c r="A402" s="1" t="s">
        <v>426</v>
      </c>
      <c r="B402">
        <f>HYPERLINK("https://www.suredividend.com/sure-analysis-PHM/","PulteGroup Inc")</f>
        <v>0</v>
      </c>
      <c r="C402" t="s">
        <v>870</v>
      </c>
      <c r="D402">
        <v>42</v>
      </c>
      <c r="E402">
        <v>38.26</v>
      </c>
      <c r="F402">
        <v>78</v>
      </c>
      <c r="G402">
        <v>0.4905128205128205</v>
      </c>
      <c r="H402">
        <v>0.01568217459487716</v>
      </c>
      <c r="I402">
        <v>0.1531078465730407</v>
      </c>
      <c r="J402">
        <v>-0.05</v>
      </c>
      <c r="K402">
        <v>0.1078486248867832</v>
      </c>
      <c r="L402" t="s">
        <v>568</v>
      </c>
      <c r="M402" t="s">
        <v>586</v>
      </c>
      <c r="N402">
        <v>3.416071428571429</v>
      </c>
      <c r="O402">
        <v>11.2</v>
      </c>
      <c r="P402">
        <v>0.6</v>
      </c>
      <c r="Q402">
        <v>0.05357142857142858</v>
      </c>
      <c r="R402">
        <v>4</v>
      </c>
      <c r="S402">
        <v>0.05115774595007161</v>
      </c>
      <c r="T402" t="s">
        <v>943</v>
      </c>
      <c r="U402">
        <v>-0.210147111648781</v>
      </c>
      <c r="V402" t="s">
        <v>978</v>
      </c>
      <c r="W402" t="s">
        <v>983</v>
      </c>
      <c r="X402">
        <v>8716.38264</v>
      </c>
      <c r="Y402" s="2">
        <v>44769</v>
      </c>
      <c r="Z402" t="s">
        <v>998</v>
      </c>
    </row>
    <row r="403" spans="1:26">
      <c r="A403" s="1" t="s">
        <v>427</v>
      </c>
      <c r="B403">
        <f>HYPERLINK("https://www.suredividend.com/sure-analysis-KLIC/","Kulicke &amp; Soffa Industries, Inc.")</f>
        <v>0</v>
      </c>
      <c r="C403" t="s">
        <v>870</v>
      </c>
      <c r="D403">
        <v>47</v>
      </c>
      <c r="E403">
        <v>42.46</v>
      </c>
      <c r="F403">
        <v>58</v>
      </c>
      <c r="G403">
        <v>0.7320689655172414</v>
      </c>
      <c r="H403">
        <v>0.01601507300989167</v>
      </c>
      <c r="I403">
        <v>0.06436258777757131</v>
      </c>
      <c r="J403">
        <v>0.03</v>
      </c>
      <c r="K403">
        <v>0.1078119126221373</v>
      </c>
      <c r="L403" t="s">
        <v>568</v>
      </c>
      <c r="M403" t="s">
        <v>586</v>
      </c>
      <c r="N403">
        <v>5.8646408839779</v>
      </c>
      <c r="O403">
        <v>7.24</v>
      </c>
      <c r="P403">
        <v>0.68</v>
      </c>
      <c r="Q403">
        <v>0.09392265193370167</v>
      </c>
      <c r="R403">
        <v>2</v>
      </c>
      <c r="S403">
        <v>0.01978934521903875</v>
      </c>
      <c r="T403" t="s">
        <v>943</v>
      </c>
      <c r="U403">
        <v>-0.240960258566905</v>
      </c>
      <c r="V403" t="s">
        <v>978</v>
      </c>
      <c r="W403" t="s">
        <v>982</v>
      </c>
      <c r="X403">
        <v>2465.564945</v>
      </c>
      <c r="Y403" s="2">
        <v>44791</v>
      </c>
      <c r="Z403" t="s">
        <v>993</v>
      </c>
    </row>
    <row r="404" spans="1:26">
      <c r="A404" s="1" t="s">
        <v>428</v>
      </c>
      <c r="B404">
        <f>HYPERLINK("https://www.suredividend.com/sure-analysis-DOX/","Amdocs Ltd")</f>
        <v>0</v>
      </c>
      <c r="C404" t="s">
        <v>870</v>
      </c>
      <c r="D404">
        <v>88</v>
      </c>
      <c r="E404">
        <v>81.59999999999999</v>
      </c>
      <c r="F404">
        <v>95</v>
      </c>
      <c r="G404">
        <v>0.8589473684210526</v>
      </c>
      <c r="H404">
        <v>0.01936274509803922</v>
      </c>
      <c r="I404">
        <v>0.03087661822216048</v>
      </c>
      <c r="J404">
        <v>0.06</v>
      </c>
      <c r="K404">
        <v>0.107186164691039</v>
      </c>
      <c r="L404" t="s">
        <v>568</v>
      </c>
      <c r="M404" t="s">
        <v>586</v>
      </c>
      <c r="N404">
        <v>15.39622641509434</v>
      </c>
      <c r="O404">
        <v>5.3</v>
      </c>
      <c r="P404">
        <v>1.58</v>
      </c>
      <c r="Q404">
        <v>0.2981132075471699</v>
      </c>
      <c r="R404">
        <v>10</v>
      </c>
      <c r="S404">
        <v>0.02981402116536103</v>
      </c>
      <c r="T404" t="s">
        <v>886</v>
      </c>
      <c r="U404">
        <v>0.107448268187055</v>
      </c>
      <c r="V404" t="s">
        <v>978</v>
      </c>
      <c r="W404" t="s">
        <v>985</v>
      </c>
      <c r="X404">
        <v>10698.590851</v>
      </c>
      <c r="Y404" s="2">
        <v>44783</v>
      </c>
      <c r="Z404" t="s">
        <v>995</v>
      </c>
    </row>
    <row r="405" spans="1:26">
      <c r="A405" s="1" t="s">
        <v>429</v>
      </c>
      <c r="B405">
        <f>HYPERLINK("https://www.suredividend.com/sure-analysis-CCI/","Crown Castle Inc")</f>
        <v>0</v>
      </c>
      <c r="C405" t="s">
        <v>869</v>
      </c>
      <c r="D405">
        <v>133</v>
      </c>
      <c r="E405">
        <v>130.05</v>
      </c>
      <c r="F405">
        <v>163</v>
      </c>
      <c r="G405">
        <v>0.7978527607361964</v>
      </c>
      <c r="H405">
        <v>0.0481353325643983</v>
      </c>
      <c r="I405">
        <v>0.04620176789959629</v>
      </c>
      <c r="J405">
        <v>0.02</v>
      </c>
      <c r="K405">
        <v>0.1060170882727891</v>
      </c>
      <c r="L405" t="s">
        <v>568</v>
      </c>
      <c r="M405" t="s">
        <v>873</v>
      </c>
      <c r="N405">
        <v>16.78064516129032</v>
      </c>
      <c r="O405">
        <v>7.75</v>
      </c>
      <c r="P405">
        <v>6.26</v>
      </c>
      <c r="Q405">
        <v>0.807741935483871</v>
      </c>
      <c r="R405">
        <v>8</v>
      </c>
      <c r="S405">
        <v>0.04010246976235976</v>
      </c>
      <c r="T405" t="s">
        <v>883</v>
      </c>
      <c r="U405">
        <v>-0.257180163368957</v>
      </c>
      <c r="V405" t="s">
        <v>980</v>
      </c>
      <c r="W405" t="s">
        <v>992</v>
      </c>
      <c r="X405">
        <v>56316.756283</v>
      </c>
      <c r="Y405" s="2">
        <v>44864</v>
      </c>
      <c r="Z405" t="s">
        <v>1001</v>
      </c>
    </row>
    <row r="406" spans="1:26">
      <c r="A406" s="1" t="s">
        <v>430</v>
      </c>
      <c r="B406">
        <f>HYPERLINK("https://www.suredividend.com/sure-analysis-O/","Realty Income Corp.")</f>
        <v>0</v>
      </c>
      <c r="C406" t="s">
        <v>870</v>
      </c>
      <c r="D406">
        <v>73</v>
      </c>
      <c r="E406">
        <v>63.01</v>
      </c>
      <c r="F406">
        <v>72</v>
      </c>
      <c r="G406">
        <v>0.8751388888888889</v>
      </c>
      <c r="H406">
        <v>0.04729408030471354</v>
      </c>
      <c r="I406">
        <v>0.02703348492164825</v>
      </c>
      <c r="J406">
        <v>0.04</v>
      </c>
      <c r="K406">
        <v>0.1056510074261703</v>
      </c>
      <c r="L406" t="s">
        <v>568</v>
      </c>
      <c r="M406" t="s">
        <v>873</v>
      </c>
      <c r="N406">
        <v>15.7525</v>
      </c>
      <c r="O406">
        <v>4</v>
      </c>
      <c r="P406">
        <v>2.98</v>
      </c>
      <c r="Q406">
        <v>0.745</v>
      </c>
      <c r="R406">
        <v>26</v>
      </c>
      <c r="S406">
        <v>0.03445520286000825</v>
      </c>
      <c r="T406" t="s">
        <v>930</v>
      </c>
      <c r="U406">
        <v>-0.08001571025386001</v>
      </c>
      <c r="V406" t="s">
        <v>980</v>
      </c>
      <c r="W406" t="s">
        <v>992</v>
      </c>
      <c r="X406">
        <v>39516.964782</v>
      </c>
      <c r="Y406" s="2">
        <v>44792</v>
      </c>
      <c r="Z406" t="s">
        <v>994</v>
      </c>
    </row>
    <row r="407" spans="1:26">
      <c r="A407" s="1" t="s">
        <v>431</v>
      </c>
      <c r="B407">
        <f>HYPERLINK("https://www.suredividend.com/sure-analysis-AON/","Aon plc.")</f>
        <v>0</v>
      </c>
      <c r="C407" t="s">
        <v>870</v>
      </c>
      <c r="D407">
        <v>288</v>
      </c>
      <c r="E407">
        <v>279.71</v>
      </c>
      <c r="F407">
        <v>277</v>
      </c>
      <c r="G407">
        <v>1.009783393501805</v>
      </c>
      <c r="H407">
        <v>0.008008294304815703</v>
      </c>
      <c r="I407">
        <v>-0.001945274690609011</v>
      </c>
      <c r="J407">
        <v>0.1</v>
      </c>
      <c r="K407">
        <v>0.1053723043840888</v>
      </c>
      <c r="L407" t="s">
        <v>568</v>
      </c>
      <c r="M407" t="s">
        <v>637</v>
      </c>
      <c r="N407">
        <v>21.19015151515152</v>
      </c>
      <c r="O407">
        <v>13.2</v>
      </c>
      <c r="P407">
        <v>2.24</v>
      </c>
      <c r="Q407">
        <v>0.1696969696969697</v>
      </c>
      <c r="R407">
        <v>11</v>
      </c>
      <c r="S407">
        <v>0.1097334231073244</v>
      </c>
      <c r="T407" t="s">
        <v>930</v>
      </c>
      <c r="U407">
        <v>-0.028216836436014</v>
      </c>
      <c r="V407" t="s">
        <v>978</v>
      </c>
      <c r="W407" t="s">
        <v>986</v>
      </c>
      <c r="X407">
        <v>57858.834729</v>
      </c>
      <c r="Y407" s="2">
        <v>44781</v>
      </c>
      <c r="Z407" t="s">
        <v>1001</v>
      </c>
    </row>
    <row r="408" spans="1:26">
      <c r="A408" s="1" t="s">
        <v>432</v>
      </c>
      <c r="B408">
        <f>HYPERLINK("https://www.suredividend.com/sure-analysis-SAN/","Banco Santander S.A.")</f>
        <v>0</v>
      </c>
      <c r="C408" t="s">
        <v>869</v>
      </c>
      <c r="D408">
        <v>2.47</v>
      </c>
      <c r="E408">
        <v>2.69</v>
      </c>
      <c r="F408">
        <v>3.92</v>
      </c>
      <c r="G408">
        <v>0.6862244897959183</v>
      </c>
      <c r="H408">
        <v>0.03345724907063197</v>
      </c>
      <c r="I408">
        <v>0.07821844600585948</v>
      </c>
      <c r="J408">
        <v>0</v>
      </c>
      <c r="K408">
        <v>0.1033969037716811</v>
      </c>
      <c r="L408" t="s">
        <v>568</v>
      </c>
      <c r="M408" t="s">
        <v>568</v>
      </c>
      <c r="N408">
        <v>4.803571428571428</v>
      </c>
      <c r="O408">
        <v>0.5600000000000001</v>
      </c>
      <c r="P408">
        <v>0.09</v>
      </c>
      <c r="Q408">
        <v>0.1607142857142857</v>
      </c>
      <c r="R408">
        <v>1</v>
      </c>
      <c r="S408">
        <v>0.02129568760013512</v>
      </c>
      <c r="T408" t="s">
        <v>930</v>
      </c>
      <c r="U408">
        <v>-0.248959991065695</v>
      </c>
      <c r="V408" t="s">
        <v>978</v>
      </c>
      <c r="W408" t="s">
        <v>986</v>
      </c>
      <c r="X408">
        <v>45176.940261</v>
      </c>
      <c r="Y408" s="2">
        <v>44773</v>
      </c>
      <c r="Z408" t="s">
        <v>1001</v>
      </c>
    </row>
    <row r="409" spans="1:26">
      <c r="A409" s="1" t="s">
        <v>433</v>
      </c>
      <c r="B409">
        <f>HYPERLINK("https://www.suredividend.com/sure-analysis-LEN/","Lennar Corp.")</f>
        <v>0</v>
      </c>
      <c r="C409" t="s">
        <v>869</v>
      </c>
      <c r="D409">
        <v>77</v>
      </c>
      <c r="E409">
        <v>79.61</v>
      </c>
      <c r="F409">
        <v>110</v>
      </c>
      <c r="G409">
        <v>0.7237272727272728</v>
      </c>
      <c r="H409">
        <v>0.01884185403843738</v>
      </c>
      <c r="I409">
        <v>0.066804925653841</v>
      </c>
      <c r="J409">
        <v>0.02</v>
      </c>
      <c r="K409">
        <v>0.102853201951485</v>
      </c>
      <c r="L409" t="s">
        <v>568</v>
      </c>
      <c r="M409" t="s">
        <v>586</v>
      </c>
      <c r="N409">
        <v>4.682941176470588</v>
      </c>
      <c r="O409">
        <v>17</v>
      </c>
      <c r="P409">
        <v>1.5</v>
      </c>
      <c r="Q409">
        <v>0.08823529411764706</v>
      </c>
      <c r="R409">
        <v>3</v>
      </c>
      <c r="S409">
        <v>0.03943186329943948</v>
      </c>
      <c r="T409" t="s">
        <v>953</v>
      </c>
      <c r="U409">
        <v>-0.200323044980196</v>
      </c>
      <c r="V409" t="s">
        <v>978</v>
      </c>
      <c r="W409" t="s">
        <v>992</v>
      </c>
      <c r="X409">
        <v>22647.252318</v>
      </c>
      <c r="Y409" s="2">
        <v>44828</v>
      </c>
      <c r="Z409" t="s">
        <v>1003</v>
      </c>
    </row>
    <row r="410" spans="1:26">
      <c r="A410" s="1" t="s">
        <v>434</v>
      </c>
      <c r="B410">
        <f>HYPERLINK("https://www.suredividend.com/sure-analysis-BTI/","British American Tobacco Plc")</f>
        <v>0</v>
      </c>
      <c r="C410" t="s">
        <v>869</v>
      </c>
      <c r="D410">
        <v>38</v>
      </c>
      <c r="E410">
        <v>38.43</v>
      </c>
      <c r="F410">
        <v>41</v>
      </c>
      <c r="G410">
        <v>0.9373170731707317</v>
      </c>
      <c r="H410">
        <v>0.07311995836586001</v>
      </c>
      <c r="I410">
        <v>0.0130309042234289</v>
      </c>
      <c r="J410">
        <v>0.03</v>
      </c>
      <c r="K410">
        <v>0.1027588290434205</v>
      </c>
      <c r="L410" t="s">
        <v>568</v>
      </c>
      <c r="M410" t="s">
        <v>872</v>
      </c>
      <c r="N410">
        <v>8.937209302325583</v>
      </c>
      <c r="O410">
        <v>4.3</v>
      </c>
      <c r="P410">
        <v>2.81</v>
      </c>
      <c r="Q410">
        <v>0.6534883720930232</v>
      </c>
      <c r="R410">
        <v>0</v>
      </c>
      <c r="S410">
        <v>0.0250478994705523</v>
      </c>
      <c r="T410" t="s">
        <v>886</v>
      </c>
      <c r="U410">
        <v>0.209129351355433</v>
      </c>
      <c r="V410" t="s">
        <v>978</v>
      </c>
      <c r="W410" t="s">
        <v>990</v>
      </c>
      <c r="X410">
        <v>86197.501542</v>
      </c>
      <c r="Y410" s="2">
        <v>44858</v>
      </c>
      <c r="Z410" t="s">
        <v>994</v>
      </c>
    </row>
    <row r="411" spans="1:26">
      <c r="A411" s="1" t="s">
        <v>435</v>
      </c>
      <c r="B411">
        <f>HYPERLINK("https://www.suredividend.com/sure-analysis-JPM/","JPMorgan Chase &amp; Co.")</f>
        <v>0</v>
      </c>
      <c r="C411" t="s">
        <v>869</v>
      </c>
      <c r="D411">
        <v>111</v>
      </c>
      <c r="E411">
        <v>130.68</v>
      </c>
      <c r="F411">
        <v>139</v>
      </c>
      <c r="G411">
        <v>0.9401438848920863</v>
      </c>
      <c r="H411">
        <v>0.03060912151821243</v>
      </c>
      <c r="I411">
        <v>0.01242097673097153</v>
      </c>
      <c r="J411">
        <v>0.06</v>
      </c>
      <c r="K411">
        <v>0.09871468598809718</v>
      </c>
      <c r="L411" t="s">
        <v>568</v>
      </c>
      <c r="M411" t="s">
        <v>586</v>
      </c>
      <c r="N411">
        <v>11.26551724137931</v>
      </c>
      <c r="O411">
        <v>11.6</v>
      </c>
      <c r="P411">
        <v>4</v>
      </c>
      <c r="Q411">
        <v>0.3448275862068966</v>
      </c>
      <c r="R411">
        <v>11</v>
      </c>
      <c r="S411">
        <v>0.05020040579475671</v>
      </c>
      <c r="T411" t="s">
        <v>893</v>
      </c>
      <c r="U411">
        <v>-0.205997670489033</v>
      </c>
      <c r="V411" t="s">
        <v>978</v>
      </c>
      <c r="W411" t="s">
        <v>986</v>
      </c>
      <c r="X411">
        <v>383311.214764</v>
      </c>
      <c r="Y411" s="2">
        <v>44851</v>
      </c>
      <c r="Z411" t="s">
        <v>1001</v>
      </c>
    </row>
    <row r="412" spans="1:26">
      <c r="A412" s="1" t="s">
        <v>436</v>
      </c>
      <c r="B412">
        <f>HYPERLINK("https://www.suredividend.com/sure-analysis-TEL/","TE Connectivity Ltd")</f>
        <v>0</v>
      </c>
      <c r="C412" t="s">
        <v>870</v>
      </c>
      <c r="D412">
        <v>133</v>
      </c>
      <c r="E412">
        <v>116.68</v>
      </c>
      <c r="F412">
        <v>130</v>
      </c>
      <c r="G412">
        <v>0.8975384615384616</v>
      </c>
      <c r="H412">
        <v>0.01919780596503257</v>
      </c>
      <c r="I412">
        <v>0.02185526368430701</v>
      </c>
      <c r="J412">
        <v>0.06</v>
      </c>
      <c r="K412">
        <v>0.09845763697914944</v>
      </c>
      <c r="L412" t="s">
        <v>568</v>
      </c>
      <c r="M412" t="s">
        <v>586</v>
      </c>
      <c r="N412">
        <v>16.20555555555556</v>
      </c>
      <c r="O412">
        <v>7.2</v>
      </c>
      <c r="P412">
        <v>2.24</v>
      </c>
      <c r="Q412">
        <v>0.3111111111111111</v>
      </c>
      <c r="R412">
        <v>14</v>
      </c>
      <c r="S412">
        <v>0.0403582746309219</v>
      </c>
      <c r="T412" t="s">
        <v>895</v>
      </c>
      <c r="U412">
        <v>-0.235643086985231</v>
      </c>
      <c r="V412" t="s">
        <v>978</v>
      </c>
      <c r="W412" t="s">
        <v>985</v>
      </c>
      <c r="X412">
        <v>37318.810786</v>
      </c>
      <c r="Y412" s="2">
        <v>44771</v>
      </c>
      <c r="Z412" t="s">
        <v>995</v>
      </c>
    </row>
    <row r="413" spans="1:26">
      <c r="A413" s="1" t="s">
        <v>437</v>
      </c>
      <c r="B413">
        <f>HYPERLINK("https://www.suredividend.com/sure-analysis-DHI/","D.R. Horton Inc.")</f>
        <v>0</v>
      </c>
      <c r="C413" t="s">
        <v>870</v>
      </c>
      <c r="D413">
        <v>78</v>
      </c>
      <c r="E413">
        <v>75.18000000000001</v>
      </c>
      <c r="F413">
        <v>136</v>
      </c>
      <c r="G413">
        <v>0.5527941176470589</v>
      </c>
      <c r="H413">
        <v>0.01197126895450918</v>
      </c>
      <c r="I413">
        <v>0.1258675899634969</v>
      </c>
      <c r="J413">
        <v>-0.035</v>
      </c>
      <c r="K413">
        <v>0.0977670244957467</v>
      </c>
      <c r="L413" t="s">
        <v>568</v>
      </c>
      <c r="M413" t="s">
        <v>586</v>
      </c>
      <c r="N413">
        <v>4.422352941176471</v>
      </c>
      <c r="O413">
        <v>17</v>
      </c>
      <c r="P413">
        <v>0.9</v>
      </c>
      <c r="Q413">
        <v>0.05294117647058823</v>
      </c>
      <c r="R413">
        <v>7</v>
      </c>
      <c r="S413">
        <v>0.100082101138866</v>
      </c>
      <c r="T413" t="s">
        <v>954</v>
      </c>
      <c r="U413">
        <v>-0.156787312553976</v>
      </c>
      <c r="V413" t="s">
        <v>978</v>
      </c>
      <c r="W413" t="s">
        <v>983</v>
      </c>
      <c r="X413">
        <v>26123.658193</v>
      </c>
      <c r="Y413" s="2">
        <v>44769</v>
      </c>
      <c r="Z413" t="s">
        <v>998</v>
      </c>
    </row>
    <row r="414" spans="1:26">
      <c r="A414" s="1" t="s">
        <v>438</v>
      </c>
      <c r="B414">
        <f>HYPERLINK("https://www.suredividend.com/sure-analysis-WGO/","Winnebago Industries, Inc.")</f>
        <v>0</v>
      </c>
      <c r="C414" t="s">
        <v>869</v>
      </c>
      <c r="D414">
        <v>54</v>
      </c>
      <c r="E414">
        <v>57.55</v>
      </c>
      <c r="F414">
        <v>70</v>
      </c>
      <c r="G414">
        <v>0.8221428571428571</v>
      </c>
      <c r="H414">
        <v>0.01876629018245005</v>
      </c>
      <c r="I414">
        <v>0.03994540998470875</v>
      </c>
      <c r="J414">
        <v>0.04</v>
      </c>
      <c r="K414">
        <v>0.09702034335935195</v>
      </c>
      <c r="L414" t="s">
        <v>568</v>
      </c>
      <c r="M414" t="s">
        <v>586</v>
      </c>
      <c r="N414">
        <v>8.186344238975817</v>
      </c>
      <c r="O414">
        <v>7.03</v>
      </c>
      <c r="P414">
        <v>1.08</v>
      </c>
      <c r="Q414">
        <v>0.1536273115220484</v>
      </c>
      <c r="R414">
        <v>4</v>
      </c>
      <c r="S414">
        <v>0.05024607263868264</v>
      </c>
      <c r="T414" t="s">
        <v>951</v>
      </c>
      <c r="U414">
        <v>-0.19329290686493</v>
      </c>
      <c r="V414" t="s">
        <v>978</v>
      </c>
      <c r="W414" t="s">
        <v>983</v>
      </c>
      <c r="X414">
        <v>1754.7944</v>
      </c>
      <c r="Y414" s="2">
        <v>44853</v>
      </c>
      <c r="Z414" t="s">
        <v>1009</v>
      </c>
    </row>
    <row r="415" spans="1:26">
      <c r="A415" s="1" t="s">
        <v>439</v>
      </c>
      <c r="B415">
        <f>HYPERLINK("https://www.suredividend.com/sure-analysis-WOR/","Worthington Industries, Inc.")</f>
        <v>0</v>
      </c>
      <c r="C415" t="s">
        <v>869</v>
      </c>
      <c r="D415">
        <v>46</v>
      </c>
      <c r="E415">
        <v>50.6</v>
      </c>
      <c r="F415">
        <v>57</v>
      </c>
      <c r="G415">
        <v>0.887719298245614</v>
      </c>
      <c r="H415">
        <v>0.02450592885375494</v>
      </c>
      <c r="I415">
        <v>0.02410589904699734</v>
      </c>
      <c r="J415">
        <v>0.05</v>
      </c>
      <c r="K415">
        <v>0.09645447466673285</v>
      </c>
      <c r="L415" t="s">
        <v>568</v>
      </c>
      <c r="M415" t="s">
        <v>586</v>
      </c>
      <c r="N415">
        <v>9.73076923076923</v>
      </c>
      <c r="O415">
        <v>5.2</v>
      </c>
      <c r="P415">
        <v>1.24</v>
      </c>
      <c r="Q415">
        <v>0.2384615384615384</v>
      </c>
      <c r="R415">
        <v>12</v>
      </c>
      <c r="S415">
        <v>0.06135081368856432</v>
      </c>
      <c r="T415" t="s">
        <v>883</v>
      </c>
      <c r="U415">
        <v>-0.078136158924953</v>
      </c>
      <c r="V415" t="s">
        <v>978</v>
      </c>
      <c r="W415" t="s">
        <v>989</v>
      </c>
      <c r="X415">
        <v>2515.393551</v>
      </c>
      <c r="Y415" s="2">
        <v>44833</v>
      </c>
      <c r="Z415" t="s">
        <v>1003</v>
      </c>
    </row>
    <row r="416" spans="1:26">
      <c r="A416" s="1" t="s">
        <v>440</v>
      </c>
      <c r="B416">
        <f>HYPERLINK("https://www.suredividend.com/sure-analysis-TX/","Ternium S.A.")</f>
        <v>0</v>
      </c>
      <c r="C416" t="s">
        <v>870</v>
      </c>
      <c r="D416">
        <v>34</v>
      </c>
      <c r="E416">
        <v>30.93</v>
      </c>
      <c r="F416">
        <v>84</v>
      </c>
      <c r="G416">
        <v>0.3682142857142857</v>
      </c>
      <c r="H416">
        <v>0.05819592628516004</v>
      </c>
      <c r="I416">
        <v>0.2211805348996241</v>
      </c>
      <c r="J416">
        <v>-0.15</v>
      </c>
      <c r="K416">
        <v>0.09645038985954879</v>
      </c>
      <c r="L416" t="s">
        <v>568</v>
      </c>
      <c r="M416" t="s">
        <v>873</v>
      </c>
      <c r="N416">
        <v>2.388416988416989</v>
      </c>
      <c r="O416">
        <v>12.95</v>
      </c>
      <c r="P416">
        <v>1.8</v>
      </c>
      <c r="Q416">
        <v>0.138996138996139</v>
      </c>
      <c r="R416">
        <v>0</v>
      </c>
      <c r="S416">
        <v>0.0900375345982718</v>
      </c>
      <c r="T416" t="s">
        <v>955</v>
      </c>
      <c r="U416">
        <v>-0.154689383193814</v>
      </c>
      <c r="V416" t="s">
        <v>978</v>
      </c>
      <c r="W416" t="s">
        <v>989</v>
      </c>
      <c r="X416">
        <v>6200.67146</v>
      </c>
      <c r="Y416" s="2">
        <v>44776</v>
      </c>
      <c r="Z416" t="s">
        <v>998</v>
      </c>
    </row>
    <row r="417" spans="1:26">
      <c r="A417" s="1" t="s">
        <v>441</v>
      </c>
      <c r="B417">
        <f>HYPERLINK("https://www.suredividend.com/sure-analysis-MPLX/","MPLX LP")</f>
        <v>0</v>
      </c>
      <c r="C417" t="s">
        <v>870</v>
      </c>
      <c r="D417">
        <v>34</v>
      </c>
      <c r="E417">
        <v>34.07</v>
      </c>
      <c r="F417">
        <v>34</v>
      </c>
      <c r="G417">
        <v>1.002058823529412</v>
      </c>
      <c r="H417">
        <v>0.09098914000587027</v>
      </c>
      <c r="I417">
        <v>-0.0004112568220632218</v>
      </c>
      <c r="J417">
        <v>0.02</v>
      </c>
      <c r="K417">
        <v>0.09643296581244054</v>
      </c>
      <c r="L417" t="s">
        <v>568</v>
      </c>
      <c r="M417" t="s">
        <v>872</v>
      </c>
      <c r="N417">
        <v>6.953061224489796</v>
      </c>
      <c r="O417">
        <v>4.9</v>
      </c>
      <c r="P417">
        <v>3.1</v>
      </c>
      <c r="Q417">
        <v>0.6326530612244897</v>
      </c>
      <c r="R417">
        <v>10</v>
      </c>
      <c r="S417">
        <v>0.01984197407544852</v>
      </c>
      <c r="T417" t="s">
        <v>942</v>
      </c>
      <c r="U417">
        <v>0.197392236455972</v>
      </c>
      <c r="V417" t="s">
        <v>979</v>
      </c>
      <c r="W417" t="s">
        <v>991</v>
      </c>
      <c r="X417">
        <v>34180.48591</v>
      </c>
      <c r="Y417" s="2">
        <v>44867</v>
      </c>
      <c r="Z417" t="s">
        <v>996</v>
      </c>
    </row>
    <row r="418" spans="1:26">
      <c r="A418" s="1" t="s">
        <v>442</v>
      </c>
      <c r="B418">
        <f>HYPERLINK("https://www.suredividend.com/sure-analysis-AVT/","Avnet Inc.")</f>
        <v>0</v>
      </c>
      <c r="C418" t="s">
        <v>870</v>
      </c>
      <c r="D418">
        <v>40</v>
      </c>
      <c r="E418">
        <v>41.34</v>
      </c>
      <c r="F418">
        <v>53</v>
      </c>
      <c r="G418">
        <v>0.78</v>
      </c>
      <c r="H418">
        <v>0.03120464441219158</v>
      </c>
      <c r="I418">
        <v>0.0509476404473832</v>
      </c>
      <c r="J418">
        <v>0.015</v>
      </c>
      <c r="K418">
        <v>0.09640685760954626</v>
      </c>
      <c r="L418" t="s">
        <v>568</v>
      </c>
      <c r="M418" t="s">
        <v>568</v>
      </c>
      <c r="N418">
        <v>6.254160363086233</v>
      </c>
      <c r="O418">
        <v>6.61</v>
      </c>
      <c r="P418">
        <v>1.29</v>
      </c>
      <c r="Q418">
        <v>0.1951588502269289</v>
      </c>
      <c r="R418">
        <v>9</v>
      </c>
      <c r="S418">
        <v>0.08946954875242641</v>
      </c>
      <c r="T418" t="s">
        <v>951</v>
      </c>
      <c r="U418">
        <v>0.083836056032279</v>
      </c>
      <c r="V418" t="s">
        <v>978</v>
      </c>
      <c r="W418" t="s">
        <v>982</v>
      </c>
      <c r="X418">
        <v>3783.325058</v>
      </c>
      <c r="Y418" s="2">
        <v>44865</v>
      </c>
      <c r="Z418" t="s">
        <v>1003</v>
      </c>
    </row>
    <row r="419" spans="1:26">
      <c r="A419" s="1" t="s">
        <v>443</v>
      </c>
      <c r="B419">
        <f>HYPERLINK("https://www.suredividend.com/sure-analysis-ESRT/","Empire State Realty Trust Inc")</f>
        <v>0</v>
      </c>
      <c r="C419" t="s">
        <v>869</v>
      </c>
      <c r="D419">
        <v>7</v>
      </c>
      <c r="E419">
        <v>7.24</v>
      </c>
      <c r="F419">
        <v>9.24</v>
      </c>
      <c r="G419">
        <v>0.7835497835497836</v>
      </c>
      <c r="H419">
        <v>0.01933701657458564</v>
      </c>
      <c r="I419">
        <v>0.0499936702849284</v>
      </c>
      <c r="J419">
        <v>0.02</v>
      </c>
      <c r="K419">
        <v>0.09611885136231413</v>
      </c>
      <c r="L419" t="s">
        <v>568</v>
      </c>
      <c r="M419" t="s">
        <v>586</v>
      </c>
      <c r="N419">
        <v>8.61904761904762</v>
      </c>
      <c r="O419">
        <v>0.84</v>
      </c>
      <c r="P419">
        <v>0.14</v>
      </c>
      <c r="Q419">
        <v>0.1666666666666667</v>
      </c>
      <c r="R419">
        <v>0</v>
      </c>
      <c r="S419">
        <v>0.2011244339814311</v>
      </c>
      <c r="T419" t="s">
        <v>883</v>
      </c>
      <c r="U419">
        <v>-0.26080209099077</v>
      </c>
      <c r="V419" t="s">
        <v>980</v>
      </c>
      <c r="W419" t="s">
        <v>992</v>
      </c>
      <c r="X419">
        <v>1161.505511</v>
      </c>
      <c r="Y419" s="2">
        <v>44861</v>
      </c>
      <c r="Z419" t="s">
        <v>1000</v>
      </c>
    </row>
    <row r="420" spans="1:26">
      <c r="A420" s="1" t="s">
        <v>444</v>
      </c>
      <c r="B420">
        <f>HYPERLINK("https://www.suredividend.com/sure-analysis-WY/","Weyerhaeuser Co.")</f>
        <v>0</v>
      </c>
      <c r="C420" t="s">
        <v>870</v>
      </c>
      <c r="D420">
        <v>35.5</v>
      </c>
      <c r="E420">
        <v>30.28</v>
      </c>
      <c r="F420">
        <v>54.9</v>
      </c>
      <c r="G420">
        <v>0.5515482695810565</v>
      </c>
      <c r="H420">
        <v>0.023778071334214</v>
      </c>
      <c r="I420">
        <v>0.1263757573930329</v>
      </c>
      <c r="J420">
        <v>-0.05</v>
      </c>
      <c r="K420">
        <v>0.09578423095870225</v>
      </c>
      <c r="L420" t="s">
        <v>568</v>
      </c>
      <c r="M420" t="s">
        <v>586</v>
      </c>
      <c r="N420">
        <v>9.374613003095975</v>
      </c>
      <c r="O420">
        <v>3.23</v>
      </c>
      <c r="P420">
        <v>0.72</v>
      </c>
      <c r="Q420">
        <v>0.2229102167182662</v>
      </c>
      <c r="R420">
        <v>0</v>
      </c>
      <c r="S420">
        <v>0.1356415724960776</v>
      </c>
      <c r="T420" t="s">
        <v>889</v>
      </c>
      <c r="U420">
        <v>-0.16178770640424</v>
      </c>
      <c r="V420" t="s">
        <v>980</v>
      </c>
      <c r="W420" t="s">
        <v>992</v>
      </c>
      <c r="X420">
        <v>22283.56676</v>
      </c>
      <c r="Y420" s="2">
        <v>44776</v>
      </c>
      <c r="Z420" t="s">
        <v>999</v>
      </c>
    </row>
    <row r="421" spans="1:26">
      <c r="A421" s="1" t="s">
        <v>445</v>
      </c>
      <c r="B421">
        <f>HYPERLINK("https://www.suredividend.com/sure-analysis-HOG/","Harley-Davidson, Inc.")</f>
        <v>0</v>
      </c>
      <c r="C421" t="s">
        <v>869</v>
      </c>
      <c r="D421">
        <v>36.7</v>
      </c>
      <c r="E421">
        <v>45.35</v>
      </c>
      <c r="F421">
        <v>58.5</v>
      </c>
      <c r="G421">
        <v>0.7752136752136752</v>
      </c>
      <c r="H421">
        <v>0.01389195148842337</v>
      </c>
      <c r="I421">
        <v>0.05224219955949283</v>
      </c>
      <c r="J421">
        <v>0.021</v>
      </c>
      <c r="K421">
        <v>0.09547623998797827</v>
      </c>
      <c r="L421" t="s">
        <v>568</v>
      </c>
      <c r="M421" t="s">
        <v>637</v>
      </c>
      <c r="N421">
        <v>10.07777777777778</v>
      </c>
      <c r="O421">
        <v>4.5</v>
      </c>
      <c r="P421">
        <v>0.63</v>
      </c>
      <c r="Q421">
        <v>0.14</v>
      </c>
      <c r="R421">
        <v>2</v>
      </c>
      <c r="S421">
        <v>0.2599052604674881</v>
      </c>
      <c r="T421" t="s">
        <v>933</v>
      </c>
      <c r="U421">
        <v>0.21983694263404</v>
      </c>
      <c r="V421" t="s">
        <v>978</v>
      </c>
      <c r="W421" t="s">
        <v>983</v>
      </c>
      <c r="X421">
        <v>6629.445035</v>
      </c>
      <c r="Y421" s="2">
        <v>44776</v>
      </c>
      <c r="Z421" t="s">
        <v>999</v>
      </c>
    </row>
    <row r="422" spans="1:26">
      <c r="A422" s="1" t="s">
        <v>446</v>
      </c>
      <c r="B422">
        <f>HYPERLINK("https://www.suredividend.com/sure-analysis-NWE/","Northwestern Corp.")</f>
        <v>0</v>
      </c>
      <c r="C422" t="s">
        <v>870</v>
      </c>
      <c r="D422">
        <v>52</v>
      </c>
      <c r="E422">
        <v>52.54</v>
      </c>
      <c r="F422">
        <v>55</v>
      </c>
      <c r="G422">
        <v>0.9552727272727273</v>
      </c>
      <c r="H422">
        <v>0.04796345641416064</v>
      </c>
      <c r="I422">
        <v>0.009193684860182794</v>
      </c>
      <c r="J422">
        <v>0.045</v>
      </c>
      <c r="K422">
        <v>0.09240185243277099</v>
      </c>
      <c r="L422" t="s">
        <v>568</v>
      </c>
      <c r="M422" t="s">
        <v>873</v>
      </c>
      <c r="N422">
        <v>16.16615384615385</v>
      </c>
      <c r="O422">
        <v>3.25</v>
      </c>
      <c r="P422">
        <v>2.52</v>
      </c>
      <c r="Q422">
        <v>0.7753846153846153</v>
      </c>
      <c r="R422">
        <v>17</v>
      </c>
      <c r="S422">
        <v>0.01539184863075338</v>
      </c>
      <c r="T422" t="s">
        <v>883</v>
      </c>
      <c r="U422">
        <v>-0.04709394485695501</v>
      </c>
      <c r="V422" t="s">
        <v>978</v>
      </c>
      <c r="W422" t="s">
        <v>987</v>
      </c>
      <c r="X422">
        <v>3035.695157</v>
      </c>
      <c r="Y422" s="2">
        <v>44860</v>
      </c>
      <c r="Z422" t="s">
        <v>1009</v>
      </c>
    </row>
    <row r="423" spans="1:26">
      <c r="A423" s="1" t="s">
        <v>447</v>
      </c>
      <c r="B423">
        <f>HYPERLINK("https://www.suredividend.com/sure-analysis-BAC/","Bank Of America Corp.")</f>
        <v>0</v>
      </c>
      <c r="C423" t="s">
        <v>869</v>
      </c>
      <c r="D423">
        <v>35</v>
      </c>
      <c r="E423">
        <v>36.79</v>
      </c>
      <c r="F423">
        <v>35</v>
      </c>
      <c r="G423">
        <v>1.051142857142857</v>
      </c>
      <c r="H423">
        <v>0.02391954335417233</v>
      </c>
      <c r="I423">
        <v>-0.009926010250480233</v>
      </c>
      <c r="J423">
        <v>0.08</v>
      </c>
      <c r="K423">
        <v>0.09148994884244765</v>
      </c>
      <c r="L423" t="s">
        <v>568</v>
      </c>
      <c r="M423" t="s">
        <v>586</v>
      </c>
      <c r="N423">
        <v>11.496875</v>
      </c>
      <c r="O423">
        <v>3.2</v>
      </c>
      <c r="P423">
        <v>0.88</v>
      </c>
      <c r="Q423">
        <v>0.275</v>
      </c>
      <c r="R423">
        <v>10</v>
      </c>
      <c r="S423">
        <v>0.07949692019517696</v>
      </c>
      <c r="T423" t="s">
        <v>889</v>
      </c>
      <c r="U423">
        <v>-0.20540986509894</v>
      </c>
      <c r="V423" t="s">
        <v>978</v>
      </c>
      <c r="W423" t="s">
        <v>986</v>
      </c>
      <c r="X423">
        <v>295145.282073</v>
      </c>
      <c r="Y423" s="2">
        <v>44853</v>
      </c>
      <c r="Z423" t="s">
        <v>1001</v>
      </c>
    </row>
    <row r="424" spans="1:26">
      <c r="A424" s="1" t="s">
        <v>448</v>
      </c>
      <c r="B424">
        <f>HYPERLINK("https://www.suredividend.com/sure-analysis-TYCB/","Calvin b. Taylor Bankshares, Inc.")</f>
        <v>0</v>
      </c>
      <c r="C424" t="s">
        <v>870</v>
      </c>
      <c r="D424">
        <v>39</v>
      </c>
      <c r="E424">
        <v>38.02</v>
      </c>
      <c r="F424">
        <v>42</v>
      </c>
      <c r="G424">
        <v>0.9052380952380953</v>
      </c>
      <c r="H424">
        <v>0.03471856917411888</v>
      </c>
      <c r="I424">
        <v>0.0201110115679326</v>
      </c>
      <c r="J424">
        <v>0.04</v>
      </c>
      <c r="K424">
        <v>0.0909161200451829</v>
      </c>
      <c r="L424" t="s">
        <v>568</v>
      </c>
      <c r="M424" t="s">
        <v>873</v>
      </c>
      <c r="N424">
        <v>10.86285714285714</v>
      </c>
      <c r="O424">
        <v>3.5</v>
      </c>
      <c r="P424">
        <v>1.32</v>
      </c>
      <c r="Q424">
        <v>0.3771428571428572</v>
      </c>
      <c r="R424">
        <v>32</v>
      </c>
      <c r="S424">
        <v>0.04941452284458392</v>
      </c>
      <c r="T424" t="s">
        <v>886</v>
      </c>
      <c r="U424">
        <v>0.09538996977737801</v>
      </c>
      <c r="V424" t="s">
        <v>978</v>
      </c>
      <c r="W424" t="s">
        <v>986</v>
      </c>
      <c r="X424">
        <v>104.910867</v>
      </c>
      <c r="Y424" s="2">
        <v>44828</v>
      </c>
      <c r="Z424" t="s">
        <v>994</v>
      </c>
    </row>
    <row r="425" spans="1:26">
      <c r="A425" s="1" t="s">
        <v>449</v>
      </c>
      <c r="B425">
        <f>HYPERLINK("https://www.suredividend.com/sure-analysis-HCSG/","Healthcare Services Group, Inc.")</f>
        <v>0</v>
      </c>
      <c r="C425" t="s">
        <v>870</v>
      </c>
      <c r="D425">
        <v>13</v>
      </c>
      <c r="E425">
        <v>13.62</v>
      </c>
      <c r="F425">
        <v>15</v>
      </c>
      <c r="G425">
        <v>0.9079999999999999</v>
      </c>
      <c r="H425">
        <v>0.0631424375917768</v>
      </c>
      <c r="I425">
        <v>0.01948967154246861</v>
      </c>
      <c r="J425">
        <v>0.02</v>
      </c>
      <c r="K425">
        <v>0.09025398271035701</v>
      </c>
      <c r="L425" t="s">
        <v>568</v>
      </c>
      <c r="M425" t="s">
        <v>873</v>
      </c>
      <c r="N425">
        <v>13.62</v>
      </c>
      <c r="O425">
        <v>1</v>
      </c>
      <c r="P425">
        <v>0.86</v>
      </c>
      <c r="Q425">
        <v>0.86</v>
      </c>
      <c r="R425">
        <v>19</v>
      </c>
      <c r="S425">
        <v>0.00913393693363318</v>
      </c>
      <c r="T425" t="s">
        <v>895</v>
      </c>
      <c r="U425">
        <v>-0.260574276454013</v>
      </c>
      <c r="V425" t="s">
        <v>978</v>
      </c>
      <c r="W425" t="s">
        <v>984</v>
      </c>
      <c r="X425">
        <v>1009.07856</v>
      </c>
      <c r="Y425" s="2">
        <v>44855</v>
      </c>
      <c r="Z425" t="s">
        <v>1006</v>
      </c>
    </row>
    <row r="426" spans="1:26">
      <c r="A426" s="1" t="s">
        <v>450</v>
      </c>
      <c r="B426">
        <f>HYPERLINK("https://www.suredividend.com/sure-analysis-OGS/","ONE Gas Inc")</f>
        <v>0</v>
      </c>
      <c r="C426" t="s">
        <v>869</v>
      </c>
      <c r="D426">
        <v>77</v>
      </c>
      <c r="E426">
        <v>80.90000000000001</v>
      </c>
      <c r="F426">
        <v>78</v>
      </c>
      <c r="G426">
        <v>1.037179487179487</v>
      </c>
      <c r="H426">
        <v>0.03065512978986403</v>
      </c>
      <c r="I426">
        <v>-0.007274411922887247</v>
      </c>
      <c r="J426">
        <v>0.07000000000000001</v>
      </c>
      <c r="K426">
        <v>0.08994473322559737</v>
      </c>
      <c r="L426" t="s">
        <v>568</v>
      </c>
      <c r="M426" t="s">
        <v>568</v>
      </c>
      <c r="N426">
        <v>19.82843137254902</v>
      </c>
      <c r="O426">
        <v>4.08</v>
      </c>
      <c r="P426">
        <v>2.48</v>
      </c>
      <c r="Q426">
        <v>0.6078431372549019</v>
      </c>
      <c r="R426">
        <v>8</v>
      </c>
      <c r="S426">
        <v>0.06513694131438896</v>
      </c>
      <c r="T426" t="s">
        <v>905</v>
      </c>
      <c r="U426">
        <v>0.204964633021988</v>
      </c>
      <c r="V426" t="s">
        <v>978</v>
      </c>
      <c r="W426" t="s">
        <v>987</v>
      </c>
      <c r="X426">
        <v>4380.009812</v>
      </c>
      <c r="Y426" s="2">
        <v>44866</v>
      </c>
      <c r="Z426" t="s">
        <v>1000</v>
      </c>
    </row>
    <row r="427" spans="1:26">
      <c r="A427" s="1" t="s">
        <v>451</v>
      </c>
      <c r="B427">
        <f>HYPERLINK("https://www.suredividend.com/sure-analysis-HNI/","HNI Corp.")</f>
        <v>0</v>
      </c>
      <c r="C427" t="s">
        <v>870</v>
      </c>
      <c r="D427">
        <v>28</v>
      </c>
      <c r="E427">
        <v>28.64</v>
      </c>
      <c r="F427">
        <v>28</v>
      </c>
      <c r="G427">
        <v>1.022857142857143</v>
      </c>
      <c r="H427">
        <v>0.0446927374301676</v>
      </c>
      <c r="I427">
        <v>-0.004509766708576834</v>
      </c>
      <c r="J427">
        <v>0.055</v>
      </c>
      <c r="K427">
        <v>0.0888847118497853</v>
      </c>
      <c r="L427" t="s">
        <v>568</v>
      </c>
      <c r="M427" t="s">
        <v>873</v>
      </c>
      <c r="N427">
        <v>14.32</v>
      </c>
      <c r="O427">
        <v>2</v>
      </c>
      <c r="P427">
        <v>1.28</v>
      </c>
      <c r="Q427">
        <v>0.64</v>
      </c>
      <c r="R427">
        <v>11</v>
      </c>
      <c r="S427">
        <v>0.04168866040456276</v>
      </c>
      <c r="T427" t="s">
        <v>906</v>
      </c>
      <c r="U427">
        <v>-0.247092473027823</v>
      </c>
      <c r="V427" t="s">
        <v>978</v>
      </c>
      <c r="W427" t="s">
        <v>984</v>
      </c>
      <c r="X427">
        <v>1184.658516</v>
      </c>
      <c r="Y427" s="2">
        <v>44858</v>
      </c>
      <c r="Z427" t="s">
        <v>993</v>
      </c>
    </row>
    <row r="428" spans="1:26">
      <c r="A428" s="1" t="s">
        <v>452</v>
      </c>
      <c r="B428">
        <f>HYPERLINK("https://www.suredividend.com/sure-analysis-HIG/","Hartford Financial Services Group Inc.")</f>
        <v>0</v>
      </c>
      <c r="C428" t="s">
        <v>870</v>
      </c>
      <c r="D428">
        <v>70</v>
      </c>
      <c r="E428">
        <v>73.79000000000001</v>
      </c>
      <c r="F428">
        <v>80</v>
      </c>
      <c r="G428">
        <v>0.9223750000000001</v>
      </c>
      <c r="H428">
        <v>0.02303835208022767</v>
      </c>
      <c r="I428">
        <v>0.0162919728462525</v>
      </c>
      <c r="J428">
        <v>0.05</v>
      </c>
      <c r="K428">
        <v>0.08751488389673545</v>
      </c>
      <c r="L428" t="s">
        <v>568</v>
      </c>
      <c r="M428" t="s">
        <v>586</v>
      </c>
      <c r="N428">
        <v>10.61726618705036</v>
      </c>
      <c r="O428">
        <v>6.95</v>
      </c>
      <c r="P428">
        <v>1.7</v>
      </c>
      <c r="Q428">
        <v>0.2446043165467626</v>
      </c>
      <c r="R428">
        <v>13</v>
      </c>
      <c r="S428">
        <v>0.05953519437746113</v>
      </c>
      <c r="T428" t="s">
        <v>874</v>
      </c>
      <c r="U428">
        <v>0.043323591499012</v>
      </c>
      <c r="V428" t="s">
        <v>978</v>
      </c>
      <c r="W428" t="s">
        <v>986</v>
      </c>
      <c r="X428">
        <v>23472.519971</v>
      </c>
      <c r="Y428" s="2">
        <v>44862</v>
      </c>
      <c r="Z428" t="s">
        <v>1002</v>
      </c>
    </row>
    <row r="429" spans="1:26">
      <c r="A429" s="1" t="s">
        <v>453</v>
      </c>
      <c r="B429">
        <f>HYPERLINK("https://www.suredividend.com/sure-analysis-OGE/","Oge Energy Corp.")</f>
        <v>0</v>
      </c>
      <c r="C429" t="s">
        <v>870</v>
      </c>
      <c r="D429">
        <v>42</v>
      </c>
      <c r="E429">
        <v>37.54</v>
      </c>
      <c r="F429">
        <v>37</v>
      </c>
      <c r="G429">
        <v>1.014594594594595</v>
      </c>
      <c r="H429">
        <v>0.04421949920085242</v>
      </c>
      <c r="I429">
        <v>-0.002893629064473768</v>
      </c>
      <c r="J429">
        <v>0.05</v>
      </c>
      <c r="K429">
        <v>0.0870014418474756</v>
      </c>
      <c r="L429" t="s">
        <v>568</v>
      </c>
      <c r="M429" t="s">
        <v>873</v>
      </c>
      <c r="N429">
        <v>17.06363636363636</v>
      </c>
      <c r="O429">
        <v>2.2</v>
      </c>
      <c r="P429">
        <v>1.66</v>
      </c>
      <c r="Q429">
        <v>0.7545454545454544</v>
      </c>
      <c r="R429">
        <v>16</v>
      </c>
      <c r="S429">
        <v>0.05406922240167922</v>
      </c>
      <c r="T429" t="s">
        <v>902</v>
      </c>
      <c r="U429">
        <v>0.147296487817997</v>
      </c>
      <c r="V429" t="s">
        <v>978</v>
      </c>
      <c r="W429" t="s">
        <v>987</v>
      </c>
      <c r="X429">
        <v>7515.608307</v>
      </c>
      <c r="Y429" s="2">
        <v>44798</v>
      </c>
      <c r="Z429" t="s">
        <v>996</v>
      </c>
    </row>
    <row r="430" spans="1:26">
      <c r="A430" s="1" t="s">
        <v>454</v>
      </c>
      <c r="B430">
        <f>HYPERLINK("https://www.suredividend.com/sure-analysis-PAYX/","Paychex Inc.")</f>
        <v>0</v>
      </c>
      <c r="C430" t="s">
        <v>870</v>
      </c>
      <c r="D430">
        <v>117</v>
      </c>
      <c r="E430">
        <v>113.76</v>
      </c>
      <c r="F430">
        <v>105</v>
      </c>
      <c r="G430">
        <v>1.083428571428571</v>
      </c>
      <c r="H430">
        <v>0.02777777777777778</v>
      </c>
      <c r="I430">
        <v>-0.01589838814353794</v>
      </c>
      <c r="J430">
        <v>0.08</v>
      </c>
      <c r="K430">
        <v>0.0869578640478661</v>
      </c>
      <c r="L430" t="s">
        <v>568</v>
      </c>
      <c r="M430" t="s">
        <v>586</v>
      </c>
      <c r="N430">
        <v>27.08571428571429</v>
      </c>
      <c r="O430">
        <v>4.2</v>
      </c>
      <c r="P430">
        <v>3.16</v>
      </c>
      <c r="Q430">
        <v>0.7523809523809524</v>
      </c>
      <c r="R430">
        <v>11</v>
      </c>
      <c r="S430">
        <v>0.04984115279430545</v>
      </c>
      <c r="T430" t="s">
        <v>898</v>
      </c>
      <c r="U430">
        <v>-0.063409236484227</v>
      </c>
      <c r="V430" t="s">
        <v>978</v>
      </c>
      <c r="W430" t="s">
        <v>984</v>
      </c>
      <c r="X430">
        <v>40999.172597</v>
      </c>
      <c r="Y430" s="2">
        <v>44833</v>
      </c>
      <c r="Z430" t="s">
        <v>993</v>
      </c>
    </row>
    <row r="431" spans="1:26">
      <c r="A431" s="1" t="s">
        <v>455</v>
      </c>
      <c r="B431">
        <f>HYPERLINK("https://www.suredividend.com/sure-analysis-APOG/","Apogee Enterprises Inc.")</f>
        <v>0</v>
      </c>
      <c r="C431" t="s">
        <v>869</v>
      </c>
      <c r="D431">
        <v>39</v>
      </c>
      <c r="E431">
        <v>45.21</v>
      </c>
      <c r="F431">
        <v>43</v>
      </c>
      <c r="G431">
        <v>1.051395348837209</v>
      </c>
      <c r="H431">
        <v>0.0194647201946472</v>
      </c>
      <c r="I431">
        <v>-0.009973567903547753</v>
      </c>
      <c r="J431">
        <v>0.08</v>
      </c>
      <c r="K431">
        <v>0.08648231066053413</v>
      </c>
      <c r="L431" t="s">
        <v>568</v>
      </c>
      <c r="M431" t="s">
        <v>586</v>
      </c>
      <c r="N431">
        <v>11.62210796915167</v>
      </c>
      <c r="O431">
        <v>3.89</v>
      </c>
      <c r="P431">
        <v>0.88</v>
      </c>
      <c r="Q431">
        <v>0.2262210796915167</v>
      </c>
      <c r="R431">
        <v>8</v>
      </c>
      <c r="S431">
        <v>0.06042477819475911</v>
      </c>
      <c r="T431" t="s">
        <v>956</v>
      </c>
      <c r="U431">
        <v>0.004104368220463</v>
      </c>
      <c r="V431" t="s">
        <v>978</v>
      </c>
      <c r="W431" t="s">
        <v>984</v>
      </c>
      <c r="X431">
        <v>1004.027026</v>
      </c>
      <c r="Y431" s="2">
        <v>44832</v>
      </c>
      <c r="Z431" t="s">
        <v>995</v>
      </c>
    </row>
    <row r="432" spans="1:26">
      <c r="A432" s="1" t="s">
        <v>456</v>
      </c>
      <c r="B432">
        <f>HYPERLINK("https://www.suredividend.com/sure-analysis-PSA/","Public Storage")</f>
        <v>0</v>
      </c>
      <c r="C432" t="s">
        <v>870</v>
      </c>
      <c r="D432">
        <v>355</v>
      </c>
      <c r="E432">
        <v>277.73</v>
      </c>
      <c r="F432">
        <v>307</v>
      </c>
      <c r="G432">
        <v>0.9046579804560261</v>
      </c>
      <c r="H432">
        <v>0.02880495445216577</v>
      </c>
      <c r="I432">
        <v>0.02024180790326024</v>
      </c>
      <c r="J432">
        <v>0.04</v>
      </c>
      <c r="K432">
        <v>0.08549655619955887</v>
      </c>
      <c r="L432" t="s">
        <v>568</v>
      </c>
      <c r="M432" t="s">
        <v>568</v>
      </c>
      <c r="N432">
        <v>18.09315960912052</v>
      </c>
      <c r="O432">
        <v>15.35</v>
      </c>
      <c r="P432">
        <v>8</v>
      </c>
      <c r="Q432">
        <v>0.5211726384364821</v>
      </c>
      <c r="R432">
        <v>0</v>
      </c>
      <c r="S432">
        <v>0.03993111034207586</v>
      </c>
      <c r="T432" t="s">
        <v>951</v>
      </c>
      <c r="U432">
        <v>-0.10995214065916</v>
      </c>
      <c r="V432" t="s">
        <v>980</v>
      </c>
      <c r="W432" t="s">
        <v>992</v>
      </c>
      <c r="X432">
        <v>48780.049499</v>
      </c>
      <c r="Y432" s="2">
        <v>44789</v>
      </c>
      <c r="Z432" t="s">
        <v>993</v>
      </c>
    </row>
    <row r="433" spans="1:26">
      <c r="A433" s="1" t="s">
        <v>457</v>
      </c>
      <c r="B433">
        <f>HYPERLINK("https://www.suredividend.com/sure-analysis-SBUX/","Starbucks Corp.")</f>
        <v>0</v>
      </c>
      <c r="C433" t="s">
        <v>869</v>
      </c>
      <c r="D433">
        <v>71</v>
      </c>
      <c r="E433">
        <v>91.86</v>
      </c>
      <c r="F433">
        <v>71</v>
      </c>
      <c r="G433">
        <v>1.293802816901408</v>
      </c>
      <c r="H433">
        <v>0.02307859786631831</v>
      </c>
      <c r="I433">
        <v>-0.05021264888121646</v>
      </c>
      <c r="J433">
        <v>0.12</v>
      </c>
      <c r="K433">
        <v>0.08466574494651424</v>
      </c>
      <c r="L433" t="s">
        <v>568</v>
      </c>
      <c r="M433" t="s">
        <v>586</v>
      </c>
      <c r="N433">
        <v>29.63225806451613</v>
      </c>
      <c r="O433">
        <v>3.1</v>
      </c>
      <c r="P433">
        <v>2.12</v>
      </c>
      <c r="Q433">
        <v>0.6838709677419355</v>
      </c>
      <c r="R433">
        <v>12</v>
      </c>
      <c r="S433">
        <v>0.06319108263440087</v>
      </c>
      <c r="T433" t="s">
        <v>913</v>
      </c>
      <c r="U433">
        <v>-0.162723036874457</v>
      </c>
      <c r="V433" t="s">
        <v>978</v>
      </c>
      <c r="W433" t="s">
        <v>983</v>
      </c>
      <c r="X433">
        <v>105400.164</v>
      </c>
      <c r="Y433" s="2">
        <v>44799</v>
      </c>
      <c r="Z433" t="s">
        <v>996</v>
      </c>
    </row>
    <row r="434" spans="1:26">
      <c r="A434" s="1" t="s">
        <v>458</v>
      </c>
      <c r="B434">
        <f>HYPERLINK("https://www.suredividend.com/sure-analysis-BUD/","Anheuser-Busch In Bev SA/NV")</f>
        <v>0</v>
      </c>
      <c r="C434" t="s">
        <v>870</v>
      </c>
      <c r="D434">
        <v>55</v>
      </c>
      <c r="E434">
        <v>52.12</v>
      </c>
      <c r="F434">
        <v>65</v>
      </c>
      <c r="G434">
        <v>0.8018461538461538</v>
      </c>
      <c r="H434">
        <v>0.01016884113584037</v>
      </c>
      <c r="I434">
        <v>0.04515761681145647</v>
      </c>
      <c r="J434">
        <v>0.03</v>
      </c>
      <c r="K434">
        <v>0.08397976109642125</v>
      </c>
      <c r="L434" t="s">
        <v>568</v>
      </c>
      <c r="M434" t="s">
        <v>637</v>
      </c>
      <c r="N434">
        <v>16.13622291021672</v>
      </c>
      <c r="O434">
        <v>3.23</v>
      </c>
      <c r="P434">
        <v>0.53</v>
      </c>
      <c r="Q434">
        <v>0.1640866873065016</v>
      </c>
      <c r="R434">
        <v>0</v>
      </c>
      <c r="S434">
        <v>0</v>
      </c>
      <c r="T434" t="s">
        <v>957</v>
      </c>
      <c r="U434">
        <v>-0.115521811585103</v>
      </c>
      <c r="V434" t="s">
        <v>978</v>
      </c>
      <c r="W434" t="s">
        <v>990</v>
      </c>
      <c r="X434">
        <v>90538.71868799999</v>
      </c>
      <c r="Y434" s="2">
        <v>44789</v>
      </c>
      <c r="Z434" t="s">
        <v>1007</v>
      </c>
    </row>
    <row r="435" spans="1:26">
      <c r="A435" s="1" t="s">
        <v>459</v>
      </c>
      <c r="B435">
        <f>HYPERLINK("https://www.suredividend.com/sure-analysis-BP/","BP plc")</f>
        <v>0</v>
      </c>
      <c r="C435" t="s">
        <v>870</v>
      </c>
      <c r="D435">
        <v>33</v>
      </c>
      <c r="E435">
        <v>33.92</v>
      </c>
      <c r="F435">
        <v>102</v>
      </c>
      <c r="G435">
        <v>0.3325490196078432</v>
      </c>
      <c r="H435">
        <v>0.04245283018867924</v>
      </c>
      <c r="I435">
        <v>0.2463179949844094</v>
      </c>
      <c r="J435">
        <v>-0.16</v>
      </c>
      <c r="K435">
        <v>0.08348554722830559</v>
      </c>
      <c r="L435" t="s">
        <v>568</v>
      </c>
      <c r="M435" t="s">
        <v>873</v>
      </c>
      <c r="N435">
        <v>3.990588235294118</v>
      </c>
      <c r="O435">
        <v>8.5</v>
      </c>
      <c r="P435">
        <v>1.44</v>
      </c>
      <c r="Q435">
        <v>0.1694117647058823</v>
      </c>
      <c r="R435">
        <v>1</v>
      </c>
      <c r="S435">
        <v>0.03496752704080697</v>
      </c>
      <c r="T435" t="s">
        <v>913</v>
      </c>
      <c r="U435">
        <v>0.298542202621585</v>
      </c>
      <c r="V435" t="s">
        <v>978</v>
      </c>
      <c r="W435" t="s">
        <v>991</v>
      </c>
      <c r="X435">
        <v>103923.289348</v>
      </c>
      <c r="Y435" s="2">
        <v>44870</v>
      </c>
      <c r="Z435" t="s">
        <v>996</v>
      </c>
    </row>
    <row r="436" spans="1:26">
      <c r="A436" s="1" t="s">
        <v>460</v>
      </c>
      <c r="B436">
        <f>HYPERLINK("https://www.suredividend.com/sure-analysis-OKE/","Oneok Inc.")</f>
        <v>0</v>
      </c>
      <c r="C436" t="s">
        <v>870</v>
      </c>
      <c r="D436">
        <v>64</v>
      </c>
      <c r="E436">
        <v>60.74</v>
      </c>
      <c r="F436">
        <v>61</v>
      </c>
      <c r="G436">
        <v>0.9957377049180328</v>
      </c>
      <c r="H436">
        <v>0.06157392163319065</v>
      </c>
      <c r="I436">
        <v>0.0008546459130098771</v>
      </c>
      <c r="J436">
        <v>0.03</v>
      </c>
      <c r="K436">
        <v>0.08318379259497788</v>
      </c>
      <c r="L436" t="s">
        <v>568</v>
      </c>
      <c r="M436" t="s">
        <v>873</v>
      </c>
      <c r="N436">
        <v>11.04363636363636</v>
      </c>
      <c r="O436">
        <v>5.5</v>
      </c>
      <c r="P436">
        <v>3.74</v>
      </c>
      <c r="Q436">
        <v>0.68</v>
      </c>
      <c r="R436">
        <v>0</v>
      </c>
      <c r="S436">
        <v>0.02003644710053942</v>
      </c>
      <c r="T436" t="s">
        <v>930</v>
      </c>
      <c r="U436">
        <v>0.01778526976169</v>
      </c>
      <c r="V436" t="s">
        <v>978</v>
      </c>
      <c r="W436" t="s">
        <v>991</v>
      </c>
      <c r="X436">
        <v>27147.976363</v>
      </c>
      <c r="Y436" s="2">
        <v>44791</v>
      </c>
      <c r="Z436" t="s">
        <v>994</v>
      </c>
    </row>
    <row r="437" spans="1:26">
      <c r="A437" s="1" t="s">
        <v>461</v>
      </c>
      <c r="B437">
        <f>HYPERLINK("https://www.suredividend.com/sure-analysis-MDC/","M.D.C. Holdings, Inc.")</f>
        <v>0</v>
      </c>
      <c r="C437" t="s">
        <v>870</v>
      </c>
      <c r="D437">
        <v>31</v>
      </c>
      <c r="E437">
        <v>29.71</v>
      </c>
      <c r="F437">
        <v>46</v>
      </c>
      <c r="G437">
        <v>0.6458695652173914</v>
      </c>
      <c r="H437">
        <v>0.06731740154830024</v>
      </c>
      <c r="I437">
        <v>0.09136754839423666</v>
      </c>
      <c r="J437">
        <v>-0.07000000000000001</v>
      </c>
      <c r="K437">
        <v>0.08152187346923734</v>
      </c>
      <c r="L437" t="s">
        <v>568</v>
      </c>
      <c r="M437" t="s">
        <v>873</v>
      </c>
      <c r="N437">
        <v>3.549581839904421</v>
      </c>
      <c r="O437">
        <v>8.369999999999999</v>
      </c>
      <c r="P437">
        <v>2</v>
      </c>
      <c r="Q437">
        <v>0.2389486260454003</v>
      </c>
      <c r="R437">
        <v>6</v>
      </c>
      <c r="S437">
        <v>0.0602809527753625</v>
      </c>
      <c r="T437" t="s">
        <v>875</v>
      </c>
      <c r="U437">
        <v>-0.373472430467249</v>
      </c>
      <c r="V437" t="s">
        <v>978</v>
      </c>
      <c r="W437" t="s">
        <v>986</v>
      </c>
      <c r="X437">
        <v>2117.258847</v>
      </c>
      <c r="Y437" s="2">
        <v>44862</v>
      </c>
      <c r="Z437" t="s">
        <v>1000</v>
      </c>
    </row>
    <row r="438" spans="1:26">
      <c r="A438" s="1" t="s">
        <v>462</v>
      </c>
      <c r="B438">
        <f>HYPERLINK("https://www.suredividend.com/sure-analysis-SHEL/","Shell Plc")</f>
        <v>0</v>
      </c>
      <c r="C438" t="s">
        <v>870</v>
      </c>
      <c r="D438">
        <v>56</v>
      </c>
      <c r="E438">
        <v>57.06</v>
      </c>
      <c r="F438">
        <v>114</v>
      </c>
      <c r="G438">
        <v>0.5005263157894737</v>
      </c>
      <c r="H438">
        <v>0.03505082369435682</v>
      </c>
      <c r="I438">
        <v>0.1484566763821176</v>
      </c>
      <c r="J438">
        <v>-0.09</v>
      </c>
      <c r="K438">
        <v>0.07986628603152335</v>
      </c>
      <c r="L438" t="s">
        <v>568</v>
      </c>
      <c r="M438" t="s">
        <v>568</v>
      </c>
      <c r="N438">
        <v>6.006315789473684</v>
      </c>
      <c r="O438">
        <v>9.5</v>
      </c>
      <c r="P438">
        <v>2</v>
      </c>
      <c r="Q438">
        <v>0.2105263157894737</v>
      </c>
      <c r="R438">
        <v>1</v>
      </c>
      <c r="S438">
        <v>0.07936299587864237</v>
      </c>
      <c r="T438" t="s">
        <v>913</v>
      </c>
      <c r="U438">
        <v>0.110116731517509</v>
      </c>
      <c r="V438" t="s">
        <v>978</v>
      </c>
      <c r="W438" t="s">
        <v>991</v>
      </c>
      <c r="X438">
        <v>203450.318663</v>
      </c>
      <c r="Y438" s="2">
        <v>44866</v>
      </c>
      <c r="Z438" t="s">
        <v>996</v>
      </c>
    </row>
    <row r="439" spans="1:26">
      <c r="A439" s="1" t="s">
        <v>463</v>
      </c>
      <c r="B439">
        <f>HYPERLINK("https://www.suredividend.com/sure-analysis-FAF/","First American Financial Corp")</f>
        <v>0</v>
      </c>
      <c r="C439" t="s">
        <v>870</v>
      </c>
      <c r="D439">
        <v>50</v>
      </c>
      <c r="E439">
        <v>51.31</v>
      </c>
      <c r="F439">
        <v>55</v>
      </c>
      <c r="G439">
        <v>0.9329090909090909</v>
      </c>
      <c r="H439">
        <v>0.04053790684077178</v>
      </c>
      <c r="I439">
        <v>0.01398641136219392</v>
      </c>
      <c r="J439">
        <v>0.03</v>
      </c>
      <c r="K439">
        <v>0.07925238850270833</v>
      </c>
      <c r="L439" t="s">
        <v>568</v>
      </c>
      <c r="M439" t="s">
        <v>568</v>
      </c>
      <c r="N439">
        <v>8.383986928104575</v>
      </c>
      <c r="O439">
        <v>6.12</v>
      </c>
      <c r="P439">
        <v>2.08</v>
      </c>
      <c r="Q439">
        <v>0.3398692810457516</v>
      </c>
      <c r="R439">
        <v>11</v>
      </c>
      <c r="S439">
        <v>0.02988976347130756</v>
      </c>
      <c r="T439" t="s">
        <v>925</v>
      </c>
      <c r="U439">
        <v>-0.278906287330056</v>
      </c>
      <c r="V439" t="s">
        <v>978</v>
      </c>
      <c r="W439" t="s">
        <v>986</v>
      </c>
      <c r="X439">
        <v>5312.725345</v>
      </c>
      <c r="Y439" s="2">
        <v>44867</v>
      </c>
      <c r="Z439" t="s">
        <v>998</v>
      </c>
    </row>
    <row r="440" spans="1:26">
      <c r="A440" s="1" t="s">
        <v>464</v>
      </c>
      <c r="B440">
        <f>HYPERLINK("https://www.suredividend.com/sure-analysis-UBS/","UBS Group AG")</f>
        <v>0</v>
      </c>
      <c r="C440" t="s">
        <v>870</v>
      </c>
      <c r="D440">
        <v>16</v>
      </c>
      <c r="E440">
        <v>16.43</v>
      </c>
      <c r="F440">
        <v>18</v>
      </c>
      <c r="G440">
        <v>0.9127777777777778</v>
      </c>
      <c r="H440">
        <v>0.03043213633597078</v>
      </c>
      <c r="I440">
        <v>0.0184201613710171</v>
      </c>
      <c r="J440">
        <v>0.03</v>
      </c>
      <c r="K440">
        <v>0.07591723002134443</v>
      </c>
      <c r="L440" t="s">
        <v>568</v>
      </c>
      <c r="M440" t="s">
        <v>586</v>
      </c>
      <c r="N440">
        <v>6.845833333333333</v>
      </c>
      <c r="O440">
        <v>2.4</v>
      </c>
      <c r="P440">
        <v>0.5</v>
      </c>
      <c r="Q440">
        <v>0.2083333333333333</v>
      </c>
      <c r="R440">
        <v>1</v>
      </c>
      <c r="S440">
        <v>0.04057159395880827</v>
      </c>
      <c r="T440" t="s">
        <v>958</v>
      </c>
      <c r="U440">
        <v>-0.08582048029200301</v>
      </c>
      <c r="V440" t="s">
        <v>978</v>
      </c>
      <c r="W440" t="s">
        <v>986</v>
      </c>
      <c r="X440">
        <v>57909.764912</v>
      </c>
      <c r="Y440" s="2">
        <v>44860</v>
      </c>
      <c r="Z440" t="s">
        <v>996</v>
      </c>
    </row>
    <row r="441" spans="1:26">
      <c r="A441" s="1" t="s">
        <v>465</v>
      </c>
      <c r="B441">
        <f>HYPERLINK("https://www.suredividend.com/sure-analysis-HE/","Hawaiian Electric Industries, Inc.")</f>
        <v>0</v>
      </c>
      <c r="C441" t="s">
        <v>870</v>
      </c>
      <c r="D441">
        <v>43</v>
      </c>
      <c r="E441">
        <v>37.89</v>
      </c>
      <c r="F441">
        <v>37</v>
      </c>
      <c r="G441">
        <v>1.024054054054054</v>
      </c>
      <c r="H441">
        <v>0.03694906307732911</v>
      </c>
      <c r="I441">
        <v>-0.004742580757358894</v>
      </c>
      <c r="J441">
        <v>0.047</v>
      </c>
      <c r="K441">
        <v>0.07580012640902356</v>
      </c>
      <c r="L441" t="s">
        <v>568</v>
      </c>
      <c r="M441" t="s">
        <v>568</v>
      </c>
      <c r="N441">
        <v>18.48292682926829</v>
      </c>
      <c r="O441">
        <v>2.05</v>
      </c>
      <c r="P441">
        <v>1.4</v>
      </c>
      <c r="Q441">
        <v>0.6829268292682927</v>
      </c>
      <c r="R441">
        <v>4</v>
      </c>
      <c r="S441">
        <v>0.04683184708394994</v>
      </c>
      <c r="T441" t="s">
        <v>876</v>
      </c>
      <c r="U441">
        <v>-0.04755919762706701</v>
      </c>
      <c r="V441" t="s">
        <v>978</v>
      </c>
      <c r="W441" t="s">
        <v>987</v>
      </c>
      <c r="X441">
        <v>4147.783934</v>
      </c>
      <c r="Y441" s="2">
        <v>44781</v>
      </c>
      <c r="Z441" t="s">
        <v>1000</v>
      </c>
    </row>
    <row r="442" spans="1:26">
      <c r="A442" s="1" t="s">
        <v>466</v>
      </c>
      <c r="B442">
        <f>HYPERLINK("https://www.suredividend.com/sure-analysis-SXI/","Standex International Corp.")</f>
        <v>0</v>
      </c>
      <c r="C442" t="s">
        <v>869</v>
      </c>
      <c r="D442">
        <v>83</v>
      </c>
      <c r="E442">
        <v>100.5</v>
      </c>
      <c r="F442">
        <v>119</v>
      </c>
      <c r="G442">
        <v>0.8445378151260504</v>
      </c>
      <c r="H442">
        <v>0.01034825870646766</v>
      </c>
      <c r="I442">
        <v>0.03437062826383719</v>
      </c>
      <c r="J442">
        <v>0.03</v>
      </c>
      <c r="K442">
        <v>0.07539816682940659</v>
      </c>
      <c r="L442" t="s">
        <v>568</v>
      </c>
      <c r="M442" t="s">
        <v>637</v>
      </c>
      <c r="N442">
        <v>15.22727272727273</v>
      </c>
      <c r="O442">
        <v>6.6</v>
      </c>
      <c r="P442">
        <v>1.04</v>
      </c>
      <c r="Q442">
        <v>0.1575757575757576</v>
      </c>
      <c r="R442">
        <v>12</v>
      </c>
      <c r="S442">
        <v>0.08026826569151013</v>
      </c>
      <c r="T442" t="s">
        <v>898</v>
      </c>
      <c r="U442">
        <v>-0.116848423069149</v>
      </c>
      <c r="V442" t="s">
        <v>978</v>
      </c>
      <c r="W442" t="s">
        <v>984</v>
      </c>
      <c r="X442">
        <v>1203.247808</v>
      </c>
      <c r="Y442" s="2">
        <v>44829</v>
      </c>
      <c r="Z442" t="s">
        <v>995</v>
      </c>
    </row>
    <row r="443" spans="1:26">
      <c r="A443" s="1" t="s">
        <v>467</v>
      </c>
      <c r="B443">
        <f>HYPERLINK("https://www.suredividend.com/sure-analysis-IDA/","Idacorp, Inc.")</f>
        <v>0</v>
      </c>
      <c r="C443" t="s">
        <v>870</v>
      </c>
      <c r="D443">
        <v>103</v>
      </c>
      <c r="E443">
        <v>103.8</v>
      </c>
      <c r="F443">
        <v>107</v>
      </c>
      <c r="G443">
        <v>0.9700934579439252</v>
      </c>
      <c r="H443">
        <v>0.03044315992292871</v>
      </c>
      <c r="I443">
        <v>0.006091048194804216</v>
      </c>
      <c r="J443">
        <v>0.04</v>
      </c>
      <c r="K443">
        <v>0.07426171604395226</v>
      </c>
      <c r="L443" t="s">
        <v>568</v>
      </c>
      <c r="M443" t="s">
        <v>568</v>
      </c>
      <c r="N443">
        <v>20.35294117647059</v>
      </c>
      <c r="O443">
        <v>5.1</v>
      </c>
      <c r="P443">
        <v>3.16</v>
      </c>
      <c r="Q443">
        <v>0.6196078431372549</v>
      </c>
      <c r="R443">
        <v>12</v>
      </c>
      <c r="S443">
        <v>0.04984115279430545</v>
      </c>
      <c r="T443" t="s">
        <v>922</v>
      </c>
      <c r="U443">
        <v>0.028449815017745</v>
      </c>
      <c r="V443" t="s">
        <v>978</v>
      </c>
      <c r="W443" t="s">
        <v>987</v>
      </c>
      <c r="X443">
        <v>5248.32439</v>
      </c>
      <c r="Y443" s="2">
        <v>44869</v>
      </c>
      <c r="Z443" t="s">
        <v>1002</v>
      </c>
    </row>
    <row r="444" spans="1:26">
      <c r="A444" s="1" t="s">
        <v>468</v>
      </c>
      <c r="B444">
        <f>HYPERLINK("https://www.suredividend.com/sure-analysis-LYB/","LyondellBasell Industries NV")</f>
        <v>0</v>
      </c>
      <c r="C444" t="s">
        <v>870</v>
      </c>
      <c r="D444">
        <v>78</v>
      </c>
      <c r="E444">
        <v>83.66</v>
      </c>
      <c r="F444">
        <v>117</v>
      </c>
      <c r="G444">
        <v>0.715042735042735</v>
      </c>
      <c r="H444">
        <v>0.05689696390150609</v>
      </c>
      <c r="I444">
        <v>0.06938379895253077</v>
      </c>
      <c r="J444">
        <v>-0.05</v>
      </c>
      <c r="K444">
        <v>0.07297000487799932</v>
      </c>
      <c r="L444" t="s">
        <v>568</v>
      </c>
      <c r="M444" t="s">
        <v>873</v>
      </c>
      <c r="N444">
        <v>5.730136986301369</v>
      </c>
      <c r="O444">
        <v>14.6</v>
      </c>
      <c r="P444">
        <v>4.76</v>
      </c>
      <c r="Q444">
        <v>0.326027397260274</v>
      </c>
      <c r="R444">
        <v>12</v>
      </c>
      <c r="S444">
        <v>0.06000153927394081</v>
      </c>
      <c r="T444" t="s">
        <v>882</v>
      </c>
      <c r="U444">
        <v>-0.01411886431584</v>
      </c>
      <c r="V444" t="s">
        <v>978</v>
      </c>
      <c r="W444" t="s">
        <v>989</v>
      </c>
      <c r="X444">
        <v>27241.740065</v>
      </c>
      <c r="Y444" s="2">
        <v>44864</v>
      </c>
      <c r="Z444" t="s">
        <v>1000</v>
      </c>
    </row>
    <row r="445" spans="1:26">
      <c r="A445" s="1" t="s">
        <v>469</v>
      </c>
      <c r="B445">
        <f>HYPERLINK("https://www.suredividend.com/sure-analysis-COF/","Capital One Financial Corp.")</f>
        <v>0</v>
      </c>
      <c r="C445" t="s">
        <v>870</v>
      </c>
      <c r="D445">
        <v>104</v>
      </c>
      <c r="E445">
        <v>102.53</v>
      </c>
      <c r="F445">
        <v>190</v>
      </c>
      <c r="G445">
        <v>0.5396315789473685</v>
      </c>
      <c r="H445">
        <v>0.02340778308787672</v>
      </c>
      <c r="I445">
        <v>0.1313071416314275</v>
      </c>
      <c r="J445">
        <v>-0.07000000000000001</v>
      </c>
      <c r="K445">
        <v>0.07221532227551886</v>
      </c>
      <c r="L445" t="s">
        <v>568</v>
      </c>
      <c r="M445" t="s">
        <v>586</v>
      </c>
      <c r="N445">
        <v>5.396315789473684</v>
      </c>
      <c r="O445">
        <v>19</v>
      </c>
      <c r="P445">
        <v>2.4</v>
      </c>
      <c r="Q445">
        <v>0.1263157894736842</v>
      </c>
      <c r="R445">
        <v>1</v>
      </c>
      <c r="S445">
        <v>0.02983277847878951</v>
      </c>
      <c r="T445" t="s">
        <v>904</v>
      </c>
      <c r="U445">
        <v>-0.319374751478516</v>
      </c>
      <c r="V445" t="s">
        <v>978</v>
      </c>
      <c r="W445" t="s">
        <v>986</v>
      </c>
      <c r="X445">
        <v>39352.830934</v>
      </c>
      <c r="Y445" s="2">
        <v>44862</v>
      </c>
      <c r="Z445" t="s">
        <v>1002</v>
      </c>
    </row>
    <row r="446" spans="1:26">
      <c r="A446" s="1" t="s">
        <v>470</v>
      </c>
      <c r="B446">
        <f>HYPERLINK("https://www.suredividend.com/sure-analysis-SR/","Spire Inc.")</f>
        <v>0</v>
      </c>
      <c r="C446" t="s">
        <v>870</v>
      </c>
      <c r="D446">
        <v>73</v>
      </c>
      <c r="E446">
        <v>68.48</v>
      </c>
      <c r="F446">
        <v>62</v>
      </c>
      <c r="G446">
        <v>1.104516129032258</v>
      </c>
      <c r="H446">
        <v>0.04001168224299066</v>
      </c>
      <c r="I446">
        <v>-0.01968513622896639</v>
      </c>
      <c r="J446">
        <v>0.055</v>
      </c>
      <c r="K446">
        <v>0.07197664402380721</v>
      </c>
      <c r="L446" t="s">
        <v>568</v>
      </c>
      <c r="M446" t="s">
        <v>873</v>
      </c>
      <c r="N446">
        <v>17.60411311053985</v>
      </c>
      <c r="O446">
        <v>3.89</v>
      </c>
      <c r="P446">
        <v>2.74</v>
      </c>
      <c r="Q446">
        <v>0.7043701799485862</v>
      </c>
      <c r="R446">
        <v>19</v>
      </c>
      <c r="S446">
        <v>0.05017940304678881</v>
      </c>
      <c r="T446" t="s">
        <v>933</v>
      </c>
      <c r="U446">
        <v>0.133960698856269</v>
      </c>
      <c r="V446" t="s">
        <v>978</v>
      </c>
      <c r="W446" t="s">
        <v>987</v>
      </c>
      <c r="X446">
        <v>3594.705369</v>
      </c>
      <c r="Y446" s="2">
        <v>44801</v>
      </c>
      <c r="Z446" t="s">
        <v>997</v>
      </c>
    </row>
    <row r="447" spans="1:26">
      <c r="A447" s="1" t="s">
        <v>471</v>
      </c>
      <c r="B447">
        <f>HYPERLINK("https://www.suredividend.com/sure-analysis-SO/","Southern Company")</f>
        <v>0</v>
      </c>
      <c r="C447" t="s">
        <v>870</v>
      </c>
      <c r="D447">
        <v>66</v>
      </c>
      <c r="E447">
        <v>64.91</v>
      </c>
      <c r="F447">
        <v>60</v>
      </c>
      <c r="G447">
        <v>1.081833333333333</v>
      </c>
      <c r="H447">
        <v>0.04190417501155447</v>
      </c>
      <c r="I447">
        <v>-0.01560833399298989</v>
      </c>
      <c r="J447">
        <v>0.05</v>
      </c>
      <c r="K447">
        <v>0.07128054053378885</v>
      </c>
      <c r="L447" t="s">
        <v>568</v>
      </c>
      <c r="M447" t="s">
        <v>873</v>
      </c>
      <c r="N447">
        <v>18.13128491620112</v>
      </c>
      <c r="O447">
        <v>3.58</v>
      </c>
      <c r="P447">
        <v>2.72</v>
      </c>
      <c r="Q447">
        <v>0.7597765363128492</v>
      </c>
      <c r="R447">
        <v>21</v>
      </c>
      <c r="S447">
        <v>0.03303780411393231</v>
      </c>
      <c r="T447" t="s">
        <v>905</v>
      </c>
      <c r="U447">
        <v>0.07959497308912801</v>
      </c>
      <c r="V447" t="s">
        <v>978</v>
      </c>
      <c r="W447" t="s">
        <v>987</v>
      </c>
      <c r="X447">
        <v>70665.75326500001</v>
      </c>
      <c r="Y447" s="2">
        <v>44865</v>
      </c>
      <c r="Z447" t="s">
        <v>996</v>
      </c>
    </row>
    <row r="448" spans="1:26">
      <c r="A448" s="1" t="s">
        <v>472</v>
      </c>
      <c r="B448">
        <f>HYPERLINK("https://www.suredividend.com/sure-analysis-HPE/","Hewlett Packard Enterprise Co")</f>
        <v>0</v>
      </c>
      <c r="C448" t="s">
        <v>870</v>
      </c>
      <c r="D448">
        <v>13.65</v>
      </c>
      <c r="E448">
        <v>14.25</v>
      </c>
      <c r="F448">
        <v>15</v>
      </c>
      <c r="G448">
        <v>0.95</v>
      </c>
      <c r="H448">
        <v>0.03368421052631579</v>
      </c>
      <c r="I448">
        <v>0.01031145931793609</v>
      </c>
      <c r="J448">
        <v>0.03</v>
      </c>
      <c r="K448">
        <v>0.07101722745032313</v>
      </c>
      <c r="L448" t="s">
        <v>568</v>
      </c>
      <c r="M448" t="s">
        <v>568</v>
      </c>
      <c r="N448">
        <v>7.125</v>
      </c>
      <c r="O448">
        <v>2</v>
      </c>
      <c r="P448">
        <v>0.48</v>
      </c>
      <c r="Q448">
        <v>0.24</v>
      </c>
      <c r="R448">
        <v>0</v>
      </c>
      <c r="S448">
        <v>0.03857377308425858</v>
      </c>
      <c r="T448" t="s">
        <v>933</v>
      </c>
      <c r="U448">
        <v>-0.036146208165363</v>
      </c>
      <c r="V448" t="s">
        <v>978</v>
      </c>
      <c r="W448" t="s">
        <v>982</v>
      </c>
      <c r="X448">
        <v>18335.487768</v>
      </c>
      <c r="Y448" s="2">
        <v>44804</v>
      </c>
      <c r="Z448" t="s">
        <v>1000</v>
      </c>
    </row>
    <row r="449" spans="1:26">
      <c r="A449" s="1" t="s">
        <v>473</v>
      </c>
      <c r="B449">
        <f>HYPERLINK("https://www.suredividend.com/sure-analysis-NNN/","National Retail Properties Inc")</f>
        <v>0</v>
      </c>
      <c r="C449" t="s">
        <v>870</v>
      </c>
      <c r="D449">
        <v>46</v>
      </c>
      <c r="E449">
        <v>42.94</v>
      </c>
      <c r="F449">
        <v>44</v>
      </c>
      <c r="G449">
        <v>0.9759090909090908</v>
      </c>
      <c r="H449">
        <v>0.0512342803912436</v>
      </c>
      <c r="I449">
        <v>0.004889081037752652</v>
      </c>
      <c r="J449">
        <v>0.02</v>
      </c>
      <c r="K449">
        <v>0.07064085138141385</v>
      </c>
      <c r="L449" t="s">
        <v>568</v>
      </c>
      <c r="M449" t="s">
        <v>872</v>
      </c>
      <c r="N449">
        <v>13.80707395498392</v>
      </c>
      <c r="O449">
        <v>3.11</v>
      </c>
      <c r="P449">
        <v>2.2</v>
      </c>
      <c r="Q449">
        <v>0.707395498392283</v>
      </c>
      <c r="R449">
        <v>21</v>
      </c>
      <c r="S449">
        <v>0.02424959287881534</v>
      </c>
      <c r="T449" t="s">
        <v>911</v>
      </c>
      <c r="U449">
        <v>-0.02327623267589</v>
      </c>
      <c r="V449" t="s">
        <v>980</v>
      </c>
      <c r="W449" t="s">
        <v>992</v>
      </c>
      <c r="X449">
        <v>7674.78596</v>
      </c>
      <c r="Y449" s="2">
        <v>44780</v>
      </c>
      <c r="Z449" t="s">
        <v>999</v>
      </c>
    </row>
    <row r="450" spans="1:26">
      <c r="A450" s="1" t="s">
        <v>474</v>
      </c>
      <c r="B450">
        <f>HYPERLINK("https://www.suredividend.com/sure-analysis-CLX/","Clorox Co.")</f>
        <v>0</v>
      </c>
      <c r="C450" t="s">
        <v>870</v>
      </c>
      <c r="D450">
        <v>145</v>
      </c>
      <c r="E450">
        <v>140.69</v>
      </c>
      <c r="F450">
        <v>97</v>
      </c>
      <c r="G450">
        <v>1.450412371134021</v>
      </c>
      <c r="H450">
        <v>0.03354893738005544</v>
      </c>
      <c r="I450">
        <v>-0.07167146306323424</v>
      </c>
      <c r="J450">
        <v>0.12</v>
      </c>
      <c r="K450">
        <v>0.07021937899312602</v>
      </c>
      <c r="L450" t="s">
        <v>568</v>
      </c>
      <c r="M450" t="s">
        <v>568</v>
      </c>
      <c r="N450">
        <v>33.49761904761905</v>
      </c>
      <c r="O450">
        <v>4.2</v>
      </c>
      <c r="P450">
        <v>4.72</v>
      </c>
      <c r="Q450">
        <v>1.123809523809524</v>
      </c>
      <c r="R450">
        <v>45</v>
      </c>
      <c r="S450">
        <v>0.03990574802440205</v>
      </c>
      <c r="T450" t="s">
        <v>928</v>
      </c>
      <c r="U450">
        <v>-0.117673251244564</v>
      </c>
      <c r="V450" t="s">
        <v>978</v>
      </c>
      <c r="W450" t="s">
        <v>990</v>
      </c>
      <c r="X450">
        <v>17359.00709</v>
      </c>
      <c r="Y450" s="2">
        <v>44781</v>
      </c>
      <c r="Z450" t="s">
        <v>1001</v>
      </c>
    </row>
    <row r="451" spans="1:26">
      <c r="A451" s="1" t="s">
        <v>475</v>
      </c>
      <c r="B451">
        <f>HYPERLINK("https://www.suredividend.com/sure-analysis-IEX/","Idex Corporation")</f>
        <v>0</v>
      </c>
      <c r="C451" t="s">
        <v>870</v>
      </c>
      <c r="D451">
        <v>207</v>
      </c>
      <c r="E451">
        <v>222.59</v>
      </c>
      <c r="F451">
        <v>205</v>
      </c>
      <c r="G451">
        <v>1.085804878048781</v>
      </c>
      <c r="H451">
        <v>0.01078215553259356</v>
      </c>
      <c r="I451">
        <v>-0.01632951109776537</v>
      </c>
      <c r="J451">
        <v>0.075</v>
      </c>
      <c r="K451">
        <v>0.06755262410391749</v>
      </c>
      <c r="L451" t="s">
        <v>568</v>
      </c>
      <c r="M451" t="s">
        <v>637</v>
      </c>
      <c r="N451">
        <v>28.17594936708861</v>
      </c>
      <c r="O451">
        <v>7.9</v>
      </c>
      <c r="P451">
        <v>2.4</v>
      </c>
      <c r="Q451">
        <v>0.3037974683544303</v>
      </c>
      <c r="R451">
        <v>13</v>
      </c>
      <c r="S451">
        <v>0.05988502997905321</v>
      </c>
      <c r="T451" t="s">
        <v>910</v>
      </c>
      <c r="U451">
        <v>-0.034794908552899</v>
      </c>
      <c r="V451" t="s">
        <v>978</v>
      </c>
      <c r="W451" t="s">
        <v>984</v>
      </c>
      <c r="X451">
        <v>16787.984652</v>
      </c>
      <c r="Y451" s="2">
        <v>44771</v>
      </c>
      <c r="Z451" t="s">
        <v>995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870</v>
      </c>
      <c r="D452">
        <v>153</v>
      </c>
      <c r="E452">
        <v>160.37</v>
      </c>
      <c r="F452">
        <v>152</v>
      </c>
      <c r="G452">
        <v>1.055065789473684</v>
      </c>
      <c r="H452">
        <v>0.01471596932094531</v>
      </c>
      <c r="I452">
        <v>-0.01066336384296573</v>
      </c>
      <c r="J452">
        <v>0.065</v>
      </c>
      <c r="K452">
        <v>0.06754617264321428</v>
      </c>
      <c r="L452" t="s">
        <v>568</v>
      </c>
      <c r="M452" t="s">
        <v>637</v>
      </c>
      <c r="N452">
        <v>23.68833087149188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885</v>
      </c>
      <c r="U452">
        <v>0.009061862533017001</v>
      </c>
      <c r="V452" t="s">
        <v>978</v>
      </c>
      <c r="W452" t="s">
        <v>986</v>
      </c>
      <c r="X452">
        <v>79545.044477</v>
      </c>
      <c r="Y452" s="2">
        <v>44861</v>
      </c>
      <c r="Z452" t="s">
        <v>998</v>
      </c>
    </row>
    <row r="453" spans="1:26">
      <c r="A453" s="1" t="s">
        <v>477</v>
      </c>
      <c r="B453">
        <f>HYPERLINK("https://www.suredividend.com/sure-analysis-DKS/","Dicks Sporting Goods, Inc.")</f>
        <v>0</v>
      </c>
      <c r="C453" t="s">
        <v>870</v>
      </c>
      <c r="D453">
        <v>108</v>
      </c>
      <c r="E453">
        <v>110.1</v>
      </c>
      <c r="F453">
        <v>112</v>
      </c>
      <c r="G453">
        <v>0.9830357142857142</v>
      </c>
      <c r="H453">
        <v>0.01771117166212534</v>
      </c>
      <c r="I453">
        <v>0.003427827121445848</v>
      </c>
      <c r="J453">
        <v>0.045</v>
      </c>
      <c r="K453">
        <v>0.06703329232086097</v>
      </c>
      <c r="L453" t="s">
        <v>568</v>
      </c>
      <c r="M453" t="s">
        <v>586</v>
      </c>
      <c r="N453">
        <v>9.874439461883407</v>
      </c>
      <c r="O453">
        <v>11.15</v>
      </c>
      <c r="P453">
        <v>1.95</v>
      </c>
      <c r="Q453">
        <v>0.1748878923766816</v>
      </c>
      <c r="R453">
        <v>8</v>
      </c>
      <c r="S453">
        <v>0.08997698704834534</v>
      </c>
      <c r="T453" t="s">
        <v>901</v>
      </c>
      <c r="U453">
        <v>-0.133840861155712</v>
      </c>
      <c r="V453" t="s">
        <v>978</v>
      </c>
      <c r="W453" t="s">
        <v>983</v>
      </c>
      <c r="X453">
        <v>6121.925092</v>
      </c>
      <c r="Y453" s="2">
        <v>44809</v>
      </c>
      <c r="Z453" t="s">
        <v>998</v>
      </c>
    </row>
    <row r="454" spans="1:26">
      <c r="A454" s="1" t="s">
        <v>478</v>
      </c>
      <c r="B454">
        <f>HYPERLINK("https://www.suredividend.com/sure-analysis-AEP/","American Electric Power Company Inc.")</f>
        <v>0</v>
      </c>
      <c r="C454" t="s">
        <v>870</v>
      </c>
      <c r="D454">
        <v>99.09999999999999</v>
      </c>
      <c r="E454">
        <v>89.56999999999999</v>
      </c>
      <c r="F454">
        <v>85.2</v>
      </c>
      <c r="G454">
        <v>1.051291079812206</v>
      </c>
      <c r="H454">
        <v>0.03706598191358714</v>
      </c>
      <c r="I454">
        <v>-0.009953930146194834</v>
      </c>
      <c r="J454">
        <v>0.044</v>
      </c>
      <c r="K454">
        <v>0.06473571622613128</v>
      </c>
      <c r="L454" t="s">
        <v>568</v>
      </c>
      <c r="M454" t="s">
        <v>873</v>
      </c>
      <c r="N454">
        <v>17.87824351297405</v>
      </c>
      <c r="O454">
        <v>5.01</v>
      </c>
      <c r="P454">
        <v>3.32</v>
      </c>
      <c r="Q454">
        <v>0.6626746506986028</v>
      </c>
      <c r="R454">
        <v>18</v>
      </c>
      <c r="S454">
        <v>0.005952801550624054</v>
      </c>
      <c r="T454" t="s">
        <v>875</v>
      </c>
      <c r="U454">
        <v>0.10431096765603</v>
      </c>
      <c r="V454" t="s">
        <v>978</v>
      </c>
      <c r="W454" t="s">
        <v>987</v>
      </c>
      <c r="X454">
        <v>46026.769638</v>
      </c>
      <c r="Y454" s="2">
        <v>44775</v>
      </c>
      <c r="Z454" t="s">
        <v>999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870</v>
      </c>
      <c r="D455">
        <v>98</v>
      </c>
      <c r="E455">
        <v>99.53</v>
      </c>
      <c r="F455">
        <v>135</v>
      </c>
      <c r="G455">
        <v>0.7372592592592593</v>
      </c>
      <c r="H455">
        <v>0.02511805485783181</v>
      </c>
      <c r="I455">
        <v>0.06285973054161409</v>
      </c>
      <c r="J455">
        <v>-0.022</v>
      </c>
      <c r="K455">
        <v>0.06309720818606368</v>
      </c>
      <c r="L455" t="s">
        <v>568</v>
      </c>
      <c r="M455" t="s">
        <v>586</v>
      </c>
      <c r="N455">
        <v>7.372592592592593</v>
      </c>
      <c r="O455">
        <v>13.5</v>
      </c>
      <c r="P455">
        <v>2.5</v>
      </c>
      <c r="Q455">
        <v>0.1851851851851852</v>
      </c>
      <c r="R455">
        <v>2</v>
      </c>
      <c r="S455">
        <v>0.04664144477104482</v>
      </c>
      <c r="T455" t="s">
        <v>895</v>
      </c>
      <c r="U455">
        <v>0.098552996103795</v>
      </c>
      <c r="V455" t="s">
        <v>978</v>
      </c>
      <c r="W455" t="s">
        <v>990</v>
      </c>
      <c r="X455">
        <v>14909.610223</v>
      </c>
      <c r="Y455" s="2">
        <v>44864</v>
      </c>
      <c r="Z455" t="s">
        <v>1003</v>
      </c>
    </row>
    <row r="456" spans="1:26">
      <c r="A456" s="1" t="s">
        <v>480</v>
      </c>
      <c r="B456">
        <f>HYPERLINK("https://www.suredividend.com/sure-analysis-LOGI/","Logitech International S.A.")</f>
        <v>0</v>
      </c>
      <c r="C456" t="s">
        <v>870</v>
      </c>
      <c r="D456">
        <v>50</v>
      </c>
      <c r="E456">
        <v>51.21</v>
      </c>
      <c r="F456">
        <v>54</v>
      </c>
      <c r="G456">
        <v>0.9483333333333334</v>
      </c>
      <c r="H456">
        <v>0.019136887326694</v>
      </c>
      <c r="I456">
        <v>0.01066632820046776</v>
      </c>
      <c r="J456">
        <v>0.03</v>
      </c>
      <c r="K456">
        <v>0.06185829135842669</v>
      </c>
      <c r="L456" t="s">
        <v>568</v>
      </c>
      <c r="M456" t="s">
        <v>637</v>
      </c>
      <c r="N456">
        <v>14.34453781512605</v>
      </c>
      <c r="O456">
        <v>3.57</v>
      </c>
      <c r="P456">
        <v>0.98</v>
      </c>
      <c r="Q456">
        <v>0.2745098039215687</v>
      </c>
      <c r="R456">
        <v>8</v>
      </c>
      <c r="S456">
        <v>0.09743726841698619</v>
      </c>
      <c r="T456" t="s">
        <v>959</v>
      </c>
      <c r="U456">
        <v>-0.352775759107712</v>
      </c>
      <c r="V456" t="s">
        <v>978</v>
      </c>
      <c r="W456" t="s">
        <v>982</v>
      </c>
      <c r="X456">
        <v>8864.790010000001</v>
      </c>
      <c r="Y456" s="2">
        <v>44862</v>
      </c>
      <c r="Z456" t="s">
        <v>993</v>
      </c>
    </row>
    <row r="457" spans="1:26">
      <c r="A457" s="1" t="s">
        <v>481</v>
      </c>
      <c r="B457">
        <f>HYPERLINK("https://www.suredividend.com/sure-analysis-WPC/","W. P. Carey Inc")</f>
        <v>0</v>
      </c>
      <c r="C457" t="s">
        <v>870</v>
      </c>
      <c r="D457">
        <v>88</v>
      </c>
      <c r="E457">
        <v>77.40000000000001</v>
      </c>
      <c r="F457">
        <v>69</v>
      </c>
      <c r="G457">
        <v>1.121739130434783</v>
      </c>
      <c r="H457">
        <v>0.05478036175710594</v>
      </c>
      <c r="I457">
        <v>-0.02271411559153247</v>
      </c>
      <c r="J457">
        <v>0.035</v>
      </c>
      <c r="K457">
        <v>0.06178350786776066</v>
      </c>
      <c r="L457" t="s">
        <v>568</v>
      </c>
      <c r="M457" t="s">
        <v>872</v>
      </c>
      <c r="N457">
        <v>14.68690702087287</v>
      </c>
      <c r="O457">
        <v>5.27</v>
      </c>
      <c r="P457">
        <v>4.24</v>
      </c>
      <c r="Q457">
        <v>0.8045540796963948</v>
      </c>
      <c r="R457">
        <v>26</v>
      </c>
      <c r="S457">
        <v>0.01994322923769842</v>
      </c>
      <c r="T457" t="s">
        <v>886</v>
      </c>
      <c r="U457">
        <v>0.047042510737596</v>
      </c>
      <c r="V457" t="s">
        <v>980</v>
      </c>
      <c r="W457" t="s">
        <v>992</v>
      </c>
      <c r="X457">
        <v>14931.150098</v>
      </c>
      <c r="Y457" s="2">
        <v>44795</v>
      </c>
      <c r="Z457" t="s">
        <v>994</v>
      </c>
    </row>
    <row r="458" spans="1:26">
      <c r="A458" s="1" t="s">
        <v>482</v>
      </c>
      <c r="B458">
        <f>HYPERLINK("https://www.suredividend.com/sure-analysis-AGM/","Federal Agricultural Mortgage Corp.")</f>
        <v>0</v>
      </c>
      <c r="C458" t="s">
        <v>870</v>
      </c>
      <c r="D458">
        <v>116</v>
      </c>
      <c r="E458">
        <v>115.33</v>
      </c>
      <c r="F458">
        <v>99</v>
      </c>
      <c r="G458">
        <v>1.164949494949495</v>
      </c>
      <c r="H458">
        <v>0.03294892915980231</v>
      </c>
      <c r="I458">
        <v>-0.03007404632950483</v>
      </c>
      <c r="J458">
        <v>0.06</v>
      </c>
      <c r="K458">
        <v>0.06118713965925249</v>
      </c>
      <c r="L458" t="s">
        <v>568</v>
      </c>
      <c r="M458" t="s">
        <v>586</v>
      </c>
      <c r="N458">
        <v>10.44655797101449</v>
      </c>
      <c r="O458">
        <v>11.04</v>
      </c>
      <c r="P458">
        <v>3.8</v>
      </c>
      <c r="Q458">
        <v>0.3442028985507247</v>
      </c>
      <c r="R458">
        <v>11</v>
      </c>
      <c r="S458">
        <v>0.06019764974536046</v>
      </c>
      <c r="T458" t="s">
        <v>883</v>
      </c>
      <c r="U458">
        <v>-0.09071341901373101</v>
      </c>
      <c r="V458" t="s">
        <v>978</v>
      </c>
      <c r="W458" t="s">
        <v>986</v>
      </c>
      <c r="X458">
        <v>1179.279148</v>
      </c>
      <c r="Y458" s="2">
        <v>44785</v>
      </c>
      <c r="Z458" t="s">
        <v>998</v>
      </c>
    </row>
    <row r="459" spans="1:26">
      <c r="A459" s="1" t="s">
        <v>483</v>
      </c>
      <c r="B459">
        <f>HYPERLINK("https://www.suredividend.com/sure-analysis-DUK/","Duke Energy Corp.")</f>
        <v>0</v>
      </c>
      <c r="C459" t="s">
        <v>871</v>
      </c>
      <c r="D459">
        <v>110.3</v>
      </c>
      <c r="E459">
        <v>93.61</v>
      </c>
      <c r="F459">
        <v>81.8</v>
      </c>
      <c r="G459">
        <v>1.144376528117359</v>
      </c>
      <c r="H459">
        <v>0.04294412990065163</v>
      </c>
      <c r="I459">
        <v>-0.02661149848455191</v>
      </c>
      <c r="J459">
        <v>0.048</v>
      </c>
      <c r="K459">
        <v>0.06088316372882563</v>
      </c>
      <c r="L459" t="s">
        <v>568</v>
      </c>
      <c r="M459" t="s">
        <v>873</v>
      </c>
      <c r="N459">
        <v>17.17614678899082</v>
      </c>
      <c r="O459">
        <v>5.45</v>
      </c>
      <c r="P459">
        <v>4.02</v>
      </c>
      <c r="Q459">
        <v>0.7376146788990825</v>
      </c>
      <c r="R459">
        <v>11</v>
      </c>
      <c r="S459">
        <v>0.03610325209611243</v>
      </c>
      <c r="T459" t="s">
        <v>913</v>
      </c>
      <c r="U459">
        <v>-0.037624255035226</v>
      </c>
      <c r="V459" t="s">
        <v>978</v>
      </c>
      <c r="W459" t="s">
        <v>987</v>
      </c>
      <c r="X459">
        <v>72070.38412</v>
      </c>
      <c r="Y459" s="2">
        <v>44786</v>
      </c>
      <c r="Z459" t="s">
        <v>999</v>
      </c>
    </row>
    <row r="460" spans="1:26">
      <c r="A460" s="1" t="s">
        <v>484</v>
      </c>
      <c r="B460">
        <f>HYPERLINK("https://www.suredividend.com/sure-analysis-FLO/","Flowers Foods, Inc.")</f>
        <v>0</v>
      </c>
      <c r="C460" t="s">
        <v>870</v>
      </c>
      <c r="D460">
        <v>28</v>
      </c>
      <c r="E460">
        <v>28.52</v>
      </c>
      <c r="F460">
        <v>26</v>
      </c>
      <c r="G460">
        <v>1.096923076923077</v>
      </c>
      <c r="H460">
        <v>0.03085553997194951</v>
      </c>
      <c r="I460">
        <v>-0.01833170370677029</v>
      </c>
      <c r="J460">
        <v>0.05</v>
      </c>
      <c r="K460">
        <v>0.06063246925331534</v>
      </c>
      <c r="L460" t="s">
        <v>568</v>
      </c>
      <c r="M460" t="s">
        <v>873</v>
      </c>
      <c r="N460">
        <v>22.28125</v>
      </c>
      <c r="O460">
        <v>1.28</v>
      </c>
      <c r="P460">
        <v>0.88</v>
      </c>
      <c r="Q460">
        <v>0.6875</v>
      </c>
      <c r="R460">
        <v>20</v>
      </c>
      <c r="S460">
        <v>0.04941452284458392</v>
      </c>
      <c r="T460" t="s">
        <v>889</v>
      </c>
      <c r="U460">
        <v>0.165785106400372</v>
      </c>
      <c r="V460" t="s">
        <v>978</v>
      </c>
      <c r="W460" t="s">
        <v>990</v>
      </c>
      <c r="X460">
        <v>6041.436319</v>
      </c>
      <c r="Y460" s="2">
        <v>44793</v>
      </c>
      <c r="Z460" t="s">
        <v>993</v>
      </c>
    </row>
    <row r="461" spans="1:26">
      <c r="A461" s="1" t="s">
        <v>485</v>
      </c>
      <c r="B461">
        <f>HYPERLINK("https://www.suredividend.com/sure-analysis-INTC/","Intel Corp.")</f>
        <v>0</v>
      </c>
      <c r="C461" t="s">
        <v>870</v>
      </c>
      <c r="D461">
        <v>29</v>
      </c>
      <c r="E461">
        <v>28.2</v>
      </c>
      <c r="F461">
        <v>23</v>
      </c>
      <c r="G461">
        <v>1.226086956521739</v>
      </c>
      <c r="H461">
        <v>0.05177304964539007</v>
      </c>
      <c r="I461">
        <v>-0.03994581403824859</v>
      </c>
      <c r="J461">
        <v>0.05</v>
      </c>
      <c r="K461">
        <v>0.06043676079928861</v>
      </c>
      <c r="L461" t="s">
        <v>568</v>
      </c>
      <c r="M461" t="s">
        <v>873</v>
      </c>
      <c r="N461">
        <v>14.46153846153846</v>
      </c>
      <c r="O461">
        <v>1.95</v>
      </c>
      <c r="P461">
        <v>1.46</v>
      </c>
      <c r="Q461">
        <v>0.7487179487179487</v>
      </c>
      <c r="R461">
        <v>8</v>
      </c>
      <c r="S461">
        <v>0.04961980739136629</v>
      </c>
      <c r="T461" t="s">
        <v>919</v>
      </c>
      <c r="U461">
        <v>-0.417227739959578</v>
      </c>
      <c r="V461" t="s">
        <v>978</v>
      </c>
      <c r="W461" t="s">
        <v>982</v>
      </c>
      <c r="X461">
        <v>116381.4</v>
      </c>
      <c r="Y461" s="2">
        <v>44866</v>
      </c>
      <c r="Z461" t="s">
        <v>993</v>
      </c>
    </row>
    <row r="462" spans="1:26">
      <c r="A462" s="1" t="s">
        <v>486</v>
      </c>
      <c r="B462">
        <f>HYPERLINK("https://www.suredividend.com/sure-analysis-M/","Macy`s Inc")</f>
        <v>0</v>
      </c>
      <c r="C462" t="s">
        <v>870</v>
      </c>
      <c r="D462">
        <v>16</v>
      </c>
      <c r="E462">
        <v>19.59</v>
      </c>
      <c r="F462">
        <v>25</v>
      </c>
      <c r="G462">
        <v>0.7836</v>
      </c>
      <c r="H462">
        <v>0.03215926493108729</v>
      </c>
      <c r="I462">
        <v>0.04998021232001992</v>
      </c>
      <c r="J462">
        <v>-0.02</v>
      </c>
      <c r="K462">
        <v>0.05788279749789771</v>
      </c>
      <c r="L462" t="s">
        <v>568</v>
      </c>
      <c r="M462" t="s">
        <v>568</v>
      </c>
      <c r="N462">
        <v>4.778048780487805</v>
      </c>
      <c r="O462">
        <v>4.1</v>
      </c>
      <c r="P462">
        <v>0.63</v>
      </c>
      <c r="Q462">
        <v>0.1536585365853659</v>
      </c>
      <c r="R462">
        <v>1</v>
      </c>
      <c r="S462">
        <v>0.02129568760013512</v>
      </c>
      <c r="T462" t="s">
        <v>883</v>
      </c>
      <c r="U462">
        <v>-0.343703202420157</v>
      </c>
      <c r="V462" t="s">
        <v>978</v>
      </c>
      <c r="W462" t="s">
        <v>983</v>
      </c>
      <c r="X462">
        <v>5308.717138</v>
      </c>
      <c r="Y462" s="2">
        <v>44827</v>
      </c>
      <c r="Z462" t="s">
        <v>994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871</v>
      </c>
      <c r="D463">
        <v>87</v>
      </c>
      <c r="E463">
        <v>74.59</v>
      </c>
      <c r="F463">
        <v>88</v>
      </c>
      <c r="G463">
        <v>0.8476136363636364</v>
      </c>
      <c r="H463">
        <v>0.007373642579434241</v>
      </c>
      <c r="I463">
        <v>0.03361883118112985</v>
      </c>
      <c r="J463">
        <v>0.017</v>
      </c>
      <c r="K463">
        <v>0.05747911035383058</v>
      </c>
      <c r="L463" t="s">
        <v>568</v>
      </c>
      <c r="M463" t="s">
        <v>637</v>
      </c>
      <c r="N463">
        <v>12.12845528455285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960</v>
      </c>
      <c r="U463">
        <v>-0.391846718304117</v>
      </c>
      <c r="V463" t="s">
        <v>978</v>
      </c>
      <c r="W463" t="s">
        <v>982</v>
      </c>
      <c r="X463">
        <v>94062.374475</v>
      </c>
      <c r="Y463" s="2">
        <v>44792</v>
      </c>
      <c r="Z463" t="s">
        <v>993</v>
      </c>
    </row>
    <row r="464" spans="1:26">
      <c r="A464" s="1" t="s">
        <v>488</v>
      </c>
      <c r="B464">
        <f>HYPERLINK("https://www.suredividend.com/sure-analysis-TKR/","Timken Co.")</f>
        <v>0</v>
      </c>
      <c r="C464" t="s">
        <v>870</v>
      </c>
      <c r="D464">
        <v>72</v>
      </c>
      <c r="E464">
        <v>71.90000000000001</v>
      </c>
      <c r="F464">
        <v>76</v>
      </c>
      <c r="G464">
        <v>0.9460526315789475</v>
      </c>
      <c r="H464">
        <v>0.0172461752433936</v>
      </c>
      <c r="I464">
        <v>0.01115315289847096</v>
      </c>
      <c r="J464">
        <v>0.03</v>
      </c>
      <c r="K464">
        <v>0.05706316614933216</v>
      </c>
      <c r="L464" t="s">
        <v>568</v>
      </c>
      <c r="M464" t="s">
        <v>586</v>
      </c>
      <c r="N464">
        <v>12.22789115646259</v>
      </c>
      <c r="O464">
        <v>5.88</v>
      </c>
      <c r="P464">
        <v>1.24</v>
      </c>
      <c r="Q464">
        <v>0.2108843537414966</v>
      </c>
      <c r="R464">
        <v>9</v>
      </c>
      <c r="S464">
        <v>0.03035803310185115</v>
      </c>
      <c r="T464" t="s">
        <v>905</v>
      </c>
      <c r="U464">
        <v>0.027580312761718</v>
      </c>
      <c r="V464" t="s">
        <v>978</v>
      </c>
      <c r="W464" t="s">
        <v>984</v>
      </c>
      <c r="X464">
        <v>5230.264265</v>
      </c>
      <c r="Y464" s="2">
        <v>44866</v>
      </c>
      <c r="Z464" t="s">
        <v>1009</v>
      </c>
    </row>
    <row r="465" spans="1:26">
      <c r="A465" s="1" t="s">
        <v>489</v>
      </c>
      <c r="B465">
        <f>HYPERLINK("https://www.suredividend.com/sure-analysis-GE/","General Electric Co.")</f>
        <v>0</v>
      </c>
      <c r="C465" t="s">
        <v>870</v>
      </c>
      <c r="D465">
        <v>71</v>
      </c>
      <c r="E465">
        <v>81.06999999999999</v>
      </c>
      <c r="F465">
        <v>42</v>
      </c>
      <c r="G465">
        <v>1.930238095238095</v>
      </c>
      <c r="H465">
        <v>0.003947206118169484</v>
      </c>
      <c r="I465">
        <v>-0.1232458636427851</v>
      </c>
      <c r="J465">
        <v>0.2</v>
      </c>
      <c r="K465">
        <v>0.05642103709880342</v>
      </c>
      <c r="L465" t="s">
        <v>568</v>
      </c>
      <c r="M465" t="s">
        <v>637</v>
      </c>
      <c r="N465">
        <v>31.18076923076923</v>
      </c>
      <c r="O465">
        <v>2.6</v>
      </c>
      <c r="P465">
        <v>0.32</v>
      </c>
      <c r="Q465">
        <v>0.1230769230769231</v>
      </c>
      <c r="R465">
        <v>0</v>
      </c>
      <c r="S465">
        <v>0.1019722877214801</v>
      </c>
      <c r="T465" t="s">
        <v>959</v>
      </c>
      <c r="U465">
        <v>-0.226197975725505</v>
      </c>
      <c r="V465" t="s">
        <v>978</v>
      </c>
      <c r="W465" t="s">
        <v>984</v>
      </c>
      <c r="X465">
        <v>88582.60610999999</v>
      </c>
      <c r="Y465" s="2">
        <v>44860</v>
      </c>
      <c r="Z465" t="s">
        <v>1000</v>
      </c>
    </row>
    <row r="466" spans="1:26">
      <c r="A466" s="1" t="s">
        <v>490</v>
      </c>
      <c r="B466">
        <f>HYPERLINK("https://www.suredividend.com/sure-analysis-GNTX/","Gentex Corp.")</f>
        <v>0</v>
      </c>
      <c r="C466" t="s">
        <v>870</v>
      </c>
      <c r="D466">
        <v>27</v>
      </c>
      <c r="E466">
        <v>26.66</v>
      </c>
      <c r="F466">
        <v>24</v>
      </c>
      <c r="G466">
        <v>1.110833333333333</v>
      </c>
      <c r="H466">
        <v>0.01800450112528132</v>
      </c>
      <c r="I466">
        <v>-0.02080267287594584</v>
      </c>
      <c r="J466">
        <v>0.06</v>
      </c>
      <c r="K466">
        <v>0.0563202330843704</v>
      </c>
      <c r="L466" t="s">
        <v>568</v>
      </c>
      <c r="M466" t="s">
        <v>637</v>
      </c>
      <c r="N466">
        <v>18.01351351351351</v>
      </c>
      <c r="O466">
        <v>1.48</v>
      </c>
      <c r="P466">
        <v>0.48</v>
      </c>
      <c r="Q466">
        <v>0.3243243243243243</v>
      </c>
      <c r="R466">
        <v>10</v>
      </c>
      <c r="S466">
        <v>0.06897294358221773</v>
      </c>
      <c r="T466" t="s">
        <v>885</v>
      </c>
      <c r="U466">
        <v>-0.259020439473698</v>
      </c>
      <c r="V466" t="s">
        <v>978</v>
      </c>
      <c r="W466" t="s">
        <v>984</v>
      </c>
      <c r="X466">
        <v>6268.555056</v>
      </c>
      <c r="Y466" s="2">
        <v>44767</v>
      </c>
      <c r="Z466" t="s">
        <v>998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870</v>
      </c>
      <c r="D467">
        <v>311</v>
      </c>
      <c r="E467">
        <v>357.91</v>
      </c>
      <c r="F467">
        <v>357</v>
      </c>
      <c r="G467">
        <v>1.002549019607843</v>
      </c>
      <c r="H467">
        <v>0.02793998491240815</v>
      </c>
      <c r="I467">
        <v>-0.0005090256759662237</v>
      </c>
      <c r="J467">
        <v>0.03</v>
      </c>
      <c r="K467">
        <v>0.05609223502419725</v>
      </c>
      <c r="L467" t="s">
        <v>568</v>
      </c>
      <c r="M467" t="s">
        <v>586</v>
      </c>
      <c r="N467">
        <v>10.52676470588235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874</v>
      </c>
      <c r="U467">
        <v>-0.106398075925828</v>
      </c>
      <c r="V467" t="s">
        <v>978</v>
      </c>
      <c r="W467" t="s">
        <v>986</v>
      </c>
      <c r="X467">
        <v>121200.705391</v>
      </c>
      <c r="Y467" s="2">
        <v>44855</v>
      </c>
      <c r="Z467" t="s">
        <v>1001</v>
      </c>
    </row>
    <row r="468" spans="1:26">
      <c r="A468" s="1" t="s">
        <v>492</v>
      </c>
      <c r="B468">
        <f>HYPERLINK("https://www.suredividend.com/sure-analysis-AVY/","Avery Dennison Corp.")</f>
        <v>0</v>
      </c>
      <c r="C468" t="s">
        <v>870</v>
      </c>
      <c r="D468">
        <v>190</v>
      </c>
      <c r="E468">
        <v>174.56</v>
      </c>
      <c r="F468">
        <v>178</v>
      </c>
      <c r="G468">
        <v>0.9806741573033708</v>
      </c>
      <c r="H468">
        <v>0.01718606782768103</v>
      </c>
      <c r="I468">
        <v>0.003910632287035698</v>
      </c>
      <c r="J468">
        <v>0.035</v>
      </c>
      <c r="K468">
        <v>0.05608738975041727</v>
      </c>
      <c r="L468" t="s">
        <v>568</v>
      </c>
      <c r="M468" t="s">
        <v>637</v>
      </c>
      <c r="N468">
        <v>17.63232323232323</v>
      </c>
      <c r="O468">
        <v>9.9</v>
      </c>
      <c r="P468">
        <v>3</v>
      </c>
      <c r="Q468">
        <v>0.303030303030303</v>
      </c>
      <c r="R468">
        <v>12</v>
      </c>
      <c r="S468">
        <v>0.05975292415044642</v>
      </c>
      <c r="T468" t="s">
        <v>897</v>
      </c>
      <c r="U468">
        <v>-0.194912303276756</v>
      </c>
      <c r="V468" t="s">
        <v>978</v>
      </c>
      <c r="W468" t="s">
        <v>984</v>
      </c>
      <c r="X468">
        <v>14133.951084</v>
      </c>
      <c r="Y468" s="2">
        <v>44771</v>
      </c>
      <c r="Z468" t="s">
        <v>995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870</v>
      </c>
      <c r="D469">
        <v>26</v>
      </c>
      <c r="E469">
        <v>28.65</v>
      </c>
      <c r="F469">
        <v>22</v>
      </c>
      <c r="G469">
        <v>1.302272727272727</v>
      </c>
      <c r="H469">
        <v>0.03071553228621291</v>
      </c>
      <c r="I469">
        <v>-0.05145134862552347</v>
      </c>
      <c r="J469">
        <v>0.08</v>
      </c>
      <c r="K469">
        <v>0.05375063185708084</v>
      </c>
      <c r="L469" t="s">
        <v>568</v>
      </c>
      <c r="M469" t="s">
        <v>568</v>
      </c>
      <c r="N469">
        <v>20.46428571428572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961</v>
      </c>
      <c r="U469">
        <v>-0.153606404821341</v>
      </c>
      <c r="V469" t="s">
        <v>978</v>
      </c>
      <c r="W469" t="s">
        <v>984</v>
      </c>
      <c r="X469">
        <v>56289.946399</v>
      </c>
      <c r="Y469" s="2">
        <v>44855</v>
      </c>
      <c r="Z469" t="s">
        <v>996</v>
      </c>
    </row>
    <row r="470" spans="1:26">
      <c r="A470" s="1" t="s">
        <v>494</v>
      </c>
      <c r="B470">
        <f>HYPERLINK("https://www.suredividend.com/sure-analysis-RGA/","Reinsurance Group Of America, Inc.")</f>
        <v>0</v>
      </c>
      <c r="C470" t="s">
        <v>870</v>
      </c>
      <c r="D470">
        <v>126</v>
      </c>
      <c r="E470">
        <v>142.99</v>
      </c>
      <c r="F470">
        <v>149</v>
      </c>
      <c r="G470">
        <v>0.9596644295302014</v>
      </c>
      <c r="H470">
        <v>0.02237918735575914</v>
      </c>
      <c r="I470">
        <v>0.008268316911847817</v>
      </c>
      <c r="J470">
        <v>0.02</v>
      </c>
      <c r="K470">
        <v>0.05065177063649928</v>
      </c>
      <c r="L470" t="s">
        <v>568</v>
      </c>
      <c r="M470" t="s">
        <v>586</v>
      </c>
      <c r="N470">
        <v>11.53145161290323</v>
      </c>
      <c r="O470">
        <v>12.4</v>
      </c>
      <c r="P470">
        <v>3.2</v>
      </c>
      <c r="Q470">
        <v>0.2580645161290323</v>
      </c>
      <c r="R470">
        <v>13</v>
      </c>
      <c r="S470">
        <v>0.04978904632428516</v>
      </c>
      <c r="T470" t="s">
        <v>888</v>
      </c>
      <c r="U470">
        <v>0.223623925831224</v>
      </c>
      <c r="V470" t="s">
        <v>978</v>
      </c>
      <c r="W470" t="s">
        <v>986</v>
      </c>
      <c r="X470">
        <v>9578.880510000001</v>
      </c>
      <c r="Y470" s="2">
        <v>44783</v>
      </c>
      <c r="Z470" t="s">
        <v>998</v>
      </c>
    </row>
    <row r="471" spans="1:26">
      <c r="A471" s="1" t="s">
        <v>495</v>
      </c>
      <c r="B471">
        <f>HYPERLINK("https://www.suredividend.com/sure-analysis-SU/","Suncor Energy, Inc.")</f>
        <v>0</v>
      </c>
      <c r="C471" t="s">
        <v>870</v>
      </c>
      <c r="D471">
        <v>35</v>
      </c>
      <c r="E471">
        <v>36.14</v>
      </c>
      <c r="F471">
        <v>91</v>
      </c>
      <c r="G471">
        <v>0.3971428571428571</v>
      </c>
      <c r="H471">
        <v>0.04095185390149419</v>
      </c>
      <c r="I471">
        <v>0.2028477185945103</v>
      </c>
      <c r="J471">
        <v>-0.16</v>
      </c>
      <c r="K471">
        <v>0.04898127850024903</v>
      </c>
      <c r="L471" t="s">
        <v>568</v>
      </c>
      <c r="M471" t="s">
        <v>568</v>
      </c>
      <c r="N471">
        <v>5.162857142857143</v>
      </c>
      <c r="O471">
        <v>7</v>
      </c>
      <c r="P471">
        <v>1.48</v>
      </c>
      <c r="Q471">
        <v>0.2114285714285714</v>
      </c>
      <c r="R471">
        <v>1</v>
      </c>
      <c r="S471">
        <v>0.01949518223787505</v>
      </c>
      <c r="T471" t="s">
        <v>889</v>
      </c>
      <c r="U471">
        <v>0.457534290772848</v>
      </c>
      <c r="V471" t="s">
        <v>978</v>
      </c>
      <c r="W471" t="s">
        <v>991</v>
      </c>
      <c r="X471">
        <v>48933.06528</v>
      </c>
      <c r="Y471" s="2">
        <v>44803</v>
      </c>
      <c r="Z471" t="s">
        <v>996</v>
      </c>
    </row>
    <row r="472" spans="1:26">
      <c r="A472" s="1" t="s">
        <v>496</v>
      </c>
      <c r="B472">
        <f>HYPERLINK("https://www.suredividend.com/sure-analysis-CTRA/","Coterra Energy Inc")</f>
        <v>0</v>
      </c>
      <c r="C472" t="s">
        <v>870</v>
      </c>
      <c r="D472">
        <v>27</v>
      </c>
      <c r="E472">
        <v>28.93</v>
      </c>
      <c r="F472">
        <v>73</v>
      </c>
      <c r="G472">
        <v>0.3963013698630137</v>
      </c>
      <c r="H472">
        <v>0.02073971655720705</v>
      </c>
      <c r="I472">
        <v>0.2033580990971671</v>
      </c>
      <c r="J472">
        <v>-0.15</v>
      </c>
      <c r="K472">
        <v>0.04718008886725</v>
      </c>
      <c r="L472" t="s">
        <v>568</v>
      </c>
      <c r="M472" t="s">
        <v>586</v>
      </c>
      <c r="N472">
        <v>5.916155419222904</v>
      </c>
      <c r="O472">
        <v>4.89</v>
      </c>
      <c r="P472">
        <v>0.6</v>
      </c>
      <c r="Q472">
        <v>0.1226993865030675</v>
      </c>
      <c r="R472">
        <v>6</v>
      </c>
      <c r="S472">
        <v>0.1008397341583922</v>
      </c>
      <c r="T472" t="s">
        <v>905</v>
      </c>
      <c r="U472">
        <v>0.388102526701661</v>
      </c>
      <c r="V472" t="s">
        <v>978</v>
      </c>
      <c r="W472" t="s">
        <v>991</v>
      </c>
      <c r="X472">
        <v>23016.568471</v>
      </c>
      <c r="Y472" s="2">
        <v>44777</v>
      </c>
      <c r="Z472" t="s">
        <v>995</v>
      </c>
    </row>
    <row r="473" spans="1:26">
      <c r="A473" s="1" t="s">
        <v>497</v>
      </c>
      <c r="B473">
        <f>HYPERLINK("https://www.suredividend.com/sure-analysis-PEG/","Public Service Enterprise Group Inc.")</f>
        <v>0</v>
      </c>
      <c r="C473" t="s">
        <v>871</v>
      </c>
      <c r="D473">
        <v>69</v>
      </c>
      <c r="E473">
        <v>57.89</v>
      </c>
      <c r="F473">
        <v>52</v>
      </c>
      <c r="G473">
        <v>1.113269230769231</v>
      </c>
      <c r="H473">
        <v>0.03731214372084989</v>
      </c>
      <c r="I473">
        <v>-0.02123155648122432</v>
      </c>
      <c r="J473">
        <v>0.03</v>
      </c>
      <c r="K473">
        <v>0.04590750381348929</v>
      </c>
      <c r="L473" t="s">
        <v>568</v>
      </c>
      <c r="M473" t="s">
        <v>873</v>
      </c>
      <c r="N473">
        <v>16.68299711815562</v>
      </c>
      <c r="O473">
        <v>3.47</v>
      </c>
      <c r="P473">
        <v>2.16</v>
      </c>
      <c r="Q473">
        <v>0.622478386167147</v>
      </c>
      <c r="R473">
        <v>11</v>
      </c>
      <c r="S473">
        <v>0.04016060061424764</v>
      </c>
      <c r="T473" t="s">
        <v>901</v>
      </c>
      <c r="U473">
        <v>-0.06137921641621601</v>
      </c>
      <c r="V473" t="s">
        <v>978</v>
      </c>
      <c r="W473" t="s">
        <v>987</v>
      </c>
      <c r="X473">
        <v>28884.20068</v>
      </c>
      <c r="Y473" s="2">
        <v>44794</v>
      </c>
      <c r="Z473" t="s">
        <v>997</v>
      </c>
    </row>
    <row r="474" spans="1:26">
      <c r="A474" s="1" t="s">
        <v>498</v>
      </c>
      <c r="B474">
        <f>HYPERLINK("https://www.suredividend.com/sure-analysis-CPB/","Campbell Soup Co.")</f>
        <v>0</v>
      </c>
      <c r="C474" t="s">
        <v>870</v>
      </c>
      <c r="D474">
        <v>49</v>
      </c>
      <c r="E474">
        <v>50.83</v>
      </c>
      <c r="F474">
        <v>48</v>
      </c>
      <c r="G474">
        <v>1.058958333333333</v>
      </c>
      <c r="H474">
        <v>0.02911666338776313</v>
      </c>
      <c r="I474">
        <v>-0.01139176097416361</v>
      </c>
      <c r="J474">
        <v>0.03</v>
      </c>
      <c r="K474">
        <v>0.04509426055527355</v>
      </c>
      <c r="L474" t="s">
        <v>568</v>
      </c>
      <c r="M474" t="s">
        <v>568</v>
      </c>
      <c r="N474">
        <v>17.52758620689655</v>
      </c>
      <c r="O474">
        <v>2.9</v>
      </c>
      <c r="P474">
        <v>1.48</v>
      </c>
      <c r="Q474">
        <v>0.5103448275862069</v>
      </c>
      <c r="R474">
        <v>1</v>
      </c>
      <c r="S474">
        <v>0.01444167341264735</v>
      </c>
      <c r="T474" t="s">
        <v>893</v>
      </c>
      <c r="U474">
        <v>0.28148241522753</v>
      </c>
      <c r="V474" t="s">
        <v>978</v>
      </c>
      <c r="W474" t="s">
        <v>990</v>
      </c>
      <c r="X474">
        <v>15236.71937</v>
      </c>
      <c r="Y474" s="2">
        <v>44810</v>
      </c>
      <c r="Z474" t="s">
        <v>998</v>
      </c>
    </row>
    <row r="475" spans="1:26">
      <c r="A475" s="1" t="s">
        <v>499</v>
      </c>
      <c r="B475">
        <f>HYPERLINK("https://www.suredividend.com/sure-analysis-NSRGY/","Nestle SA")</f>
        <v>0</v>
      </c>
      <c r="C475" t="s">
        <v>871</v>
      </c>
      <c r="D475">
        <v>123</v>
      </c>
      <c r="E475">
        <v>109.06</v>
      </c>
      <c r="F475">
        <v>93</v>
      </c>
      <c r="G475">
        <v>1.172688172043011</v>
      </c>
      <c r="H475">
        <v>0.02723271593618192</v>
      </c>
      <c r="I475">
        <v>-0.03135756495236008</v>
      </c>
      <c r="J475">
        <v>0.05</v>
      </c>
      <c r="K475">
        <v>0.04463292161151244</v>
      </c>
      <c r="L475" t="s">
        <v>568</v>
      </c>
      <c r="M475" t="s">
        <v>568</v>
      </c>
      <c r="N475">
        <v>21.17669902912621</v>
      </c>
      <c r="O475">
        <v>5.15</v>
      </c>
      <c r="P475">
        <v>2.97</v>
      </c>
      <c r="Q475">
        <v>0.5766990291262136</v>
      </c>
      <c r="R475">
        <v>5</v>
      </c>
      <c r="S475">
        <v>0.04493446796295064</v>
      </c>
      <c r="T475" t="s">
        <v>962</v>
      </c>
      <c r="U475">
        <v>-0.195010333628579</v>
      </c>
      <c r="V475" t="s">
        <v>978</v>
      </c>
      <c r="W475" t="s">
        <v>990</v>
      </c>
      <c r="X475">
        <v>299915</v>
      </c>
      <c r="Y475" s="2">
        <v>44789</v>
      </c>
      <c r="Z475" t="s">
        <v>996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190</v>
      </c>
      <c r="E476">
        <v>202.61</v>
      </c>
      <c r="F476">
        <v>372</v>
      </c>
      <c r="G476">
        <v>0.5446505376344086</v>
      </c>
      <c r="H476">
        <v>0.01737327871279799</v>
      </c>
      <c r="I476">
        <v>0.1292144128279409</v>
      </c>
      <c r="J476">
        <v>-0.09</v>
      </c>
      <c r="K476">
        <v>0.04362748935107441</v>
      </c>
      <c r="L476" t="s">
        <v>568</v>
      </c>
      <c r="M476" t="s">
        <v>586</v>
      </c>
      <c r="N476">
        <v>7.084265734265735</v>
      </c>
      <c r="O476">
        <v>28.6</v>
      </c>
      <c r="P476">
        <v>3.52</v>
      </c>
      <c r="Q476">
        <v>0.1230769230769231</v>
      </c>
      <c r="R476">
        <v>12</v>
      </c>
      <c r="S476">
        <v>0.020190764270553</v>
      </c>
      <c r="T476" t="s">
        <v>895</v>
      </c>
      <c r="U476">
        <v>0.283024698589565</v>
      </c>
      <c r="V476" t="s">
        <v>978</v>
      </c>
      <c r="W476" t="s">
        <v>989</v>
      </c>
      <c r="X476">
        <v>12917.661309</v>
      </c>
      <c r="Y476" s="2">
        <v>44771</v>
      </c>
      <c r="Z476" t="s">
        <v>995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870</v>
      </c>
      <c r="D477">
        <v>226</v>
      </c>
      <c r="E477">
        <v>244.83</v>
      </c>
      <c r="F477">
        <v>217</v>
      </c>
      <c r="G477">
        <v>1.128248847926267</v>
      </c>
      <c r="H477">
        <v>0.01307029367316097</v>
      </c>
      <c r="I477">
        <v>-0.02384446703769161</v>
      </c>
      <c r="J477">
        <v>0.055</v>
      </c>
      <c r="K477">
        <v>0.04297974412362549</v>
      </c>
      <c r="L477" t="s">
        <v>568</v>
      </c>
      <c r="M477" t="s">
        <v>637</v>
      </c>
      <c r="N477">
        <v>22.17663043478261</v>
      </c>
      <c r="O477">
        <v>11.04</v>
      </c>
      <c r="P477">
        <v>3.2</v>
      </c>
      <c r="Q477">
        <v>0.2898550724637682</v>
      </c>
      <c r="R477">
        <v>7</v>
      </c>
      <c r="S477">
        <v>0.04978904632428516</v>
      </c>
      <c r="T477" t="s">
        <v>915</v>
      </c>
      <c r="U477">
        <v>0.130979877676971</v>
      </c>
      <c r="V477" t="s">
        <v>978</v>
      </c>
      <c r="W477" t="s">
        <v>990</v>
      </c>
      <c r="X477">
        <v>46544.587299</v>
      </c>
      <c r="Y477" s="2">
        <v>44854</v>
      </c>
      <c r="Z477" t="s">
        <v>998</v>
      </c>
    </row>
    <row r="478" spans="1:26">
      <c r="A478" s="1" t="s">
        <v>502</v>
      </c>
      <c r="B478">
        <f>HYPERLINK("https://www.suredividend.com/sure-analysis-GIS/","General Mills, Inc.")</f>
        <v>0</v>
      </c>
      <c r="C478" t="s">
        <v>870</v>
      </c>
      <c r="D478">
        <v>77</v>
      </c>
      <c r="E478">
        <v>79.06</v>
      </c>
      <c r="F478">
        <v>70</v>
      </c>
      <c r="G478">
        <v>1.129428571428571</v>
      </c>
      <c r="H478">
        <v>0.02732102200860106</v>
      </c>
      <c r="I478">
        <v>-0.02404847729655846</v>
      </c>
      <c r="J478">
        <v>0.04</v>
      </c>
      <c r="K478">
        <v>0.04167533647506971</v>
      </c>
      <c r="L478" t="s">
        <v>568</v>
      </c>
      <c r="M478" t="s">
        <v>568</v>
      </c>
      <c r="N478">
        <v>19.28292682926829</v>
      </c>
      <c r="O478">
        <v>4.1</v>
      </c>
      <c r="P478">
        <v>2.16</v>
      </c>
      <c r="Q478">
        <v>0.5268292682926831</v>
      </c>
      <c r="R478">
        <v>3</v>
      </c>
      <c r="S478">
        <v>0.02966808427901979</v>
      </c>
      <c r="T478" t="s">
        <v>885</v>
      </c>
      <c r="U478">
        <v>0.29769087841165</v>
      </c>
      <c r="V478" t="s">
        <v>978</v>
      </c>
      <c r="W478" t="s">
        <v>990</v>
      </c>
      <c r="X478">
        <v>46924.928489</v>
      </c>
      <c r="Y478" s="2">
        <v>44825</v>
      </c>
      <c r="Z478" t="s">
        <v>996</v>
      </c>
    </row>
    <row r="479" spans="1:26">
      <c r="A479" s="1" t="s">
        <v>503</v>
      </c>
      <c r="B479">
        <f>HYPERLINK("https://www.suredividend.com/sure-analysis-DGX/","Quest Diagnostics, Inc.")</f>
        <v>0</v>
      </c>
      <c r="C479" t="s">
        <v>870</v>
      </c>
      <c r="D479">
        <v>144</v>
      </c>
      <c r="E479">
        <v>143.62</v>
      </c>
      <c r="F479">
        <v>138</v>
      </c>
      <c r="G479">
        <v>1.040724637681159</v>
      </c>
      <c r="H479">
        <v>0.01817295641275588</v>
      </c>
      <c r="I479">
        <v>-0.007951664423720861</v>
      </c>
      <c r="J479">
        <v>0.03</v>
      </c>
      <c r="K479">
        <v>0.04154574197360605</v>
      </c>
      <c r="L479" t="s">
        <v>568</v>
      </c>
      <c r="M479" t="s">
        <v>586</v>
      </c>
      <c r="N479">
        <v>14.58071065989848</v>
      </c>
      <c r="O479">
        <v>9.85</v>
      </c>
      <c r="P479">
        <v>2.61</v>
      </c>
      <c r="Q479">
        <v>0.2649746192893401</v>
      </c>
      <c r="R479">
        <v>11</v>
      </c>
      <c r="S479">
        <v>0.06996141300964465</v>
      </c>
      <c r="T479" t="s">
        <v>923</v>
      </c>
      <c r="U479">
        <v>0.009030124066724</v>
      </c>
      <c r="V479" t="s">
        <v>978</v>
      </c>
      <c r="W479" t="s">
        <v>988</v>
      </c>
      <c r="X479">
        <v>16356.517867</v>
      </c>
      <c r="Y479" s="2">
        <v>44867</v>
      </c>
      <c r="Z479" t="s">
        <v>997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870</v>
      </c>
      <c r="D480">
        <v>336</v>
      </c>
      <c r="E480">
        <v>337.16</v>
      </c>
      <c r="F480">
        <v>288</v>
      </c>
      <c r="G480">
        <v>1.170694444444444</v>
      </c>
      <c r="H480">
        <v>0.007830110333372879</v>
      </c>
      <c r="I480">
        <v>-0.03102786407353986</v>
      </c>
      <c r="J480">
        <v>0.065</v>
      </c>
      <c r="K480">
        <v>0.0405611005210218</v>
      </c>
      <c r="L480" t="s">
        <v>568</v>
      </c>
      <c r="M480" t="s">
        <v>637</v>
      </c>
      <c r="N480">
        <v>25.73740458015267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-0.179834176462632</v>
      </c>
      <c r="V480" t="s">
        <v>978</v>
      </c>
      <c r="W480" t="s">
        <v>989</v>
      </c>
      <c r="X480">
        <v>20934.498389</v>
      </c>
      <c r="Y480" s="2">
        <v>44868</v>
      </c>
      <c r="Z480" t="s">
        <v>1009</v>
      </c>
    </row>
    <row r="481" spans="1:26">
      <c r="A481" s="1" t="s">
        <v>505</v>
      </c>
      <c r="B481">
        <f>HYPERLINK("https://www.suredividend.com/sure-analysis-NEP/","NextEra Energy Partners LP")</f>
        <v>0</v>
      </c>
      <c r="C481" t="s">
        <v>871</v>
      </c>
      <c r="D481">
        <v>77.2</v>
      </c>
      <c r="E481">
        <v>76.02</v>
      </c>
      <c r="F481">
        <v>48.8</v>
      </c>
      <c r="G481">
        <v>1.557786885245902</v>
      </c>
      <c r="H481">
        <v>0.04012102078400421</v>
      </c>
      <c r="I481">
        <v>-0.08483713054329944</v>
      </c>
      <c r="J481">
        <v>0.079</v>
      </c>
      <c r="K481">
        <v>0.04028171277828196</v>
      </c>
      <c r="L481" t="s">
        <v>568</v>
      </c>
      <c r="M481" t="s">
        <v>873</v>
      </c>
      <c r="N481">
        <v>17.12162162162162</v>
      </c>
      <c r="O481">
        <v>4.44</v>
      </c>
      <c r="P481">
        <v>3.05</v>
      </c>
      <c r="Q481">
        <v>0.6869369369369368</v>
      </c>
      <c r="R481">
        <v>7</v>
      </c>
      <c r="S481">
        <v>0.1126042149090114</v>
      </c>
      <c r="T481" t="s">
        <v>915</v>
      </c>
      <c r="U481">
        <v>-0.09004943561998001</v>
      </c>
      <c r="V481" t="s">
        <v>979</v>
      </c>
      <c r="W481" t="s">
        <v>987</v>
      </c>
      <c r="X481">
        <v>6578.41229</v>
      </c>
      <c r="Y481" s="2">
        <v>44767</v>
      </c>
      <c r="Z481" t="s">
        <v>999</v>
      </c>
    </row>
    <row r="482" spans="1:26">
      <c r="A482" s="1" t="s">
        <v>506</v>
      </c>
      <c r="B482">
        <f>HYPERLINK("https://www.suredividend.com/sure-analysis-THO/","Thor Industries, Inc.")</f>
        <v>0</v>
      </c>
      <c r="C482" t="s">
        <v>871</v>
      </c>
      <c r="D482">
        <v>72</v>
      </c>
      <c r="E482">
        <v>77.12</v>
      </c>
      <c r="F482">
        <v>72</v>
      </c>
      <c r="G482">
        <v>1.071111111111111</v>
      </c>
      <c r="H482">
        <v>0.0233402489626556</v>
      </c>
      <c r="I482">
        <v>-0.01364535276649292</v>
      </c>
      <c r="J482">
        <v>0.03</v>
      </c>
      <c r="K482">
        <v>0.04020051791679413</v>
      </c>
      <c r="L482" t="s">
        <v>568</v>
      </c>
      <c r="M482" t="s">
        <v>586</v>
      </c>
      <c r="N482">
        <v>9.126627218934912</v>
      </c>
      <c r="O482">
        <v>8.449999999999999</v>
      </c>
      <c r="P482">
        <v>1.8</v>
      </c>
      <c r="Q482">
        <v>0.21301775147929</v>
      </c>
      <c r="R482">
        <v>12</v>
      </c>
      <c r="S482">
        <v>0.05024607263868264</v>
      </c>
      <c r="T482" t="s">
        <v>928</v>
      </c>
      <c r="U482">
        <v>-0.284305009308118</v>
      </c>
      <c r="V482" t="s">
        <v>978</v>
      </c>
      <c r="W482" t="s">
        <v>983</v>
      </c>
      <c r="X482">
        <v>4139.98638</v>
      </c>
      <c r="Y482" s="2">
        <v>44854</v>
      </c>
      <c r="Z482" t="s">
        <v>998</v>
      </c>
    </row>
    <row r="483" spans="1:26">
      <c r="A483" s="1" t="s">
        <v>507</v>
      </c>
      <c r="B483">
        <f>HYPERLINK("https://www.suredividend.com/sure-analysis-SJI/","South Jersey Industries Inc.")</f>
        <v>0</v>
      </c>
      <c r="C483" t="s">
        <v>870</v>
      </c>
      <c r="D483">
        <v>34</v>
      </c>
      <c r="E483">
        <v>34.53</v>
      </c>
      <c r="F483">
        <v>30</v>
      </c>
      <c r="G483">
        <v>1.151</v>
      </c>
      <c r="H483">
        <v>0.03620040544454098</v>
      </c>
      <c r="I483">
        <v>-0.02773436609592617</v>
      </c>
      <c r="J483">
        <v>0.03</v>
      </c>
      <c r="K483">
        <v>0.03746005173859546</v>
      </c>
      <c r="L483" t="s">
        <v>568</v>
      </c>
      <c r="M483" t="s">
        <v>873</v>
      </c>
      <c r="N483">
        <v>20.43195266272189</v>
      </c>
      <c r="O483">
        <v>1.69</v>
      </c>
      <c r="P483">
        <v>1.25</v>
      </c>
      <c r="Q483">
        <v>0.7396449704142012</v>
      </c>
      <c r="R483">
        <v>23</v>
      </c>
      <c r="S483">
        <v>0.02438172002367667</v>
      </c>
      <c r="T483" t="s">
        <v>901</v>
      </c>
      <c r="U483">
        <v>0.60940755344883</v>
      </c>
      <c r="V483" t="s">
        <v>978</v>
      </c>
      <c r="W483" t="s">
        <v>987</v>
      </c>
      <c r="X483">
        <v>4226.728454</v>
      </c>
      <c r="Y483" s="2">
        <v>44784</v>
      </c>
      <c r="Z483" t="s">
        <v>1007</v>
      </c>
    </row>
    <row r="484" spans="1:26">
      <c r="A484" s="1" t="s">
        <v>508</v>
      </c>
      <c r="B484">
        <f>HYPERLINK("https://www.suredividend.com/sure-analysis-CMS/","CMS Energy Corporation")</f>
        <v>0</v>
      </c>
      <c r="C484" t="s">
        <v>870</v>
      </c>
      <c r="D484">
        <v>57</v>
      </c>
      <c r="E484">
        <v>57.03</v>
      </c>
      <c r="F484">
        <v>43</v>
      </c>
      <c r="G484">
        <v>1.326279069767442</v>
      </c>
      <c r="H484">
        <v>0.03226372084867614</v>
      </c>
      <c r="I484">
        <v>-0.05491032886003833</v>
      </c>
      <c r="J484">
        <v>0.06</v>
      </c>
      <c r="K484">
        <v>0.03742745366615341</v>
      </c>
      <c r="L484" t="s">
        <v>568</v>
      </c>
      <c r="M484" t="s">
        <v>873</v>
      </c>
      <c r="N484">
        <v>20.01052631578947</v>
      </c>
      <c r="O484">
        <v>2.85</v>
      </c>
      <c r="P484">
        <v>1.84</v>
      </c>
      <c r="Q484">
        <v>0.6456140350877193</v>
      </c>
      <c r="R484">
        <v>15</v>
      </c>
      <c r="S484">
        <v>0.05979888147511248</v>
      </c>
      <c r="T484" t="s">
        <v>915</v>
      </c>
      <c r="U484">
        <v>-0.022268549552623</v>
      </c>
      <c r="V484" t="s">
        <v>978</v>
      </c>
      <c r="W484" t="s">
        <v>987</v>
      </c>
      <c r="X484">
        <v>16553.048862</v>
      </c>
      <c r="Y484" s="2">
        <v>44870</v>
      </c>
      <c r="Z484" t="s">
        <v>1006</v>
      </c>
    </row>
    <row r="485" spans="1:26">
      <c r="A485" s="1" t="s">
        <v>509</v>
      </c>
      <c r="B485">
        <f>HYPERLINK("https://www.suredividend.com/sure-analysis-OLN/","Olin Corp.")</f>
        <v>0</v>
      </c>
      <c r="C485" t="s">
        <v>870</v>
      </c>
      <c r="D485">
        <v>52</v>
      </c>
      <c r="E485">
        <v>57.45</v>
      </c>
      <c r="F485">
        <v>56</v>
      </c>
      <c r="G485">
        <v>1.025892857142857</v>
      </c>
      <c r="H485">
        <v>0.01392515230635335</v>
      </c>
      <c r="I485">
        <v>-0.005099615297067706</v>
      </c>
      <c r="J485">
        <v>0.03</v>
      </c>
      <c r="K485">
        <v>0.03707514440048332</v>
      </c>
      <c r="L485" t="s">
        <v>568</v>
      </c>
      <c r="M485" t="s">
        <v>637</v>
      </c>
      <c r="N485">
        <v>6.144385026737968</v>
      </c>
      <c r="O485">
        <v>9.35</v>
      </c>
      <c r="P485">
        <v>0.8</v>
      </c>
      <c r="Q485">
        <v>0.08556149732620322</v>
      </c>
      <c r="R485">
        <v>0</v>
      </c>
      <c r="S485">
        <v>0</v>
      </c>
      <c r="T485" t="s">
        <v>875</v>
      </c>
      <c r="U485">
        <v>-0.044299901851512</v>
      </c>
      <c r="V485" t="s">
        <v>978</v>
      </c>
      <c r="W485" t="s">
        <v>989</v>
      </c>
      <c r="X485">
        <v>7868.400086</v>
      </c>
      <c r="Y485" s="2">
        <v>44774</v>
      </c>
      <c r="Z485" t="s">
        <v>998</v>
      </c>
    </row>
    <row r="486" spans="1:26">
      <c r="A486" s="1" t="s">
        <v>510</v>
      </c>
      <c r="B486">
        <f>HYPERLINK("https://www.suredividend.com/sure-analysis-AVA/","Avista Corp.")</f>
        <v>0</v>
      </c>
      <c r="C486" t="s">
        <v>871</v>
      </c>
      <c r="D486">
        <v>42</v>
      </c>
      <c r="E486">
        <v>37.12</v>
      </c>
      <c r="F486">
        <v>30</v>
      </c>
      <c r="G486">
        <v>1.237333333333333</v>
      </c>
      <c r="H486">
        <v>0.04741379310344828</v>
      </c>
      <c r="I486">
        <v>-0.04169741988757325</v>
      </c>
      <c r="J486">
        <v>0.03</v>
      </c>
      <c r="K486">
        <v>0.03647376286493587</v>
      </c>
      <c r="L486" t="s">
        <v>568</v>
      </c>
      <c r="M486" t="s">
        <v>873</v>
      </c>
      <c r="N486">
        <v>18.56</v>
      </c>
      <c r="O486">
        <v>2</v>
      </c>
      <c r="P486">
        <v>1.76</v>
      </c>
      <c r="Q486">
        <v>0.88</v>
      </c>
      <c r="R486">
        <v>19</v>
      </c>
      <c r="S486">
        <v>0.02996744995959233</v>
      </c>
      <c r="T486" t="s">
        <v>895</v>
      </c>
      <c r="U486">
        <v>-0.02648577625433</v>
      </c>
      <c r="V486" t="s">
        <v>978</v>
      </c>
      <c r="W486" t="s">
        <v>987</v>
      </c>
      <c r="X486">
        <v>2738.556211</v>
      </c>
      <c r="Y486" s="2">
        <v>44799</v>
      </c>
      <c r="Z486" t="s">
        <v>1006</v>
      </c>
    </row>
    <row r="487" spans="1:26">
      <c r="A487" s="1" t="s">
        <v>511</v>
      </c>
      <c r="B487">
        <f>HYPERLINK("https://www.suredividend.com/sure-analysis-HAL/","Halliburton Co.")</f>
        <v>0</v>
      </c>
      <c r="C487" t="s">
        <v>870</v>
      </c>
      <c r="D487">
        <v>35</v>
      </c>
      <c r="E487">
        <v>38.48</v>
      </c>
      <c r="F487">
        <v>26</v>
      </c>
      <c r="G487">
        <v>1.48</v>
      </c>
      <c r="H487">
        <v>0.01247401247401247</v>
      </c>
      <c r="I487">
        <v>-0.07541326803240322</v>
      </c>
      <c r="J487">
        <v>0.1</v>
      </c>
      <c r="K487">
        <v>0.03159093462579987</v>
      </c>
      <c r="L487" t="s">
        <v>568</v>
      </c>
      <c r="M487" t="s">
        <v>637</v>
      </c>
      <c r="N487">
        <v>19.24</v>
      </c>
      <c r="O487">
        <v>2</v>
      </c>
      <c r="P487">
        <v>0.48</v>
      </c>
      <c r="Q487">
        <v>0.24</v>
      </c>
      <c r="R487">
        <v>1</v>
      </c>
      <c r="S487">
        <v>0.08447177119769855</v>
      </c>
      <c r="T487" t="s">
        <v>897</v>
      </c>
      <c r="U487">
        <v>0.577999860571737</v>
      </c>
      <c r="V487" t="s">
        <v>978</v>
      </c>
      <c r="W487" t="s">
        <v>991</v>
      </c>
      <c r="X487">
        <v>34941.639979</v>
      </c>
      <c r="Y487" s="2">
        <v>44860</v>
      </c>
      <c r="Z487" t="s">
        <v>996</v>
      </c>
    </row>
    <row r="488" spans="1:26">
      <c r="A488" s="1" t="s">
        <v>512</v>
      </c>
      <c r="B488">
        <f>HYPERLINK("https://www.suredividend.com/sure-analysis-INFY/","Infosys Ltd")</f>
        <v>0</v>
      </c>
      <c r="C488" t="s">
        <v>871</v>
      </c>
      <c r="D488">
        <v>19</v>
      </c>
      <c r="E488">
        <v>18.33</v>
      </c>
      <c r="F488">
        <v>14</v>
      </c>
      <c r="G488">
        <v>1.309285714285714</v>
      </c>
      <c r="H488">
        <v>0.02291325695581015</v>
      </c>
      <c r="I488">
        <v>-0.05246968370458416</v>
      </c>
      <c r="J488">
        <v>0.06</v>
      </c>
      <c r="K488">
        <v>0.03149429512807278</v>
      </c>
      <c r="L488" t="s">
        <v>568</v>
      </c>
      <c r="M488" t="s">
        <v>586</v>
      </c>
      <c r="N488">
        <v>24.77027027027027</v>
      </c>
      <c r="O488">
        <v>0.74</v>
      </c>
      <c r="P488">
        <v>0.42</v>
      </c>
      <c r="Q488">
        <v>0.5675675675675675</v>
      </c>
      <c r="R488">
        <v>7</v>
      </c>
      <c r="S488">
        <v>0.08100693430783124</v>
      </c>
      <c r="T488" t="s">
        <v>918</v>
      </c>
      <c r="U488">
        <v>-0.184107681761935</v>
      </c>
      <c r="V488" t="s">
        <v>978</v>
      </c>
      <c r="W488" t="s">
        <v>982</v>
      </c>
      <c r="X488">
        <v>77125.687779</v>
      </c>
      <c r="Y488" s="2">
        <v>44797</v>
      </c>
      <c r="Z488" t="s">
        <v>994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871</v>
      </c>
      <c r="D489">
        <v>4.95</v>
      </c>
      <c r="E489">
        <v>4.89</v>
      </c>
      <c r="F489">
        <v>4.23</v>
      </c>
      <c r="G489">
        <v>1.156028368794326</v>
      </c>
      <c r="H489">
        <v>0.0245398773006135</v>
      </c>
      <c r="I489">
        <v>-0.02858165300973159</v>
      </c>
      <c r="J489">
        <v>0.02</v>
      </c>
      <c r="K489">
        <v>0.01843206528607166</v>
      </c>
      <c r="L489" t="s">
        <v>568</v>
      </c>
      <c r="M489" t="s">
        <v>568</v>
      </c>
      <c r="N489">
        <v>1.040425531914894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886</v>
      </c>
      <c r="U489">
        <v>0.248149471642248</v>
      </c>
      <c r="V489" t="s">
        <v>978</v>
      </c>
      <c r="W489" t="s">
        <v>989</v>
      </c>
      <c r="X489">
        <v>4699.623082</v>
      </c>
      <c r="Y489" s="2">
        <v>44798</v>
      </c>
      <c r="Z489" t="s">
        <v>997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871</v>
      </c>
      <c r="D490">
        <v>72</v>
      </c>
      <c r="E490">
        <v>70.37</v>
      </c>
      <c r="F490">
        <v>58</v>
      </c>
      <c r="G490">
        <v>1.213275862068966</v>
      </c>
      <c r="H490">
        <v>0.01989484155179764</v>
      </c>
      <c r="I490">
        <v>-0.03792686287269287</v>
      </c>
      <c r="J490">
        <v>0.03</v>
      </c>
      <c r="K490">
        <v>0.01382204935608233</v>
      </c>
      <c r="L490" t="s">
        <v>568</v>
      </c>
      <c r="M490" t="s">
        <v>586</v>
      </c>
      <c r="N490">
        <v>8.478313253012049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911</v>
      </c>
      <c r="U490">
        <v>0.283969448934982</v>
      </c>
      <c r="V490" t="s">
        <v>978</v>
      </c>
      <c r="W490" t="s">
        <v>991</v>
      </c>
      <c r="X490">
        <v>15942.845153</v>
      </c>
      <c r="Y490" s="2">
        <v>44799</v>
      </c>
      <c r="Z490" t="s">
        <v>996</v>
      </c>
    </row>
    <row r="491" spans="1:26">
      <c r="A491" s="1" t="s">
        <v>515</v>
      </c>
      <c r="B491">
        <f>HYPERLINK("https://www.suredividend.com/sure-analysis-NEU/","NewMarket Corp.")</f>
        <v>0</v>
      </c>
      <c r="C491" t="s">
        <v>870</v>
      </c>
      <c r="D491">
        <v>281</v>
      </c>
      <c r="E491">
        <v>300.04</v>
      </c>
      <c r="F491">
        <v>262</v>
      </c>
      <c r="G491">
        <v>1.145190839694657</v>
      </c>
      <c r="H491">
        <v>0.02799626716437808</v>
      </c>
      <c r="I491">
        <v>-0.02674996747057401</v>
      </c>
      <c r="J491">
        <v>0.01</v>
      </c>
      <c r="K491">
        <v>0.01210571131234994</v>
      </c>
      <c r="L491" t="s">
        <v>568</v>
      </c>
      <c r="M491" t="s">
        <v>586</v>
      </c>
      <c r="N491">
        <v>13.73180778032037</v>
      </c>
      <c r="O491">
        <v>21.85</v>
      </c>
      <c r="P491">
        <v>8.4</v>
      </c>
      <c r="Q491">
        <v>0.3844393592677345</v>
      </c>
      <c r="R491">
        <v>16</v>
      </c>
      <c r="S491">
        <v>0.01003467480435871</v>
      </c>
      <c r="T491" t="s">
        <v>883</v>
      </c>
      <c r="U491">
        <v>-0.06705662646631301</v>
      </c>
      <c r="V491" t="s">
        <v>978</v>
      </c>
      <c r="W491" t="s">
        <v>984</v>
      </c>
      <c r="X491">
        <v>2961.826858</v>
      </c>
      <c r="Y491" s="2">
        <v>44807</v>
      </c>
      <c r="Z491" t="s">
        <v>1006</v>
      </c>
    </row>
    <row r="492" spans="1:26">
      <c r="A492" s="1" t="s">
        <v>516</v>
      </c>
      <c r="B492">
        <f>HYPERLINK("https://www.suredividend.com/sure-analysis-NLSN/","Nielsen Holdings plc")</f>
        <v>0</v>
      </c>
      <c r="C492" t="s">
        <v>871</v>
      </c>
      <c r="D492">
        <v>28</v>
      </c>
      <c r="E492">
        <v>27.98</v>
      </c>
      <c r="F492">
        <v>24</v>
      </c>
      <c r="G492">
        <v>1.165833333333333</v>
      </c>
      <c r="H492">
        <v>0.008577555396711936</v>
      </c>
      <c r="I492">
        <v>-0.03022115446956253</v>
      </c>
      <c r="J492">
        <v>0.03</v>
      </c>
      <c r="K492">
        <v>0.008553124370723308</v>
      </c>
      <c r="L492" t="s">
        <v>568</v>
      </c>
      <c r="M492" t="s">
        <v>637</v>
      </c>
      <c r="N492">
        <v>15.04301075268817</v>
      </c>
      <c r="O492">
        <v>1.86</v>
      </c>
      <c r="P492">
        <v>0.24</v>
      </c>
      <c r="Q492">
        <v>0.1290322580645161</v>
      </c>
      <c r="R492">
        <v>0</v>
      </c>
      <c r="S492">
        <v>0.04563955259127317</v>
      </c>
      <c r="T492" t="s">
        <v>876</v>
      </c>
      <c r="U492">
        <v>0.4392782004392931</v>
      </c>
      <c r="V492" t="s">
        <v>978</v>
      </c>
      <c r="W492" t="s">
        <v>984</v>
      </c>
      <c r="X492">
        <v>10068.164861</v>
      </c>
      <c r="Y492" s="2">
        <v>44792</v>
      </c>
      <c r="Z492" t="s">
        <v>994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35.19</v>
      </c>
      <c r="F493">
        <v>30</v>
      </c>
      <c r="G493">
        <v>1.173</v>
      </c>
      <c r="H493">
        <v>0.008525149190110827</v>
      </c>
      <c r="I493">
        <v>-0.03140907082025801</v>
      </c>
      <c r="J493">
        <v>0.03</v>
      </c>
      <c r="K493">
        <v>0.007704910859639647</v>
      </c>
      <c r="L493" t="s">
        <v>568</v>
      </c>
      <c r="M493" t="s">
        <v>637</v>
      </c>
      <c r="N493">
        <v>15.3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910</v>
      </c>
      <c r="U493">
        <v>-0.040637285104387</v>
      </c>
      <c r="V493" t="s">
        <v>978</v>
      </c>
      <c r="W493" t="s">
        <v>989</v>
      </c>
      <c r="X493">
        <v>50296.02235</v>
      </c>
      <c r="Y493" s="2">
        <v>44864</v>
      </c>
      <c r="Z493" t="s">
        <v>1001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870</v>
      </c>
      <c r="D494">
        <v>124</v>
      </c>
      <c r="E494">
        <v>141.56</v>
      </c>
      <c r="F494">
        <v>82</v>
      </c>
      <c r="G494">
        <v>1.726341463414634</v>
      </c>
      <c r="H494">
        <v>0.001130262786097768</v>
      </c>
      <c r="I494">
        <v>-0.1034497010891382</v>
      </c>
      <c r="J494">
        <v>0.12</v>
      </c>
      <c r="K494">
        <v>0.005245635110955105</v>
      </c>
      <c r="L494" t="s">
        <v>568</v>
      </c>
      <c r="M494" t="s">
        <v>637</v>
      </c>
      <c r="N494">
        <v>41.63529411764706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925</v>
      </c>
      <c r="U494">
        <v>-0.524601598609402</v>
      </c>
      <c r="V494" t="s">
        <v>978</v>
      </c>
      <c r="W494" t="s">
        <v>982</v>
      </c>
      <c r="X494">
        <v>352484.4</v>
      </c>
      <c r="Y494" s="2">
        <v>44827</v>
      </c>
      <c r="Z494" t="s">
        <v>994</v>
      </c>
    </row>
    <row r="495" spans="1:26">
      <c r="A495" s="1" t="s">
        <v>519</v>
      </c>
      <c r="B495">
        <f>HYPERLINK("https://www.suredividend.com/sure-analysis-ERF/","Enerplus Corporation")</f>
        <v>0</v>
      </c>
      <c r="C495" t="s">
        <v>871</v>
      </c>
      <c r="D495">
        <v>16</v>
      </c>
      <c r="E495">
        <v>18.28</v>
      </c>
      <c r="F495">
        <v>11</v>
      </c>
      <c r="G495">
        <v>1.661818181818182</v>
      </c>
      <c r="H495">
        <v>0.009846827133479211</v>
      </c>
      <c r="I495">
        <v>-0.09659331742059341</v>
      </c>
      <c r="J495">
        <v>0.1</v>
      </c>
      <c r="K495">
        <v>0.004593931519362604</v>
      </c>
      <c r="L495" t="s">
        <v>568</v>
      </c>
      <c r="M495" t="s">
        <v>637</v>
      </c>
      <c r="N495">
        <v>5.149295774647888</v>
      </c>
      <c r="O495">
        <v>3.55</v>
      </c>
      <c r="P495">
        <v>0.18</v>
      </c>
      <c r="Q495">
        <v>0.05070422535211268</v>
      </c>
      <c r="R495">
        <v>3</v>
      </c>
      <c r="S495">
        <v>0.03131030647754507</v>
      </c>
      <c r="T495" t="s">
        <v>881</v>
      </c>
      <c r="U495">
        <v>0.9493260535744751</v>
      </c>
      <c r="V495" t="s">
        <v>978</v>
      </c>
      <c r="W495" t="s">
        <v>991</v>
      </c>
      <c r="X495">
        <v>4173.592515</v>
      </c>
      <c r="Y495" s="2">
        <v>44807</v>
      </c>
      <c r="Z495" t="s">
        <v>997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112.41</v>
      </c>
      <c r="F496">
        <v>74</v>
      </c>
      <c r="G496">
        <v>1.519054054054054</v>
      </c>
      <c r="H496">
        <v>0.01814785161462503</v>
      </c>
      <c r="I496">
        <v>-0.08021705088978726</v>
      </c>
      <c r="J496">
        <v>0.06</v>
      </c>
      <c r="K496">
        <v>-0.001484537312162804</v>
      </c>
      <c r="L496" t="s">
        <v>568</v>
      </c>
      <c r="M496" t="s">
        <v>586</v>
      </c>
      <c r="N496">
        <v>33.55522388059701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905</v>
      </c>
      <c r="U496">
        <v>-0.015097285537674</v>
      </c>
      <c r="V496" t="s">
        <v>978</v>
      </c>
      <c r="W496" t="s">
        <v>988</v>
      </c>
      <c r="X496">
        <v>195881.61924</v>
      </c>
      <c r="Y496" s="2">
        <v>44782</v>
      </c>
      <c r="Z496" t="s">
        <v>1007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61.17</v>
      </c>
      <c r="F497">
        <v>102</v>
      </c>
      <c r="G497">
        <v>0.5997058823529412</v>
      </c>
      <c r="H497">
        <v>0.03874448258950466</v>
      </c>
      <c r="I497">
        <v>0.1076749601321334</v>
      </c>
      <c r="J497">
        <v>-0.15</v>
      </c>
      <c r="K497">
        <v>-0.01180847644997829</v>
      </c>
      <c r="L497" t="s">
        <v>568</v>
      </c>
      <c r="M497" t="s">
        <v>568</v>
      </c>
      <c r="N497">
        <v>7.196470588235294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887</v>
      </c>
      <c r="U497">
        <v>0.538322255501822</v>
      </c>
      <c r="V497" t="s">
        <v>978</v>
      </c>
      <c r="W497" t="s">
        <v>991</v>
      </c>
      <c r="X497">
        <v>67892.39814400001</v>
      </c>
      <c r="Y497" s="2">
        <v>44803</v>
      </c>
      <c r="Z497" t="s">
        <v>996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161.37</v>
      </c>
      <c r="F498">
        <v>255</v>
      </c>
      <c r="G498">
        <v>0.6328235294117647</v>
      </c>
      <c r="H498">
        <v>0.01487265290946272</v>
      </c>
      <c r="I498">
        <v>0.09583073314884882</v>
      </c>
      <c r="J498">
        <v>-0.12</v>
      </c>
      <c r="K498">
        <v>-0.0175617789075363</v>
      </c>
      <c r="L498" t="s">
        <v>568</v>
      </c>
      <c r="M498" t="s">
        <v>637</v>
      </c>
      <c r="N498">
        <v>9.49235294117647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888</v>
      </c>
      <c r="U498">
        <v>0.4769830627926021</v>
      </c>
      <c r="V498" t="s">
        <v>978</v>
      </c>
      <c r="W498" t="s">
        <v>991</v>
      </c>
      <c r="X498">
        <v>27988.184014</v>
      </c>
      <c r="Y498" s="2">
        <v>44776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63.09</v>
      </c>
      <c r="F499">
        <v>132</v>
      </c>
      <c r="G499">
        <v>0.4779545454545455</v>
      </c>
      <c r="H499">
        <v>0.02536059597400539</v>
      </c>
      <c r="I499">
        <v>0.15910473716812</v>
      </c>
      <c r="J499">
        <v>-0.18</v>
      </c>
      <c r="K499">
        <v>-0.02031193705488488</v>
      </c>
      <c r="L499" t="s">
        <v>568</v>
      </c>
      <c r="M499" t="s">
        <v>586</v>
      </c>
      <c r="N499">
        <v>4.92890625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876</v>
      </c>
      <c r="U499">
        <v>0.9460209747069711</v>
      </c>
      <c r="V499" t="s">
        <v>978</v>
      </c>
      <c r="W499" t="s">
        <v>991</v>
      </c>
      <c r="X499">
        <v>13680.661651</v>
      </c>
      <c r="Y499" s="2">
        <v>44791</v>
      </c>
      <c r="Z499" t="s">
        <v>996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170.15</v>
      </c>
      <c r="F500">
        <v>109</v>
      </c>
      <c r="G500">
        <v>1.561009174311927</v>
      </c>
      <c r="H500">
        <v>0.009403467528651191</v>
      </c>
      <c r="I500">
        <v>-0.08521526505794386</v>
      </c>
      <c r="J500">
        <v>0.05</v>
      </c>
      <c r="K500">
        <v>-0.02699360957950847</v>
      </c>
      <c r="L500" t="s">
        <v>568</v>
      </c>
      <c r="M500" t="s">
        <v>637</v>
      </c>
      <c r="N500">
        <v>31.33517495395949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900</v>
      </c>
      <c r="U500">
        <v>-0.115132610496612</v>
      </c>
      <c r="V500" t="s">
        <v>978</v>
      </c>
      <c r="W500" t="s">
        <v>989</v>
      </c>
      <c r="X500">
        <v>22614.10325</v>
      </c>
      <c r="Y500" s="2">
        <v>44788</v>
      </c>
      <c r="Z500" t="s">
        <v>993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5.89</v>
      </c>
      <c r="F501">
        <v>4.05</v>
      </c>
      <c r="G501">
        <v>1.454320987654321</v>
      </c>
      <c r="H501">
        <v>0.04923599320882852</v>
      </c>
      <c r="I501">
        <v>-0.07217099340536237</v>
      </c>
      <c r="J501">
        <v>-0.02</v>
      </c>
      <c r="K501">
        <v>-0.02797806668022262</v>
      </c>
      <c r="L501" t="s">
        <v>568</v>
      </c>
      <c r="M501" t="s">
        <v>873</v>
      </c>
      <c r="N501">
        <v>4.362962962962962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963</v>
      </c>
      <c r="U501">
        <v>0.180313414292012</v>
      </c>
      <c r="V501" t="s">
        <v>978</v>
      </c>
      <c r="W501" t="s">
        <v>982</v>
      </c>
      <c r="X501">
        <v>1997.123001</v>
      </c>
      <c r="Y501" s="2">
        <v>44759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132.32</v>
      </c>
      <c r="F502">
        <v>165</v>
      </c>
      <c r="G502">
        <v>0.801939393939394</v>
      </c>
      <c r="H502">
        <v>0.01541717049576784</v>
      </c>
      <c r="I502">
        <v>0.04513331195080017</v>
      </c>
      <c r="J502">
        <v>-0.11</v>
      </c>
      <c r="K502">
        <v>-0.04899483827048501</v>
      </c>
      <c r="L502" t="s">
        <v>568</v>
      </c>
      <c r="M502" t="s">
        <v>586</v>
      </c>
      <c r="N502">
        <v>10.02424242424242</v>
      </c>
      <c r="O502">
        <v>13.2</v>
      </c>
      <c r="P502">
        <v>2.04</v>
      </c>
      <c r="Q502">
        <v>0.1545454545454546</v>
      </c>
      <c r="R502">
        <v>7</v>
      </c>
      <c r="S502">
        <v>0.01888124997130225</v>
      </c>
      <c r="T502" t="s">
        <v>886</v>
      </c>
      <c r="U502">
        <v>0.880769023029186</v>
      </c>
      <c r="V502" t="s">
        <v>978</v>
      </c>
      <c r="W502" t="s">
        <v>991</v>
      </c>
      <c r="X502">
        <v>164880.123453</v>
      </c>
      <c r="Y502" s="2">
        <v>44790</v>
      </c>
      <c r="Z502" t="s">
        <v>996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27</v>
      </c>
      <c r="F503">
        <v>14</v>
      </c>
      <c r="G503">
        <v>1.928571428571429</v>
      </c>
      <c r="H503">
        <v>0.03333333333333333</v>
      </c>
      <c r="I503">
        <v>-0.1230943782470972</v>
      </c>
      <c r="J503">
        <v>0.02</v>
      </c>
      <c r="K503">
        <v>-0.05615784007488034</v>
      </c>
      <c r="L503" t="s">
        <v>568</v>
      </c>
      <c r="M503" t="s">
        <v>568</v>
      </c>
      <c r="N503">
        <v>19.01408450704226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901</v>
      </c>
      <c r="U503">
        <v>-0.028857324753707</v>
      </c>
      <c r="V503" t="s">
        <v>978</v>
      </c>
      <c r="W503" t="s">
        <v>987</v>
      </c>
      <c r="X503">
        <v>19876.988763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105.38</v>
      </c>
      <c r="F504">
        <v>79</v>
      </c>
      <c r="G504">
        <v>1.333924050632911</v>
      </c>
      <c r="H504">
        <v>0.01518314670715506</v>
      </c>
      <c r="I504">
        <v>-0.0559961197991462</v>
      </c>
      <c r="J504">
        <v>-0.03</v>
      </c>
      <c r="K504">
        <v>-0.06243292980327009</v>
      </c>
      <c r="L504" t="s">
        <v>568</v>
      </c>
      <c r="M504" t="s">
        <v>586</v>
      </c>
      <c r="N504">
        <v>5.517277486910994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905</v>
      </c>
      <c r="U504">
        <v>0.8315362101208971</v>
      </c>
      <c r="V504" t="s">
        <v>978</v>
      </c>
      <c r="W504" t="s">
        <v>989</v>
      </c>
      <c r="X504">
        <v>20674.445611</v>
      </c>
      <c r="Y504" s="2">
        <v>44797</v>
      </c>
      <c r="Z504" t="s">
        <v>1001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117.65</v>
      </c>
      <c r="F505">
        <v>274</v>
      </c>
      <c r="G505">
        <v>0.4293795620437956</v>
      </c>
      <c r="H505">
        <v>0.0254993625159371</v>
      </c>
      <c r="I505">
        <v>0.1842181860499108</v>
      </c>
      <c r="J505">
        <v>-0.25</v>
      </c>
      <c r="K505">
        <v>-0.072006686496494</v>
      </c>
      <c r="L505" t="s">
        <v>568</v>
      </c>
      <c r="M505" t="s">
        <v>586</v>
      </c>
      <c r="N505">
        <v>4.902083333333334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900</v>
      </c>
      <c r="U505">
        <v>0.9037771326672941</v>
      </c>
      <c r="V505" t="s">
        <v>978</v>
      </c>
      <c r="W505" t="s">
        <v>991</v>
      </c>
      <c r="X505">
        <v>55137.947002</v>
      </c>
      <c r="Y505" s="2">
        <v>44867</v>
      </c>
      <c r="Z505" t="s">
        <v>996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73.27</v>
      </c>
      <c r="F506">
        <v>43</v>
      </c>
      <c r="G506">
        <v>1.703953488372093</v>
      </c>
      <c r="H506">
        <v>0.007097038351303399</v>
      </c>
      <c r="I506">
        <v>-0.1011060595479646</v>
      </c>
      <c r="J506">
        <v>0</v>
      </c>
      <c r="K506">
        <v>-0.08777850826394262</v>
      </c>
      <c r="L506" t="s">
        <v>568</v>
      </c>
      <c r="M506" t="s">
        <v>637</v>
      </c>
      <c r="N506">
        <v>24.42333333333333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1.185357182270182</v>
      </c>
      <c r="V506" t="s">
        <v>978</v>
      </c>
      <c r="W506" t="s">
        <v>991</v>
      </c>
      <c r="X506">
        <v>68667.983251</v>
      </c>
      <c r="Y506" s="2">
        <v>44802</v>
      </c>
      <c r="Z506" t="s">
        <v>996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58.68</v>
      </c>
      <c r="F507">
        <v>32</v>
      </c>
      <c r="G507">
        <v>1.83375</v>
      </c>
      <c r="H507">
        <v>0.01704158145875937</v>
      </c>
      <c r="I507">
        <v>-0.1142075492886566</v>
      </c>
      <c r="J507">
        <v>0</v>
      </c>
      <c r="K507">
        <v>-0.08811027165997898</v>
      </c>
      <c r="L507" t="s">
        <v>568</v>
      </c>
      <c r="M507" t="s">
        <v>637</v>
      </c>
      <c r="N507">
        <v>16.52957746478873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900</v>
      </c>
      <c r="U507">
        <v>0.058601952676812</v>
      </c>
      <c r="V507" t="s">
        <v>978</v>
      </c>
      <c r="W507" t="s">
        <v>986</v>
      </c>
      <c r="X507">
        <v>3634.806027</v>
      </c>
      <c r="Y507" s="2">
        <v>44821</v>
      </c>
      <c r="Z507" t="s">
        <v>1006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95.40000000000001</v>
      </c>
      <c r="F508">
        <v>50</v>
      </c>
      <c r="G508">
        <v>1.908</v>
      </c>
      <c r="H508">
        <v>0.01425576519916143</v>
      </c>
      <c r="I508">
        <v>-0.1212115791098682</v>
      </c>
      <c r="J508">
        <v>0</v>
      </c>
      <c r="K508">
        <v>-0.09468826605635061</v>
      </c>
      <c r="L508" t="s">
        <v>568</v>
      </c>
      <c r="M508" t="s">
        <v>637</v>
      </c>
      <c r="N508">
        <v>21.2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886</v>
      </c>
      <c r="U508">
        <v>0.511054934924851</v>
      </c>
      <c r="V508" t="s">
        <v>978</v>
      </c>
      <c r="W508" t="s">
        <v>989</v>
      </c>
      <c r="X508">
        <v>16749.512419</v>
      </c>
      <c r="Y508" s="2">
        <v>44855</v>
      </c>
      <c r="Z508" t="s">
        <v>996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23.17</v>
      </c>
      <c r="F509">
        <v>135</v>
      </c>
      <c r="G509">
        <v>0.1716296296296296</v>
      </c>
      <c r="H509">
        <v>0.9710832973672852</v>
      </c>
      <c r="I509">
        <v>0.4225958811259374</v>
      </c>
      <c r="J509">
        <v>-0.2</v>
      </c>
      <c r="K509">
        <v>0.3521727568921846</v>
      </c>
      <c r="L509" t="s">
        <v>586</v>
      </c>
      <c r="M509" t="s">
        <v>873</v>
      </c>
      <c r="N509">
        <v>0.514888888888889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882</v>
      </c>
      <c r="U509">
        <v>-0.341164293777599</v>
      </c>
      <c r="V509" t="s">
        <v>978</v>
      </c>
      <c r="W509" t="s">
        <v>984</v>
      </c>
      <c r="X509">
        <v>2779.181096</v>
      </c>
      <c r="Y509" s="2">
        <v>44794</v>
      </c>
      <c r="Z509" t="s">
        <v>1000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6.76</v>
      </c>
      <c r="F510">
        <v>17</v>
      </c>
      <c r="G510">
        <v>0.3976470588235294</v>
      </c>
      <c r="H510">
        <v>0.08875739644970414</v>
      </c>
      <c r="I510">
        <v>0.2025425305345949</v>
      </c>
      <c r="J510">
        <v>0.029</v>
      </c>
      <c r="K510">
        <v>0.2825957842173139</v>
      </c>
      <c r="L510" t="s">
        <v>586</v>
      </c>
      <c r="M510" t="s">
        <v>873</v>
      </c>
      <c r="N510">
        <v>3.907514450867052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901</v>
      </c>
      <c r="U510">
        <v>-0.4867200194378211</v>
      </c>
      <c r="V510" t="s">
        <v>980</v>
      </c>
      <c r="W510" t="s">
        <v>992</v>
      </c>
      <c r="X510">
        <v>1603.818633</v>
      </c>
      <c r="Y510" s="2">
        <v>44784</v>
      </c>
      <c r="Z510" t="s">
        <v>999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869</v>
      </c>
      <c r="D511">
        <v>21</v>
      </c>
      <c r="E511">
        <v>21.72</v>
      </c>
      <c r="F511">
        <v>56</v>
      </c>
      <c r="G511">
        <v>0.3878571428571428</v>
      </c>
      <c r="H511">
        <v>0.07182320441988951</v>
      </c>
      <c r="I511">
        <v>0.2085528343246412</v>
      </c>
      <c r="J511">
        <v>0.03</v>
      </c>
      <c r="K511">
        <v>0.2759442674920736</v>
      </c>
      <c r="L511" t="s">
        <v>586</v>
      </c>
      <c r="M511" t="s">
        <v>873</v>
      </c>
      <c r="N511">
        <v>5.87027027027027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919</v>
      </c>
      <c r="U511">
        <v>-0.5107380826879671</v>
      </c>
      <c r="V511" t="s">
        <v>978</v>
      </c>
      <c r="W511" t="s">
        <v>986</v>
      </c>
      <c r="X511">
        <v>3598.089697</v>
      </c>
      <c r="Y511" s="2">
        <v>44870</v>
      </c>
      <c r="Z511" t="s">
        <v>1006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38.67</v>
      </c>
      <c r="F512">
        <v>75</v>
      </c>
      <c r="G512">
        <v>0.5156000000000001</v>
      </c>
      <c r="H512">
        <v>0.09645720196534781</v>
      </c>
      <c r="I512">
        <v>0.1416616645077573</v>
      </c>
      <c r="J512">
        <v>0.05</v>
      </c>
      <c r="K512">
        <v>0.2432904687542585</v>
      </c>
      <c r="L512" t="s">
        <v>586</v>
      </c>
      <c r="M512" t="s">
        <v>873</v>
      </c>
      <c r="N512">
        <v>5.859090909090909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911</v>
      </c>
      <c r="U512">
        <v>-0.434154421555687</v>
      </c>
      <c r="V512" t="s">
        <v>980</v>
      </c>
      <c r="W512" t="s">
        <v>992</v>
      </c>
      <c r="X512">
        <v>2486.510621</v>
      </c>
      <c r="Y512" s="2">
        <v>44854</v>
      </c>
      <c r="Z512" t="s">
        <v>996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869</v>
      </c>
      <c r="D513">
        <v>20</v>
      </c>
      <c r="E513">
        <v>15.43</v>
      </c>
      <c r="F513">
        <v>29</v>
      </c>
      <c r="G513">
        <v>0.5320689655172414</v>
      </c>
      <c r="H513">
        <v>0.1425793907971484</v>
      </c>
      <c r="I513">
        <v>0.134505000302209</v>
      </c>
      <c r="J513">
        <v>0.03</v>
      </c>
      <c r="K513">
        <v>0.2366040951895849</v>
      </c>
      <c r="L513" t="s">
        <v>586</v>
      </c>
      <c r="M513" t="s">
        <v>873</v>
      </c>
      <c r="N513">
        <v>3.148979591836734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926</v>
      </c>
      <c r="U513">
        <v>-0.333552171246425</v>
      </c>
      <c r="V513" t="s">
        <v>980</v>
      </c>
      <c r="W513" t="s">
        <v>992</v>
      </c>
      <c r="X513">
        <v>749.37429</v>
      </c>
      <c r="Y513" s="2">
        <v>44795</v>
      </c>
      <c r="Z513" t="s">
        <v>996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29.24</v>
      </c>
      <c r="F514">
        <v>45.5</v>
      </c>
      <c r="G514">
        <v>0.6426373626373626</v>
      </c>
      <c r="H514">
        <v>0.02428180574555404</v>
      </c>
      <c r="I514">
        <v>0.09246317269422066</v>
      </c>
      <c r="J514">
        <v>0.119</v>
      </c>
      <c r="K514">
        <v>0.2347789531180036</v>
      </c>
      <c r="L514" t="s">
        <v>586</v>
      </c>
      <c r="M514" t="s">
        <v>637</v>
      </c>
      <c r="N514">
        <v>16.51977401129943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886</v>
      </c>
      <c r="U514">
        <v>-0.6047906295912341</v>
      </c>
      <c r="V514" t="s">
        <v>980</v>
      </c>
      <c r="W514" t="s">
        <v>992</v>
      </c>
      <c r="X514">
        <v>1818.360541</v>
      </c>
      <c r="Y514" s="2">
        <v>44779</v>
      </c>
      <c r="Z514" t="s">
        <v>999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107.64</v>
      </c>
      <c r="F515">
        <v>221</v>
      </c>
      <c r="G515">
        <v>0.4870588235294118</v>
      </c>
      <c r="H515">
        <v>0.06094388703084355</v>
      </c>
      <c r="I515">
        <v>0.1547386890519284</v>
      </c>
      <c r="J515">
        <v>0.03</v>
      </c>
      <c r="K515">
        <v>0.2277196534990613</v>
      </c>
      <c r="L515" t="s">
        <v>586</v>
      </c>
      <c r="M515" t="s">
        <v>873</v>
      </c>
      <c r="N515">
        <v>7.63404255319149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934</v>
      </c>
      <c r="U515">
        <v>-0.4816092651507921</v>
      </c>
      <c r="V515" t="s">
        <v>978</v>
      </c>
      <c r="W515" t="s">
        <v>983</v>
      </c>
      <c r="X515">
        <v>1176.181096</v>
      </c>
      <c r="Y515" s="2">
        <v>44783</v>
      </c>
      <c r="Z515" t="s">
        <v>1004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870</v>
      </c>
      <c r="D516">
        <v>5.5</v>
      </c>
      <c r="E516">
        <v>5.52</v>
      </c>
      <c r="F516">
        <v>9.1</v>
      </c>
      <c r="G516">
        <v>0.6065934065934065</v>
      </c>
      <c r="H516">
        <v>0.04528985507246377</v>
      </c>
      <c r="I516">
        <v>0.1051480530406652</v>
      </c>
      <c r="J516">
        <v>0.07000000000000001</v>
      </c>
      <c r="K516">
        <v>0.2097011832728211</v>
      </c>
      <c r="L516" t="s">
        <v>586</v>
      </c>
      <c r="M516" t="s">
        <v>568</v>
      </c>
      <c r="N516">
        <v>8.492307692307691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886</v>
      </c>
      <c r="U516">
        <v>-0.473488425329785</v>
      </c>
      <c r="V516" t="s">
        <v>978</v>
      </c>
      <c r="W516" t="s">
        <v>982</v>
      </c>
      <c r="X516">
        <v>16959.624551</v>
      </c>
      <c r="Y516" s="2">
        <v>44855</v>
      </c>
      <c r="Z516" t="s">
        <v>996</v>
      </c>
    </row>
    <row r="517" spans="1:26">
      <c r="A517" s="1" t="s">
        <v>541</v>
      </c>
      <c r="B517">
        <f>HYPERLINK("https://www.suredividend.com/sure-analysis-PDM/","Piedmont Office Realty Trust Inc")</f>
        <v>0</v>
      </c>
      <c r="C517" t="s">
        <v>869</v>
      </c>
      <c r="D517">
        <v>14</v>
      </c>
      <c r="E517">
        <v>10.28</v>
      </c>
      <c r="F517">
        <v>19</v>
      </c>
      <c r="G517">
        <v>0.5410526315789473</v>
      </c>
      <c r="H517">
        <v>0.08171206225680934</v>
      </c>
      <c r="I517">
        <v>0.1307122499218338</v>
      </c>
      <c r="J517">
        <v>0.02</v>
      </c>
      <c r="K517">
        <v>0.1973316521854835</v>
      </c>
      <c r="L517" t="s">
        <v>586</v>
      </c>
      <c r="M517" t="s">
        <v>873</v>
      </c>
      <c r="N517">
        <v>5.089108910891089</v>
      </c>
      <c r="O517">
        <v>2.02</v>
      </c>
      <c r="P517">
        <v>0.84</v>
      </c>
      <c r="Q517">
        <v>0.4158415841584158</v>
      </c>
      <c r="R517">
        <v>0</v>
      </c>
      <c r="S517">
        <v>0.009347419909568888</v>
      </c>
      <c r="T517" t="s">
        <v>906</v>
      </c>
      <c r="U517">
        <v>-0.41100976302883</v>
      </c>
      <c r="V517" t="s">
        <v>980</v>
      </c>
      <c r="W517" t="s">
        <v>992</v>
      </c>
      <c r="X517">
        <v>1268.504517</v>
      </c>
      <c r="Y517" s="2">
        <v>44770</v>
      </c>
      <c r="Z517" t="s">
        <v>998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71.64</v>
      </c>
      <c r="F518">
        <v>119.8</v>
      </c>
      <c r="G518">
        <v>0.5979966611018364</v>
      </c>
      <c r="H518">
        <v>0.0547180346175321</v>
      </c>
      <c r="I518">
        <v>0.1083074388218472</v>
      </c>
      <c r="J518">
        <v>0.051</v>
      </c>
      <c r="K518">
        <v>0.1973158117337832</v>
      </c>
      <c r="L518" t="s">
        <v>586</v>
      </c>
      <c r="M518" t="s">
        <v>568</v>
      </c>
      <c r="N518">
        <v>9.56475300400534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886</v>
      </c>
      <c r="U518">
        <v>-0.350290120310598</v>
      </c>
      <c r="V518" t="s">
        <v>980</v>
      </c>
      <c r="W518" t="s">
        <v>992</v>
      </c>
      <c r="X518">
        <v>11228.472475</v>
      </c>
      <c r="Y518" s="2">
        <v>44773</v>
      </c>
      <c r="Z518" t="s">
        <v>999</v>
      </c>
    </row>
    <row r="519" spans="1:26">
      <c r="A519" s="1" t="s">
        <v>543</v>
      </c>
      <c r="B519">
        <f>HYPERLINK("https://www.suredividend.com/sure-analysis-WSO/","Watsco Inc.")</f>
        <v>0</v>
      </c>
      <c r="C519" t="s">
        <v>869</v>
      </c>
      <c r="D519">
        <v>242</v>
      </c>
      <c r="E519">
        <v>261.96</v>
      </c>
      <c r="F519">
        <v>361</v>
      </c>
      <c r="G519">
        <v>0.7256509695290858</v>
      </c>
      <c r="H519">
        <v>0.03359291494884716</v>
      </c>
      <c r="I519">
        <v>0.06623870609761928</v>
      </c>
      <c r="J519">
        <v>0.1</v>
      </c>
      <c r="K519">
        <v>0.1957896143343567</v>
      </c>
      <c r="L519" t="s">
        <v>586</v>
      </c>
      <c r="M519" t="s">
        <v>586</v>
      </c>
      <c r="N519">
        <v>18.14127423822715</v>
      </c>
      <c r="O519">
        <v>14.44</v>
      </c>
      <c r="P519">
        <v>8.800000000000001</v>
      </c>
      <c r="Q519">
        <v>0.6094182825484765</v>
      </c>
      <c r="R519">
        <v>9</v>
      </c>
      <c r="S519">
        <v>0.09996137598141042</v>
      </c>
      <c r="T519" t="s">
        <v>914</v>
      </c>
      <c r="U519">
        <v>-0.09377630222954701</v>
      </c>
      <c r="V519" t="s">
        <v>978</v>
      </c>
      <c r="W519" t="s">
        <v>984</v>
      </c>
      <c r="X519">
        <v>10273.265988</v>
      </c>
      <c r="Y519" s="2">
        <v>44854</v>
      </c>
      <c r="Z519" t="s">
        <v>993</v>
      </c>
    </row>
    <row r="520" spans="1:26">
      <c r="A520" s="1" t="s">
        <v>544</v>
      </c>
      <c r="B520">
        <f>HYPERLINK("https://www.suredividend.com/sure-analysis-PBR/","Petroleo Brasileiro S.A. Petrobras")</f>
        <v>0</v>
      </c>
      <c r="C520" t="s">
        <v>871</v>
      </c>
      <c r="D520">
        <v>14</v>
      </c>
      <c r="E520">
        <v>12.65</v>
      </c>
      <c r="F520">
        <v>25</v>
      </c>
      <c r="G520">
        <v>0.506</v>
      </c>
      <c r="H520">
        <v>0.07193675889328063</v>
      </c>
      <c r="I520">
        <v>0.1459611554371072</v>
      </c>
      <c r="J520">
        <v>0.01</v>
      </c>
      <c r="K520">
        <v>0.1949871078978378</v>
      </c>
      <c r="L520" t="s">
        <v>586</v>
      </c>
      <c r="M520" t="s">
        <v>873</v>
      </c>
      <c r="N520">
        <v>4.120521172638437</v>
      </c>
      <c r="O520">
        <v>3.07</v>
      </c>
      <c r="P520">
        <v>0.91</v>
      </c>
      <c r="Q520">
        <v>0.2964169381107492</v>
      </c>
      <c r="R520">
        <v>0</v>
      </c>
      <c r="S520">
        <v>0</v>
      </c>
      <c r="U520">
        <v>0.586485401826025</v>
      </c>
      <c r="V520" t="s">
        <v>978</v>
      </c>
      <c r="W520" t="s">
        <v>991</v>
      </c>
      <c r="X520">
        <v>78527.583746</v>
      </c>
      <c r="Y520" s="2">
        <v>44789</v>
      </c>
      <c r="Z520" t="s">
        <v>1007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869</v>
      </c>
      <c r="D521">
        <v>82</v>
      </c>
      <c r="E521">
        <v>50.4</v>
      </c>
      <c r="F521">
        <v>71</v>
      </c>
      <c r="G521">
        <v>0.7098591549295774</v>
      </c>
      <c r="H521">
        <v>0.05238095238095238</v>
      </c>
      <c r="I521">
        <v>0.07094104192388473</v>
      </c>
      <c r="J521">
        <v>0.07000000000000001</v>
      </c>
      <c r="K521">
        <v>0.1800919029273766</v>
      </c>
      <c r="L521" t="s">
        <v>586</v>
      </c>
      <c r="M521" t="s">
        <v>568</v>
      </c>
      <c r="N521">
        <v>10.72340425531915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906</v>
      </c>
      <c r="U521">
        <v>-0.6859094883378311</v>
      </c>
      <c r="V521" t="s">
        <v>978</v>
      </c>
      <c r="W521" t="s">
        <v>989</v>
      </c>
      <c r="X521">
        <v>2792.44471</v>
      </c>
      <c r="Y521" s="2">
        <v>44776</v>
      </c>
      <c r="Z521" t="s">
        <v>1000</v>
      </c>
    </row>
    <row r="522" spans="1:26">
      <c r="A522" s="1" t="s">
        <v>546</v>
      </c>
      <c r="B522">
        <f>HYPERLINK("https://www.suredividend.com/sure-analysis-SNV/","Synovus Financial Corp.")</f>
        <v>0</v>
      </c>
      <c r="C522" t="s">
        <v>869</v>
      </c>
      <c r="D522">
        <v>36</v>
      </c>
      <c r="E522">
        <v>39.48</v>
      </c>
      <c r="F522">
        <v>54</v>
      </c>
      <c r="G522">
        <v>0.731111111111111</v>
      </c>
      <c r="H522">
        <v>0.03444782168186424</v>
      </c>
      <c r="I522">
        <v>0.06464133351760903</v>
      </c>
      <c r="J522">
        <v>0.08</v>
      </c>
      <c r="K522">
        <v>0.1796895633976563</v>
      </c>
      <c r="L522" t="s">
        <v>586</v>
      </c>
      <c r="M522" t="s">
        <v>568</v>
      </c>
      <c r="N522">
        <v>7.975757575757575</v>
      </c>
      <c r="O522">
        <v>4.95</v>
      </c>
      <c r="P522">
        <v>1.36</v>
      </c>
      <c r="Q522">
        <v>0.2747474747474747</v>
      </c>
      <c r="R522">
        <v>1</v>
      </c>
      <c r="S522">
        <v>0.1602869961793238</v>
      </c>
      <c r="T522" t="s">
        <v>883</v>
      </c>
      <c r="U522">
        <v>-0.171255061578603</v>
      </c>
      <c r="V522" t="s">
        <v>978</v>
      </c>
      <c r="W522" t="s">
        <v>986</v>
      </c>
      <c r="X522">
        <v>5742.677458</v>
      </c>
      <c r="Y522" s="2">
        <v>44857</v>
      </c>
      <c r="Z522" t="s">
        <v>1002</v>
      </c>
    </row>
    <row r="523" spans="1:26">
      <c r="A523" s="1" t="s">
        <v>547</v>
      </c>
      <c r="B523">
        <f>HYPERLINK("https://www.suredividend.com/sure-analysis-NXRT/","NexPoint Residential Trust Inc")</f>
        <v>0</v>
      </c>
      <c r="C523" t="s">
        <v>869</v>
      </c>
      <c r="D523">
        <v>46</v>
      </c>
      <c r="E523">
        <v>44.78</v>
      </c>
      <c r="F523">
        <v>57</v>
      </c>
      <c r="G523">
        <v>0.7856140350877193</v>
      </c>
      <c r="H523">
        <v>0.03751674854845913</v>
      </c>
      <c r="I523">
        <v>0.04944130421283455</v>
      </c>
      <c r="J523">
        <v>0.09</v>
      </c>
      <c r="K523">
        <v>0.1719420419608988</v>
      </c>
      <c r="L523" t="s">
        <v>586</v>
      </c>
      <c r="M523" t="s">
        <v>586</v>
      </c>
      <c r="N523">
        <v>13.01744186046512</v>
      </c>
      <c r="O523">
        <v>3.44</v>
      </c>
      <c r="P523">
        <v>1.68</v>
      </c>
      <c r="Q523">
        <v>0.4883720930232558</v>
      </c>
      <c r="R523">
        <v>7</v>
      </c>
      <c r="S523">
        <v>0.1003529239440031</v>
      </c>
      <c r="T523" t="s">
        <v>883</v>
      </c>
      <c r="U523">
        <v>-0.3571098368799011</v>
      </c>
      <c r="V523" t="s">
        <v>980</v>
      </c>
      <c r="W523" t="s">
        <v>992</v>
      </c>
      <c r="X523">
        <v>1144.098505</v>
      </c>
      <c r="Y523" s="2">
        <v>44860</v>
      </c>
      <c r="Z523" t="s">
        <v>1000</v>
      </c>
    </row>
    <row r="524" spans="1:26">
      <c r="A524" s="1" t="s">
        <v>548</v>
      </c>
      <c r="B524">
        <f>HYPERLINK("https://www.suredividend.com/sure-analysis-NWL/","Newell Brands Inc")</f>
        <v>0</v>
      </c>
      <c r="C524" t="s">
        <v>870</v>
      </c>
      <c r="D524">
        <v>20</v>
      </c>
      <c r="E524">
        <v>13.11</v>
      </c>
      <c r="F524">
        <v>22</v>
      </c>
      <c r="G524">
        <v>0.5959090909090908</v>
      </c>
      <c r="H524">
        <v>0.07017543859649124</v>
      </c>
      <c r="I524">
        <v>0.1090828706239992</v>
      </c>
      <c r="J524">
        <v>0.02</v>
      </c>
      <c r="K524">
        <v>0.171192551149465</v>
      </c>
      <c r="L524" t="s">
        <v>586</v>
      </c>
      <c r="M524" t="s">
        <v>873</v>
      </c>
      <c r="N524">
        <v>7.086486486486486</v>
      </c>
      <c r="O524">
        <v>1.85</v>
      </c>
      <c r="P524">
        <v>0.92</v>
      </c>
      <c r="Q524">
        <v>0.4972972972972973</v>
      </c>
      <c r="R524">
        <v>0</v>
      </c>
      <c r="S524">
        <v>0</v>
      </c>
      <c r="T524" t="s">
        <v>881</v>
      </c>
      <c r="U524">
        <v>-0.4235158060445091</v>
      </c>
      <c r="V524" t="s">
        <v>978</v>
      </c>
      <c r="W524" t="s">
        <v>990</v>
      </c>
      <c r="X524">
        <v>5422.296</v>
      </c>
      <c r="Y524" s="2">
        <v>44781</v>
      </c>
      <c r="Z524" t="s">
        <v>1001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869</v>
      </c>
      <c r="D525">
        <v>35</v>
      </c>
      <c r="E525">
        <v>32.46</v>
      </c>
      <c r="F525">
        <v>50</v>
      </c>
      <c r="G525">
        <v>0.6492</v>
      </c>
      <c r="H525">
        <v>0.03696857670979667</v>
      </c>
      <c r="I525">
        <v>0.09024548738565641</v>
      </c>
      <c r="J525">
        <v>0.05</v>
      </c>
      <c r="K525">
        <v>0.1680431022578723</v>
      </c>
      <c r="L525" t="s">
        <v>586</v>
      </c>
      <c r="M525" t="s">
        <v>568</v>
      </c>
      <c r="N525">
        <v>8.431168831168831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901</v>
      </c>
      <c r="U525">
        <v>-0.204148431466293</v>
      </c>
      <c r="V525" t="s">
        <v>978</v>
      </c>
      <c r="W525" t="s">
        <v>983</v>
      </c>
      <c r="X525">
        <v>7856.933781</v>
      </c>
      <c r="Y525" s="2">
        <v>44808</v>
      </c>
      <c r="Z525" t="s">
        <v>997</v>
      </c>
    </row>
    <row r="526" spans="1:26">
      <c r="A526" s="1" t="s">
        <v>550</v>
      </c>
      <c r="B526">
        <f>HYPERLINK("https://www.suredividend.com/sure-analysis-DEA/","Easterly Government Properties Inc")</f>
        <v>0</v>
      </c>
      <c r="C526" t="s">
        <v>869</v>
      </c>
      <c r="D526">
        <v>24.9</v>
      </c>
      <c r="E526">
        <v>16.24</v>
      </c>
      <c r="F526">
        <v>24.9</v>
      </c>
      <c r="G526">
        <v>0.6522088353413654</v>
      </c>
      <c r="H526">
        <v>0.06527093596059114</v>
      </c>
      <c r="I526">
        <v>0.08923769996654141</v>
      </c>
      <c r="J526">
        <v>0.033</v>
      </c>
      <c r="K526">
        <v>0.1671574925139938</v>
      </c>
      <c r="L526" t="s">
        <v>586</v>
      </c>
      <c r="M526" t="s">
        <v>873</v>
      </c>
      <c r="N526">
        <v>12.11940298507463</v>
      </c>
      <c r="O526">
        <v>1.34</v>
      </c>
      <c r="P526">
        <v>1.06</v>
      </c>
      <c r="Q526">
        <v>0.7910447761194029</v>
      </c>
      <c r="R526">
        <v>1</v>
      </c>
      <c r="S526">
        <v>0.03517300006217261</v>
      </c>
      <c r="T526" t="s">
        <v>898</v>
      </c>
      <c r="U526">
        <v>-0.177596596951435</v>
      </c>
      <c r="V526" t="s">
        <v>980</v>
      </c>
      <c r="W526" t="s">
        <v>992</v>
      </c>
      <c r="X526">
        <v>1474.819701</v>
      </c>
      <c r="Y526" s="2">
        <v>44778</v>
      </c>
      <c r="Z526" t="s">
        <v>999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869</v>
      </c>
      <c r="D527">
        <v>28</v>
      </c>
      <c r="E527">
        <v>28.44</v>
      </c>
      <c r="F527">
        <v>44</v>
      </c>
      <c r="G527">
        <v>0.6463636363636364</v>
      </c>
      <c r="H527">
        <v>0.07032348804500703</v>
      </c>
      <c r="I527">
        <v>0.09120065219906848</v>
      </c>
      <c r="J527">
        <v>0.025</v>
      </c>
      <c r="K527">
        <v>0.1625900758437591</v>
      </c>
      <c r="L527" t="s">
        <v>586</v>
      </c>
      <c r="M527" t="s">
        <v>873</v>
      </c>
      <c r="N527">
        <v>7.057071960297766</v>
      </c>
      <c r="O527">
        <v>4.03</v>
      </c>
      <c r="P527">
        <v>2</v>
      </c>
      <c r="Q527">
        <v>0.4962779156327543</v>
      </c>
      <c r="R527">
        <v>4</v>
      </c>
      <c r="S527">
        <v>0.02016978262061087</v>
      </c>
      <c r="T527" t="s">
        <v>884</v>
      </c>
      <c r="U527">
        <v>-0.351564316885319</v>
      </c>
      <c r="V527" t="s">
        <v>980</v>
      </c>
      <c r="W527" t="s">
        <v>992</v>
      </c>
      <c r="X527">
        <v>2991.821394</v>
      </c>
      <c r="Y527" s="2">
        <v>44867</v>
      </c>
      <c r="Z527" t="s">
        <v>998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869</v>
      </c>
      <c r="D528">
        <v>8</v>
      </c>
      <c r="E528">
        <v>6.52</v>
      </c>
      <c r="F528">
        <v>11</v>
      </c>
      <c r="G528">
        <v>0.5927272727272727</v>
      </c>
      <c r="H528">
        <v>0.04754601226993865</v>
      </c>
      <c r="I528">
        <v>0.1102710551825867</v>
      </c>
      <c r="J528">
        <v>0.02</v>
      </c>
      <c r="K528">
        <v>0.1610174295976714</v>
      </c>
      <c r="L528" t="s">
        <v>586</v>
      </c>
      <c r="M528" t="s">
        <v>568</v>
      </c>
      <c r="N528">
        <v>6.721649484536083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886</v>
      </c>
      <c r="U528">
        <v>-0.238264364324602</v>
      </c>
      <c r="V528" t="s">
        <v>980</v>
      </c>
      <c r="W528" t="s">
        <v>992</v>
      </c>
      <c r="X528">
        <v>1433.251495</v>
      </c>
      <c r="Y528" s="2">
        <v>44769</v>
      </c>
      <c r="Z528" t="s">
        <v>998</v>
      </c>
    </row>
    <row r="529" spans="1:26">
      <c r="A529" s="1" t="s">
        <v>553</v>
      </c>
      <c r="B529">
        <f>HYPERLINK("https://www.suredividend.com/sure-analysis-AAT/","American Assets Trust Inc")</f>
        <v>0</v>
      </c>
      <c r="C529" t="s">
        <v>869</v>
      </c>
      <c r="D529">
        <v>28</v>
      </c>
      <c r="E529">
        <v>28.25</v>
      </c>
      <c r="F529">
        <v>43</v>
      </c>
      <c r="G529">
        <v>0.6569767441860465</v>
      </c>
      <c r="H529">
        <v>0.04530973451327434</v>
      </c>
      <c r="I529">
        <v>0.08765209494278992</v>
      </c>
      <c r="J529">
        <v>0.04</v>
      </c>
      <c r="K529">
        <v>0.1607781510747721</v>
      </c>
      <c r="L529" t="s">
        <v>586</v>
      </c>
      <c r="M529" t="s">
        <v>586</v>
      </c>
      <c r="N529">
        <v>12.28260869565218</v>
      </c>
      <c r="O529">
        <v>2.3</v>
      </c>
      <c r="P529">
        <v>1.28</v>
      </c>
      <c r="Q529">
        <v>0.5565217391304348</v>
      </c>
      <c r="R529">
        <v>2</v>
      </c>
      <c r="S529">
        <v>0.0403582746309219</v>
      </c>
      <c r="T529" t="s">
        <v>925</v>
      </c>
      <c r="U529">
        <v>-0.234120539938241</v>
      </c>
      <c r="V529" t="s">
        <v>980</v>
      </c>
      <c r="W529" t="s">
        <v>992</v>
      </c>
      <c r="X529">
        <v>1709.747715</v>
      </c>
      <c r="Y529" s="2">
        <v>44860</v>
      </c>
      <c r="Z529" t="s">
        <v>996</v>
      </c>
    </row>
    <row r="530" spans="1:26">
      <c r="A530" s="1" t="s">
        <v>554</v>
      </c>
      <c r="B530">
        <f>HYPERLINK("https://www.suredividend.com/sure-analysis-IVZ/","Invesco Ltd")</f>
        <v>0</v>
      </c>
      <c r="C530" t="s">
        <v>869</v>
      </c>
      <c r="D530">
        <v>17</v>
      </c>
      <c r="E530">
        <v>15.73</v>
      </c>
      <c r="F530">
        <v>26</v>
      </c>
      <c r="G530">
        <v>0.605</v>
      </c>
      <c r="H530">
        <v>0.04767959313413859</v>
      </c>
      <c r="I530">
        <v>0.1057295730319741</v>
      </c>
      <c r="J530">
        <v>0.02</v>
      </c>
      <c r="K530">
        <v>0.1579756372536754</v>
      </c>
      <c r="L530" t="s">
        <v>586</v>
      </c>
      <c r="M530" t="s">
        <v>568</v>
      </c>
      <c r="N530">
        <v>7.149999999999999</v>
      </c>
      <c r="O530">
        <v>2.2</v>
      </c>
      <c r="P530">
        <v>0.75</v>
      </c>
      <c r="Q530">
        <v>0.3409090909090909</v>
      </c>
      <c r="R530">
        <v>1</v>
      </c>
      <c r="S530">
        <v>0.02534857565773274</v>
      </c>
      <c r="T530" t="s">
        <v>913</v>
      </c>
      <c r="U530">
        <v>-0.37207343507367</v>
      </c>
      <c r="V530" t="s">
        <v>978</v>
      </c>
      <c r="W530" t="s">
        <v>986</v>
      </c>
      <c r="X530">
        <v>7153.761884</v>
      </c>
      <c r="Y530" s="2">
        <v>44769</v>
      </c>
      <c r="Z530" t="s">
        <v>994</v>
      </c>
    </row>
    <row r="531" spans="1:26">
      <c r="A531" s="1" t="s">
        <v>555</v>
      </c>
      <c r="B531">
        <f>HYPERLINK("https://www.suredividend.com/sure-analysis-NYCB/","New York Community Bancorp Inc.")</f>
        <v>0</v>
      </c>
      <c r="C531" t="s">
        <v>869</v>
      </c>
      <c r="D531">
        <v>10.3</v>
      </c>
      <c r="E531">
        <v>8.890000000000001</v>
      </c>
      <c r="F531">
        <v>13</v>
      </c>
      <c r="G531">
        <v>0.6838461538461539</v>
      </c>
      <c r="H531">
        <v>0.0764904386951631</v>
      </c>
      <c r="I531">
        <v>0.07896738805357306</v>
      </c>
      <c r="J531">
        <v>0.03</v>
      </c>
      <c r="K531">
        <v>0.1574858066705758</v>
      </c>
      <c r="L531" t="s">
        <v>586</v>
      </c>
      <c r="M531" t="s">
        <v>873</v>
      </c>
      <c r="N531">
        <v>6.838461538461539</v>
      </c>
      <c r="O531">
        <v>1.3</v>
      </c>
      <c r="P531">
        <v>0.68</v>
      </c>
      <c r="Q531">
        <v>0.5230769230769231</v>
      </c>
      <c r="R531">
        <v>0</v>
      </c>
      <c r="S531">
        <v>0</v>
      </c>
      <c r="T531" t="s">
        <v>919</v>
      </c>
      <c r="U531">
        <v>-0.23064274649289</v>
      </c>
      <c r="V531" t="s">
        <v>978</v>
      </c>
      <c r="W531" t="s">
        <v>986</v>
      </c>
      <c r="X531">
        <v>4143.94744</v>
      </c>
      <c r="Y531" s="2">
        <v>44776</v>
      </c>
      <c r="Z531" t="s">
        <v>1001</v>
      </c>
    </row>
    <row r="532" spans="1:26">
      <c r="A532" s="1" t="s">
        <v>556</v>
      </c>
      <c r="B532">
        <f>HYPERLINK("https://www.suredividend.com/sure-analysis-YUMC/","Yum China Holdings Inc")</f>
        <v>0</v>
      </c>
      <c r="C532" t="s">
        <v>869</v>
      </c>
      <c r="D532">
        <v>47</v>
      </c>
      <c r="E532">
        <v>49.94</v>
      </c>
      <c r="F532">
        <v>27</v>
      </c>
      <c r="G532">
        <v>1.84962962962963</v>
      </c>
      <c r="H532">
        <v>0.00961153384060873</v>
      </c>
      <c r="I532">
        <v>-0.1157337587187206</v>
      </c>
      <c r="J532">
        <v>0.3</v>
      </c>
      <c r="K532">
        <v>0.1564664507027036</v>
      </c>
      <c r="L532" t="s">
        <v>586</v>
      </c>
      <c r="M532" t="s">
        <v>637</v>
      </c>
      <c r="N532">
        <v>55.48888888888889</v>
      </c>
      <c r="O532">
        <v>0.9</v>
      </c>
      <c r="P532">
        <v>0.48</v>
      </c>
      <c r="Q532">
        <v>0.5333333333333333</v>
      </c>
      <c r="R532">
        <v>1</v>
      </c>
      <c r="S532">
        <v>0.08144247310122177</v>
      </c>
      <c r="T532" t="s">
        <v>879</v>
      </c>
      <c r="U532">
        <v>-0.104470653212805</v>
      </c>
      <c r="V532" t="s">
        <v>978</v>
      </c>
      <c r="W532" t="s">
        <v>983</v>
      </c>
      <c r="X532">
        <v>20955.866048</v>
      </c>
      <c r="Y532" s="2">
        <v>44777</v>
      </c>
      <c r="Z532" t="s">
        <v>1003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869</v>
      </c>
      <c r="D533">
        <v>24</v>
      </c>
      <c r="E533">
        <v>24.08</v>
      </c>
      <c r="F533">
        <v>35</v>
      </c>
      <c r="G533">
        <v>0.6879999999999999</v>
      </c>
      <c r="H533">
        <v>0.053156146179402</v>
      </c>
      <c r="I533">
        <v>0.07766136254941047</v>
      </c>
      <c r="J533">
        <v>0.04</v>
      </c>
      <c r="K533">
        <v>0.156022343888401</v>
      </c>
      <c r="L533" t="s">
        <v>586</v>
      </c>
      <c r="M533" t="s">
        <v>568</v>
      </c>
      <c r="N533">
        <v>8.756363636363636</v>
      </c>
      <c r="O533">
        <v>2.75</v>
      </c>
      <c r="P533">
        <v>1.28</v>
      </c>
      <c r="Q533">
        <v>0.4654545454545455</v>
      </c>
      <c r="R533">
        <v>4</v>
      </c>
      <c r="S533">
        <v>0.0363257568172124</v>
      </c>
      <c r="T533" t="s">
        <v>935</v>
      </c>
      <c r="U533">
        <v>-0.369620306184422</v>
      </c>
      <c r="V533" t="s">
        <v>980</v>
      </c>
      <c r="W533" t="s">
        <v>992</v>
      </c>
      <c r="X533">
        <v>3646.537486</v>
      </c>
      <c r="Y533" s="2">
        <v>44867</v>
      </c>
      <c r="Z533" t="s">
        <v>996</v>
      </c>
    </row>
    <row r="534" spans="1:26">
      <c r="A534" s="1" t="s">
        <v>558</v>
      </c>
      <c r="B534">
        <f>HYPERLINK("https://www.suredividend.com/sure-analysis-PLYM/","Plymouth Industrial Reit Inc")</f>
        <v>0</v>
      </c>
      <c r="C534" t="s">
        <v>869</v>
      </c>
      <c r="D534">
        <v>20</v>
      </c>
      <c r="E534">
        <v>18.98</v>
      </c>
      <c r="F534">
        <v>27</v>
      </c>
      <c r="G534">
        <v>0.702962962962963</v>
      </c>
      <c r="H534">
        <v>0.04636459430979979</v>
      </c>
      <c r="I534">
        <v>0.07303406927367462</v>
      </c>
      <c r="J534">
        <v>0.05</v>
      </c>
      <c r="K534">
        <v>0.1547996779385645</v>
      </c>
      <c r="L534" t="s">
        <v>586</v>
      </c>
      <c r="M534" t="s">
        <v>568</v>
      </c>
      <c r="N534">
        <v>10.37158469945355</v>
      </c>
      <c r="O534">
        <v>1.83</v>
      </c>
      <c r="P534">
        <v>0.88</v>
      </c>
      <c r="Q534">
        <v>0.4808743169398907</v>
      </c>
      <c r="R534">
        <v>1</v>
      </c>
      <c r="S534">
        <v>0.008929989071996269</v>
      </c>
      <c r="T534" t="s">
        <v>886</v>
      </c>
      <c r="U534">
        <v>-0.253361447015412</v>
      </c>
      <c r="V534" t="s">
        <v>980</v>
      </c>
      <c r="W534" t="s">
        <v>992</v>
      </c>
      <c r="X534">
        <v>813.2833010000001</v>
      </c>
      <c r="Y534" s="2">
        <v>44777</v>
      </c>
      <c r="Z534" t="s">
        <v>998</v>
      </c>
    </row>
    <row r="535" spans="1:26">
      <c r="A535" s="1" t="s">
        <v>559</v>
      </c>
      <c r="B535">
        <f>HYPERLINK("https://www.suredividend.com/sure-analysis-IRT/","Independence Realty Trust Inc")</f>
        <v>0</v>
      </c>
      <c r="C535" t="s">
        <v>870</v>
      </c>
      <c r="D535">
        <v>21.6</v>
      </c>
      <c r="E535">
        <v>16.45</v>
      </c>
      <c r="F535">
        <v>26.1</v>
      </c>
      <c r="G535">
        <v>0.6302681992337165</v>
      </c>
      <c r="H535">
        <v>0.03404255319148937</v>
      </c>
      <c r="I535">
        <v>0.09671787267009169</v>
      </c>
      <c r="J535">
        <v>0.028</v>
      </c>
      <c r="K535">
        <v>0.1540035526997692</v>
      </c>
      <c r="L535" t="s">
        <v>586</v>
      </c>
      <c r="M535" t="s">
        <v>586</v>
      </c>
      <c r="N535">
        <v>15.23148148148148</v>
      </c>
      <c r="O535">
        <v>1.08</v>
      </c>
      <c r="P535">
        <v>0.5600000000000001</v>
      </c>
      <c r="Q535">
        <v>0.5185185185185185</v>
      </c>
      <c r="R535">
        <v>1</v>
      </c>
      <c r="S535">
        <v>0.09460878422315755</v>
      </c>
      <c r="T535" t="s">
        <v>886</v>
      </c>
      <c r="U535">
        <v>-0.301097425744256</v>
      </c>
      <c r="V535" t="s">
        <v>980</v>
      </c>
      <c r="W535" t="s">
        <v>992</v>
      </c>
      <c r="X535">
        <v>3686.023929</v>
      </c>
      <c r="Y535" s="2">
        <v>44775</v>
      </c>
      <c r="Z535" t="s">
        <v>999</v>
      </c>
    </row>
    <row r="536" spans="1:26">
      <c r="A536" s="1" t="s">
        <v>560</v>
      </c>
      <c r="B536">
        <f>HYPERLINK("https://www.suredividend.com/sure-analysis-PINC/","Premier Inc")</f>
        <v>0</v>
      </c>
      <c r="C536" t="s">
        <v>869</v>
      </c>
      <c r="D536">
        <v>37</v>
      </c>
      <c r="E536">
        <v>31.54</v>
      </c>
      <c r="F536">
        <v>40</v>
      </c>
      <c r="G536">
        <v>0.7885</v>
      </c>
      <c r="H536">
        <v>0.02663284717818643</v>
      </c>
      <c r="I536">
        <v>0.04867197141057744</v>
      </c>
      <c r="J536">
        <v>0.08</v>
      </c>
      <c r="K536">
        <v>0.1512399642036104</v>
      </c>
      <c r="L536" t="s">
        <v>586</v>
      </c>
      <c r="M536" t="s">
        <v>586</v>
      </c>
      <c r="N536">
        <v>11.72490706319703</v>
      </c>
      <c r="O536">
        <v>2.69</v>
      </c>
      <c r="P536">
        <v>0.84</v>
      </c>
      <c r="Q536">
        <v>0.3122676579925651</v>
      </c>
      <c r="R536">
        <v>2</v>
      </c>
      <c r="S536">
        <v>0.05922384104881218</v>
      </c>
      <c r="T536" t="s">
        <v>874</v>
      </c>
      <c r="U536">
        <v>-0.219500123731749</v>
      </c>
      <c r="V536" t="s">
        <v>978</v>
      </c>
      <c r="W536" t="s">
        <v>988</v>
      </c>
      <c r="X536">
        <v>3745.757202</v>
      </c>
      <c r="Y536" s="2">
        <v>44799</v>
      </c>
      <c r="Z536" t="s">
        <v>995</v>
      </c>
    </row>
    <row r="537" spans="1:26">
      <c r="A537" s="1" t="s">
        <v>561</v>
      </c>
      <c r="B537">
        <f>HYPERLINK("https://www.suredividend.com/sure-analysis-TFC/","Truist Financial Corporation")</f>
        <v>0</v>
      </c>
      <c r="C537" t="s">
        <v>869</v>
      </c>
      <c r="D537">
        <v>43</v>
      </c>
      <c r="E537">
        <v>43.66</v>
      </c>
      <c r="F537">
        <v>57</v>
      </c>
      <c r="G537">
        <v>0.7659649122807017</v>
      </c>
      <c r="H537">
        <v>0.04764086120018324</v>
      </c>
      <c r="I537">
        <v>0.05477110715121292</v>
      </c>
      <c r="J537">
        <v>0.055</v>
      </c>
      <c r="K537">
        <v>0.1466694193632065</v>
      </c>
      <c r="L537" t="s">
        <v>586</v>
      </c>
      <c r="M537" t="s">
        <v>873</v>
      </c>
      <c r="N537">
        <v>8.802419354838708</v>
      </c>
      <c r="O537">
        <v>4.96</v>
      </c>
      <c r="P537">
        <v>2.08</v>
      </c>
      <c r="Q537">
        <v>0.4193548387096774</v>
      </c>
      <c r="R537">
        <v>12</v>
      </c>
      <c r="S537">
        <v>0.04963065931551602</v>
      </c>
      <c r="T537" t="s">
        <v>913</v>
      </c>
      <c r="U537">
        <v>-0.290595763072633</v>
      </c>
      <c r="V537" t="s">
        <v>978</v>
      </c>
      <c r="W537" t="s">
        <v>986</v>
      </c>
      <c r="X537">
        <v>57926.616134</v>
      </c>
      <c r="Y537" s="2">
        <v>44861</v>
      </c>
      <c r="Z537" t="s">
        <v>998</v>
      </c>
    </row>
    <row r="538" spans="1:26">
      <c r="A538" s="1" t="s">
        <v>562</v>
      </c>
      <c r="B538">
        <f>HYPERLINK("https://www.suredividend.com/sure-analysis-BMWYY/","Bayerische Motoren Werke AG")</f>
        <v>0</v>
      </c>
      <c r="C538" t="s">
        <v>869</v>
      </c>
      <c r="D538">
        <v>24</v>
      </c>
      <c r="E538">
        <v>26.59</v>
      </c>
      <c r="F538">
        <v>49</v>
      </c>
      <c r="G538">
        <v>0.5426530612244898</v>
      </c>
      <c r="H538">
        <v>0.07559232794283564</v>
      </c>
      <c r="I538">
        <v>0.130044506883451</v>
      </c>
      <c r="J538">
        <v>-0.02</v>
      </c>
      <c r="K538">
        <v>0.1465620814068562</v>
      </c>
      <c r="L538" t="s">
        <v>586</v>
      </c>
      <c r="M538" t="s">
        <v>873</v>
      </c>
      <c r="N538">
        <v>4.506779661016949</v>
      </c>
      <c r="O538">
        <v>5.9</v>
      </c>
      <c r="P538">
        <v>2.01</v>
      </c>
      <c r="Q538">
        <v>0.3406779661016949</v>
      </c>
      <c r="R538">
        <v>1</v>
      </c>
      <c r="S538">
        <v>-0.05938233290905071</v>
      </c>
      <c r="T538" t="s">
        <v>964</v>
      </c>
      <c r="U538">
        <v>-0.234820143884892</v>
      </c>
      <c r="V538" t="s">
        <v>978</v>
      </c>
      <c r="W538" t="s">
        <v>983</v>
      </c>
      <c r="X538">
        <v>48021.156785</v>
      </c>
      <c r="Y538" s="2">
        <v>44810</v>
      </c>
      <c r="Z538" t="s">
        <v>996</v>
      </c>
    </row>
    <row r="539" spans="1:26">
      <c r="A539" s="1" t="s">
        <v>563</v>
      </c>
      <c r="B539">
        <f>HYPERLINK("https://www.suredividend.com/sure-analysis-ARLP/","Alliance Resource Partners, LP")</f>
        <v>0</v>
      </c>
      <c r="C539" t="s">
        <v>869</v>
      </c>
      <c r="D539">
        <v>23.67</v>
      </c>
      <c r="E539">
        <v>23.95</v>
      </c>
      <c r="F539">
        <v>28</v>
      </c>
      <c r="G539">
        <v>0.8553571428571428</v>
      </c>
      <c r="H539">
        <v>0.08350730688935282</v>
      </c>
      <c r="I539">
        <v>0.03174055706803047</v>
      </c>
      <c r="J539">
        <v>0.04</v>
      </c>
      <c r="K539">
        <v>0.1430888059608968</v>
      </c>
      <c r="L539" t="s">
        <v>586</v>
      </c>
      <c r="M539" t="s">
        <v>873</v>
      </c>
      <c r="N539">
        <v>5.9875</v>
      </c>
      <c r="O539">
        <v>4</v>
      </c>
      <c r="P539">
        <v>2</v>
      </c>
      <c r="Q539">
        <v>0.5</v>
      </c>
      <c r="R539">
        <v>2</v>
      </c>
      <c r="S539">
        <v>0.08009875865888949</v>
      </c>
      <c r="T539" t="s">
        <v>919</v>
      </c>
      <c r="U539">
        <v>1.222366565214163</v>
      </c>
      <c r="V539" t="s">
        <v>979</v>
      </c>
      <c r="W539" t="s">
        <v>991</v>
      </c>
      <c r="X539">
        <v>3046.325495</v>
      </c>
      <c r="Y539" s="2">
        <v>44865</v>
      </c>
      <c r="Z539" t="s">
        <v>1000</v>
      </c>
    </row>
    <row r="540" spans="1:26">
      <c r="A540" s="1" t="s">
        <v>564</v>
      </c>
      <c r="B540">
        <f>HYPERLINK("https://www.suredividend.com/sure-analysis-PKG/","Packaging Corp Of America")</f>
        <v>0</v>
      </c>
      <c r="C540" t="s">
        <v>869</v>
      </c>
      <c r="D540">
        <v>138</v>
      </c>
      <c r="E540">
        <v>124.5</v>
      </c>
      <c r="F540">
        <v>184</v>
      </c>
      <c r="G540">
        <v>0.6766304347826086</v>
      </c>
      <c r="H540">
        <v>0.04016064257028112</v>
      </c>
      <c r="I540">
        <v>0.08125889772600026</v>
      </c>
      <c r="J540">
        <v>0.03</v>
      </c>
      <c r="K540">
        <v>0.1424603186010527</v>
      </c>
      <c r="L540" t="s">
        <v>586</v>
      </c>
      <c r="M540" t="s">
        <v>568</v>
      </c>
      <c r="N540">
        <v>10.84494773519164</v>
      </c>
      <c r="O540">
        <v>11.48</v>
      </c>
      <c r="P540">
        <v>5</v>
      </c>
      <c r="Q540">
        <v>0.4355400696864111</v>
      </c>
      <c r="R540">
        <v>12</v>
      </c>
      <c r="S540">
        <v>0.04995366747811136</v>
      </c>
      <c r="T540" t="s">
        <v>891</v>
      </c>
      <c r="U540">
        <v>-0.041714292311777</v>
      </c>
      <c r="V540" t="s">
        <v>978</v>
      </c>
      <c r="W540" t="s">
        <v>989</v>
      </c>
      <c r="X540">
        <v>11520.54276</v>
      </c>
      <c r="Y540" s="2">
        <v>44775</v>
      </c>
      <c r="Z540" t="s">
        <v>998</v>
      </c>
    </row>
    <row r="541" spans="1:26">
      <c r="A541" s="1" t="s">
        <v>565</v>
      </c>
      <c r="B541">
        <f>HYPERLINK("https://www.suredividend.com/sure-analysis-ASML/","ASML Holding NV")</f>
        <v>0</v>
      </c>
      <c r="C541" t="s">
        <v>869</v>
      </c>
      <c r="D541">
        <v>462</v>
      </c>
      <c r="E541">
        <v>468.76</v>
      </c>
      <c r="F541">
        <v>435</v>
      </c>
      <c r="G541">
        <v>1.077609195402299</v>
      </c>
      <c r="H541">
        <v>0.01143442273231505</v>
      </c>
      <c r="I541">
        <v>-0.01483779462538082</v>
      </c>
      <c r="J541">
        <v>0.15</v>
      </c>
      <c r="K541">
        <v>0.1421072185563914</v>
      </c>
      <c r="L541" t="s">
        <v>586</v>
      </c>
      <c r="M541" t="s">
        <v>637</v>
      </c>
      <c r="N541">
        <v>34.46764705882353</v>
      </c>
      <c r="O541">
        <v>13.6</v>
      </c>
      <c r="P541">
        <v>5.36</v>
      </c>
      <c r="Q541">
        <v>0.3941176470588236</v>
      </c>
      <c r="R541">
        <v>7</v>
      </c>
      <c r="S541">
        <v>0.09994052042617829</v>
      </c>
      <c r="T541" t="s">
        <v>915</v>
      </c>
      <c r="U541">
        <v>-0.441751278496277</v>
      </c>
      <c r="V541" t="s">
        <v>978</v>
      </c>
      <c r="W541" t="s">
        <v>982</v>
      </c>
      <c r="X541">
        <v>190538.973495</v>
      </c>
      <c r="Y541" s="2">
        <v>44858</v>
      </c>
      <c r="Z541" t="s">
        <v>1001</v>
      </c>
    </row>
    <row r="542" spans="1:26">
      <c r="A542" s="1" t="s">
        <v>566</v>
      </c>
      <c r="B542">
        <f>HYPERLINK("https://www.suredividend.com/sure-analysis-WSR/","Whitestone REIT")</f>
        <v>0</v>
      </c>
      <c r="C542" t="s">
        <v>870</v>
      </c>
      <c r="D542">
        <v>11</v>
      </c>
      <c r="E542">
        <v>9.279999999999999</v>
      </c>
      <c r="F542">
        <v>13</v>
      </c>
      <c r="G542">
        <v>0.7138461538461538</v>
      </c>
      <c r="H542">
        <v>0.05172413793103448</v>
      </c>
      <c r="I542">
        <v>0.06974206870809674</v>
      </c>
      <c r="J542">
        <v>0.03</v>
      </c>
      <c r="K542">
        <v>0.1418749407504787</v>
      </c>
      <c r="L542" t="s">
        <v>586</v>
      </c>
      <c r="M542" t="s">
        <v>568</v>
      </c>
      <c r="N542">
        <v>9.279999999999999</v>
      </c>
      <c r="O542">
        <v>1</v>
      </c>
      <c r="P542">
        <v>0.48</v>
      </c>
      <c r="Q542">
        <v>0.48</v>
      </c>
      <c r="R542">
        <v>1</v>
      </c>
      <c r="S542">
        <v>0.06897294358221773</v>
      </c>
      <c r="T542" t="s">
        <v>922</v>
      </c>
      <c r="U542">
        <v>0.029338361710387</v>
      </c>
      <c r="V542" t="s">
        <v>980</v>
      </c>
      <c r="W542" t="s">
        <v>992</v>
      </c>
      <c r="X542">
        <v>458.152774</v>
      </c>
      <c r="Y542" s="2">
        <v>44784</v>
      </c>
      <c r="Z542" t="s">
        <v>1005</v>
      </c>
    </row>
    <row r="543" spans="1:26">
      <c r="A543" s="1" t="s">
        <v>567</v>
      </c>
      <c r="B543">
        <f>HYPERLINK("https://www.suredividend.com/sure-analysis-RL/","Ralph Lauren Corp")</f>
        <v>0</v>
      </c>
      <c r="C543" t="s">
        <v>869</v>
      </c>
      <c r="D543">
        <v>99</v>
      </c>
      <c r="E543">
        <v>95.06</v>
      </c>
      <c r="F543">
        <v>111</v>
      </c>
      <c r="G543">
        <v>0.8563963963963964</v>
      </c>
      <c r="H543">
        <v>0.03155901535872081</v>
      </c>
      <c r="I543">
        <v>0.03149002801795486</v>
      </c>
      <c r="J543">
        <v>0.08</v>
      </c>
      <c r="K543">
        <v>0.1388501149270318</v>
      </c>
      <c r="L543" t="s">
        <v>586</v>
      </c>
      <c r="M543" t="s">
        <v>586</v>
      </c>
      <c r="N543">
        <v>11.18352941176471</v>
      </c>
      <c r="O543">
        <v>8.5</v>
      </c>
      <c r="P543">
        <v>3</v>
      </c>
      <c r="Q543">
        <v>0.3529411764705883</v>
      </c>
      <c r="R543">
        <v>1</v>
      </c>
      <c r="S543">
        <v>0.08009875865888949</v>
      </c>
      <c r="T543" t="s">
        <v>886</v>
      </c>
      <c r="U543">
        <v>-0.213421319376926</v>
      </c>
      <c r="V543" t="s">
        <v>978</v>
      </c>
      <c r="W543" t="s">
        <v>983</v>
      </c>
      <c r="X543">
        <v>4261.336847</v>
      </c>
      <c r="Y543" s="2">
        <v>44787</v>
      </c>
      <c r="Z543" t="s">
        <v>1003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869</v>
      </c>
      <c r="D544">
        <v>43</v>
      </c>
      <c r="E544">
        <v>45.13</v>
      </c>
      <c r="F544">
        <v>78</v>
      </c>
      <c r="G544">
        <v>0.5785897435897436</v>
      </c>
      <c r="H544">
        <v>0.04520274761799246</v>
      </c>
      <c r="I544">
        <v>0.1156445644233717</v>
      </c>
      <c r="J544">
        <v>-0.01</v>
      </c>
      <c r="K544">
        <v>0.1386137619634649</v>
      </c>
      <c r="L544" t="s">
        <v>586</v>
      </c>
      <c r="M544" t="s">
        <v>873</v>
      </c>
      <c r="N544">
        <v>5.503658536585367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919</v>
      </c>
      <c r="U544">
        <v>-0.299340016487943</v>
      </c>
      <c r="V544" t="s">
        <v>978</v>
      </c>
      <c r="W544" t="s">
        <v>986</v>
      </c>
      <c r="X544">
        <v>87403.705286</v>
      </c>
      <c r="Y544" s="2">
        <v>44851</v>
      </c>
      <c r="Z544" t="s">
        <v>1001</v>
      </c>
    </row>
    <row r="545" spans="1:26">
      <c r="A545" s="1" t="s">
        <v>569</v>
      </c>
      <c r="B545">
        <f>HYPERLINK("https://www.suredividend.com/sure-analysis-GSK/","GSK Plc")</f>
        <v>0</v>
      </c>
      <c r="C545" t="s">
        <v>869</v>
      </c>
      <c r="D545">
        <v>35</v>
      </c>
      <c r="E545">
        <v>32.99</v>
      </c>
      <c r="F545">
        <v>47</v>
      </c>
      <c r="G545">
        <v>0.7019148936170213</v>
      </c>
      <c r="H545">
        <v>0.04728705668384359</v>
      </c>
      <c r="I545">
        <v>0.07335431978729212</v>
      </c>
      <c r="J545">
        <v>0.03</v>
      </c>
      <c r="K545">
        <v>0.1382053607570874</v>
      </c>
      <c r="L545" t="s">
        <v>586</v>
      </c>
      <c r="M545" t="s">
        <v>568</v>
      </c>
      <c r="N545">
        <v>10.64193548387097</v>
      </c>
      <c r="O545">
        <v>3.1</v>
      </c>
      <c r="P545">
        <v>1.56</v>
      </c>
      <c r="Q545">
        <v>0.5032258064516129</v>
      </c>
      <c r="R545">
        <v>3</v>
      </c>
      <c r="S545">
        <v>0.03017449941847161</v>
      </c>
      <c r="T545" t="s">
        <v>895</v>
      </c>
      <c r="U545">
        <v>-0.357158167540287</v>
      </c>
      <c r="V545" t="s">
        <v>978</v>
      </c>
      <c r="W545" t="s">
        <v>988</v>
      </c>
      <c r="X545">
        <v>67090.972494</v>
      </c>
      <c r="Y545" s="2">
        <v>44790</v>
      </c>
      <c r="Z545" t="s">
        <v>993</v>
      </c>
    </row>
    <row r="546" spans="1:26">
      <c r="A546" s="1" t="s">
        <v>570</v>
      </c>
      <c r="B546">
        <f>HYPERLINK("https://www.suredividend.com/sure-analysis-MFC/","Manulife Financial Corp.")</f>
        <v>0</v>
      </c>
      <c r="C546" t="s">
        <v>869</v>
      </c>
      <c r="D546">
        <v>18.8</v>
      </c>
      <c r="E546">
        <v>16.77</v>
      </c>
      <c r="F546">
        <v>20</v>
      </c>
      <c r="G546">
        <v>0.8385</v>
      </c>
      <c r="H546">
        <v>0.06141920095408468</v>
      </c>
      <c r="I546">
        <v>0.03585600156034929</v>
      </c>
      <c r="J546">
        <v>0.05</v>
      </c>
      <c r="K546">
        <v>0.1368872948271631</v>
      </c>
      <c r="L546" t="s">
        <v>586</v>
      </c>
      <c r="M546" t="s">
        <v>873</v>
      </c>
      <c r="N546">
        <v>6.708</v>
      </c>
      <c r="O546">
        <v>2.5</v>
      </c>
      <c r="P546">
        <v>1.03</v>
      </c>
      <c r="Q546">
        <v>0.412</v>
      </c>
      <c r="R546">
        <v>8</v>
      </c>
      <c r="S546">
        <v>0.06931350907490597</v>
      </c>
      <c r="T546" t="s">
        <v>916</v>
      </c>
      <c r="U546">
        <v>-0.09368008041765201</v>
      </c>
      <c r="V546" t="s">
        <v>978</v>
      </c>
      <c r="W546" t="s">
        <v>986</v>
      </c>
      <c r="X546">
        <v>31665.375713</v>
      </c>
      <c r="Y546" s="2">
        <v>44787</v>
      </c>
      <c r="Z546" t="s">
        <v>1000</v>
      </c>
    </row>
    <row r="547" spans="1:26">
      <c r="A547" s="1" t="s">
        <v>571</v>
      </c>
      <c r="B547">
        <f>HYPERLINK("https://www.suredividend.com/sure-analysis-MKTX/","MarketAxess Holdings Inc.")</f>
        <v>0</v>
      </c>
      <c r="C547" t="s">
        <v>869</v>
      </c>
      <c r="D547">
        <v>246</v>
      </c>
      <c r="E547">
        <v>233.99</v>
      </c>
      <c r="F547">
        <v>261</v>
      </c>
      <c r="G547">
        <v>0.8965134099616858</v>
      </c>
      <c r="H547">
        <v>0.01196632334715159</v>
      </c>
      <c r="I547">
        <v>0.02208882976653537</v>
      </c>
      <c r="J547">
        <v>0.1</v>
      </c>
      <c r="K547">
        <v>0.1350595751966257</v>
      </c>
      <c r="L547" t="s">
        <v>586</v>
      </c>
      <c r="M547" t="s">
        <v>637</v>
      </c>
      <c r="N547">
        <v>34.92388059701493</v>
      </c>
      <c r="O547">
        <v>6.7</v>
      </c>
      <c r="P547">
        <v>2.8</v>
      </c>
      <c r="Q547">
        <v>0.417910447761194</v>
      </c>
      <c r="R547">
        <v>12</v>
      </c>
      <c r="S547">
        <v>0.1300517548893523</v>
      </c>
      <c r="T547" t="s">
        <v>922</v>
      </c>
      <c r="U547">
        <v>-0.391674264563849</v>
      </c>
      <c r="V547" t="s">
        <v>978</v>
      </c>
      <c r="W547" t="s">
        <v>986</v>
      </c>
      <c r="X547">
        <v>8806.640213999999</v>
      </c>
      <c r="Y547" s="2">
        <v>44861</v>
      </c>
      <c r="Z547" t="s">
        <v>998</v>
      </c>
    </row>
    <row r="548" spans="1:26">
      <c r="A548" s="1" t="s">
        <v>572</v>
      </c>
      <c r="B548">
        <f>HYPERLINK("https://www.suredividend.com/sure-analysis-KRC/","Kilroy Realty Corp.")</f>
        <v>0</v>
      </c>
      <c r="C548" t="s">
        <v>869</v>
      </c>
      <c r="D548">
        <v>43</v>
      </c>
      <c r="E548">
        <v>42.67</v>
      </c>
      <c r="F548">
        <v>56</v>
      </c>
      <c r="G548">
        <v>0.7619642857142858</v>
      </c>
      <c r="H548">
        <v>0.04874619170377315</v>
      </c>
      <c r="I548">
        <v>0.05587638493040292</v>
      </c>
      <c r="J548">
        <v>0.04</v>
      </c>
      <c r="K548">
        <v>0.1335157372084141</v>
      </c>
      <c r="L548" t="s">
        <v>586</v>
      </c>
      <c r="M548" t="s">
        <v>568</v>
      </c>
      <c r="N548">
        <v>9.196120689655173</v>
      </c>
      <c r="O548">
        <v>4.64</v>
      </c>
      <c r="P548">
        <v>2.08</v>
      </c>
      <c r="Q548">
        <v>0.4482758620689656</v>
      </c>
      <c r="R548">
        <v>6</v>
      </c>
      <c r="S548">
        <v>0.03994755272054218</v>
      </c>
      <c r="T548" t="s">
        <v>886</v>
      </c>
      <c r="U548">
        <v>-0.352132179004041</v>
      </c>
      <c r="V548" t="s">
        <v>980</v>
      </c>
      <c r="W548" t="s">
        <v>992</v>
      </c>
      <c r="X548">
        <v>4987.16092</v>
      </c>
      <c r="Y548" s="2">
        <v>44867</v>
      </c>
      <c r="Z548" t="s">
        <v>997</v>
      </c>
    </row>
    <row r="549" spans="1:26">
      <c r="A549" s="1" t="s">
        <v>573</v>
      </c>
      <c r="B549">
        <f>HYPERLINK("https://www.suredividend.com/sure-analysis-PARA/","Paramount Global")</f>
        <v>0</v>
      </c>
      <c r="C549" t="s">
        <v>870</v>
      </c>
      <c r="D549">
        <v>25</v>
      </c>
      <c r="E549">
        <v>15.57</v>
      </c>
      <c r="F549">
        <v>22</v>
      </c>
      <c r="G549">
        <v>0.7077272727272728</v>
      </c>
      <c r="H549">
        <v>0.06165703275529865</v>
      </c>
      <c r="I549">
        <v>0.07158546364545382</v>
      </c>
      <c r="J549">
        <v>0.02</v>
      </c>
      <c r="K549">
        <v>0.1331577095253729</v>
      </c>
      <c r="L549" t="s">
        <v>586</v>
      </c>
      <c r="M549" t="s">
        <v>873</v>
      </c>
      <c r="N549">
        <v>6.982062780269058</v>
      </c>
      <c r="O549">
        <v>2.23</v>
      </c>
      <c r="P549">
        <v>0.96</v>
      </c>
      <c r="Q549">
        <v>0.4304932735426009</v>
      </c>
      <c r="R549">
        <v>1</v>
      </c>
      <c r="S549">
        <v>0</v>
      </c>
      <c r="T549" t="s">
        <v>883</v>
      </c>
      <c r="U549">
        <v>-0.5628356997857691</v>
      </c>
      <c r="V549" t="s">
        <v>978</v>
      </c>
      <c r="W549" t="s">
        <v>985</v>
      </c>
      <c r="X549">
        <v>10206.964959</v>
      </c>
      <c r="Y549" s="2">
        <v>44801</v>
      </c>
      <c r="Z549" t="s">
        <v>997</v>
      </c>
    </row>
    <row r="550" spans="1:26">
      <c r="A550" s="1" t="s">
        <v>574</v>
      </c>
      <c r="B550">
        <f>HYPERLINK("https://www.suredividend.com/sure-analysis-SPH/","Suburban Propane Partners LP")</f>
        <v>0</v>
      </c>
      <c r="C550" t="s">
        <v>869</v>
      </c>
      <c r="D550">
        <v>16.4</v>
      </c>
      <c r="E550">
        <v>16.7</v>
      </c>
      <c r="F550">
        <v>22</v>
      </c>
      <c r="G550">
        <v>0.759090909090909</v>
      </c>
      <c r="H550">
        <v>0.07784431137724551</v>
      </c>
      <c r="I550">
        <v>0.05667453629075547</v>
      </c>
      <c r="J550">
        <v>0.01</v>
      </c>
      <c r="K550">
        <v>0.1325133493852757</v>
      </c>
      <c r="L550" t="s">
        <v>586</v>
      </c>
      <c r="M550" t="s">
        <v>873</v>
      </c>
      <c r="N550">
        <v>4.024096385542168</v>
      </c>
      <c r="O550">
        <v>4.15</v>
      </c>
      <c r="P550">
        <v>1.3</v>
      </c>
      <c r="Q550">
        <v>0.3132530120481928</v>
      </c>
      <c r="R550">
        <v>1</v>
      </c>
      <c r="S550">
        <v>0.06961037572506878</v>
      </c>
      <c r="T550" t="s">
        <v>930</v>
      </c>
      <c r="U550">
        <v>0.199997125755387</v>
      </c>
      <c r="V550" t="s">
        <v>979</v>
      </c>
      <c r="W550" t="s">
        <v>987</v>
      </c>
      <c r="X550">
        <v>1051.651188</v>
      </c>
      <c r="Y550" s="2">
        <v>44800</v>
      </c>
      <c r="Z550" t="s">
        <v>1001</v>
      </c>
    </row>
    <row r="551" spans="1:26">
      <c r="A551" s="1" t="s">
        <v>575</v>
      </c>
      <c r="B551">
        <f>HYPERLINK("https://www.suredividend.com/sure-analysis-AY/","Atlantica Sustainable Infrastructure Plc")</f>
        <v>0</v>
      </c>
      <c r="C551" t="s">
        <v>869</v>
      </c>
      <c r="D551">
        <v>35</v>
      </c>
      <c r="E551">
        <v>28.42</v>
      </c>
      <c r="F551">
        <v>31</v>
      </c>
      <c r="G551">
        <v>0.9167741935483872</v>
      </c>
      <c r="H551">
        <v>0.06263194933145672</v>
      </c>
      <c r="I551">
        <v>0.01753070660745637</v>
      </c>
      <c r="J551">
        <v>0.065</v>
      </c>
      <c r="K551">
        <v>0.1318630097845057</v>
      </c>
      <c r="L551" t="s">
        <v>586</v>
      </c>
      <c r="M551" t="s">
        <v>873</v>
      </c>
      <c r="N551">
        <v>13.79611650485437</v>
      </c>
      <c r="O551">
        <v>2.06</v>
      </c>
      <c r="P551">
        <v>1.78</v>
      </c>
      <c r="Q551">
        <v>0.8640776699029126</v>
      </c>
      <c r="R551">
        <v>7</v>
      </c>
      <c r="S551">
        <v>0.04983529865060143</v>
      </c>
      <c r="T551" t="s">
        <v>881</v>
      </c>
      <c r="U551">
        <v>-0.251185008945203</v>
      </c>
      <c r="V551" t="s">
        <v>978</v>
      </c>
      <c r="W551" t="s">
        <v>991</v>
      </c>
      <c r="X551">
        <v>3194.492493</v>
      </c>
      <c r="Y551" s="2">
        <v>44781</v>
      </c>
      <c r="Z551" t="s">
        <v>1000</v>
      </c>
    </row>
    <row r="552" spans="1:26">
      <c r="A552" s="1" t="s">
        <v>576</v>
      </c>
      <c r="B552">
        <f>HYPERLINK("https://www.suredividend.com/sure-analysis-JACK/","Jack In The Box, Inc.")</f>
        <v>0</v>
      </c>
      <c r="C552" t="s">
        <v>869</v>
      </c>
      <c r="D552">
        <v>81</v>
      </c>
      <c r="E552">
        <v>86.36</v>
      </c>
      <c r="F552">
        <v>101</v>
      </c>
      <c r="G552">
        <v>0.855049504950495</v>
      </c>
      <c r="H552">
        <v>0.02037980546549328</v>
      </c>
      <c r="I552">
        <v>0.03181478828714823</v>
      </c>
      <c r="J552">
        <v>0.08</v>
      </c>
      <c r="K552">
        <v>0.1309856693587155</v>
      </c>
      <c r="L552" t="s">
        <v>586</v>
      </c>
      <c r="M552" t="s">
        <v>637</v>
      </c>
      <c r="N552">
        <v>14.51428571428571</v>
      </c>
      <c r="O552">
        <v>5.95</v>
      </c>
      <c r="P552">
        <v>1.76</v>
      </c>
      <c r="Q552">
        <v>0.2957983193277311</v>
      </c>
      <c r="R552">
        <v>2</v>
      </c>
      <c r="S552">
        <v>0.08773831161894674</v>
      </c>
      <c r="T552" t="s">
        <v>931</v>
      </c>
      <c r="U552">
        <v>-0.108805039234868</v>
      </c>
      <c r="V552" t="s">
        <v>978</v>
      </c>
      <c r="W552" t="s">
        <v>983</v>
      </c>
      <c r="X552">
        <v>1818.491933</v>
      </c>
      <c r="Y552" s="2">
        <v>44809</v>
      </c>
      <c r="Z552" t="s">
        <v>996</v>
      </c>
    </row>
    <row r="553" spans="1:26">
      <c r="A553" s="1" t="s">
        <v>577</v>
      </c>
      <c r="B553">
        <f>HYPERLINK("https://www.suredividend.com/sure-analysis-SMFG/","Sumitomo Mitsui Financial Group Inc")</f>
        <v>0</v>
      </c>
      <c r="C553" t="s">
        <v>869</v>
      </c>
      <c r="D553">
        <v>6.07</v>
      </c>
      <c r="E553">
        <v>5.81</v>
      </c>
      <c r="F553">
        <v>8.08</v>
      </c>
      <c r="G553">
        <v>0.7190594059405941</v>
      </c>
      <c r="H553">
        <v>0.06196213425129087</v>
      </c>
      <c r="I553">
        <v>0.06818640340701965</v>
      </c>
      <c r="J553">
        <v>0.02</v>
      </c>
      <c r="K553">
        <v>0.1303465499313654</v>
      </c>
      <c r="L553" t="s">
        <v>586</v>
      </c>
      <c r="M553" t="s">
        <v>873</v>
      </c>
      <c r="N553">
        <v>6.835294117647059</v>
      </c>
      <c r="O553">
        <v>0.85</v>
      </c>
      <c r="P553">
        <v>0.36</v>
      </c>
      <c r="Q553">
        <v>0.4235294117647059</v>
      </c>
      <c r="R553">
        <v>0</v>
      </c>
      <c r="S553">
        <v>0</v>
      </c>
      <c r="T553" t="s">
        <v>886</v>
      </c>
      <c r="U553">
        <v>-0.131539611360239</v>
      </c>
      <c r="V553" t="s">
        <v>978</v>
      </c>
      <c r="W553" t="s">
        <v>986</v>
      </c>
      <c r="X553">
        <v>39934.779186</v>
      </c>
      <c r="Y553" s="2">
        <v>44802</v>
      </c>
      <c r="Z553" t="s">
        <v>1001</v>
      </c>
    </row>
    <row r="554" spans="1:26">
      <c r="A554" s="1" t="s">
        <v>578</v>
      </c>
      <c r="B554">
        <f>HYPERLINK("https://www.suredividend.com/sure-analysis-MAC/","Macerich Co.")</f>
        <v>0</v>
      </c>
      <c r="C554" t="s">
        <v>870</v>
      </c>
      <c r="D554">
        <v>10</v>
      </c>
      <c r="E554">
        <v>12.11</v>
      </c>
      <c r="F554">
        <v>16</v>
      </c>
      <c r="G554">
        <v>0.756875</v>
      </c>
      <c r="H554">
        <v>0.05615194054500414</v>
      </c>
      <c r="I554">
        <v>0.05729253990636529</v>
      </c>
      <c r="J554">
        <v>0.03</v>
      </c>
      <c r="K554">
        <v>0.1298854956445041</v>
      </c>
      <c r="L554" t="s">
        <v>586</v>
      </c>
      <c r="M554" t="s">
        <v>873</v>
      </c>
      <c r="N554">
        <v>6.055</v>
      </c>
      <c r="O554">
        <v>2</v>
      </c>
      <c r="P554">
        <v>0.68</v>
      </c>
      <c r="Q554">
        <v>0.34</v>
      </c>
      <c r="R554">
        <v>1</v>
      </c>
      <c r="S554">
        <v>0.03303780411393231</v>
      </c>
      <c r="T554" t="s">
        <v>895</v>
      </c>
      <c r="U554">
        <v>-0.416571114729772</v>
      </c>
      <c r="V554" t="s">
        <v>980</v>
      </c>
      <c r="W554" t="s">
        <v>992</v>
      </c>
      <c r="X554">
        <v>2600.937299</v>
      </c>
      <c r="Y554" s="2">
        <v>44802</v>
      </c>
      <c r="Z554" t="s">
        <v>996</v>
      </c>
    </row>
    <row r="555" spans="1:26">
      <c r="A555" s="1" t="s">
        <v>579</v>
      </c>
      <c r="B555">
        <f>HYPERLINK("https://www.suredividend.com/sure-analysis-HEP/","Holly Energy Partners L.P.")</f>
        <v>0</v>
      </c>
      <c r="C555" t="s">
        <v>869</v>
      </c>
      <c r="D555">
        <v>17</v>
      </c>
      <c r="E555">
        <v>18.68</v>
      </c>
      <c r="F555">
        <v>24</v>
      </c>
      <c r="G555">
        <v>0.7783333333333333</v>
      </c>
      <c r="H555">
        <v>0.07494646680942184</v>
      </c>
      <c r="I555">
        <v>0.05139734007306451</v>
      </c>
      <c r="J555">
        <v>0.02</v>
      </c>
      <c r="K555">
        <v>0.1297238494097679</v>
      </c>
      <c r="L555" t="s">
        <v>586</v>
      </c>
      <c r="M555" t="s">
        <v>873</v>
      </c>
      <c r="N555">
        <v>7.049056603773585</v>
      </c>
      <c r="O555">
        <v>2.65</v>
      </c>
      <c r="P555">
        <v>1.4</v>
      </c>
      <c r="Q555">
        <v>0.5283018867924528</v>
      </c>
      <c r="R555">
        <v>0</v>
      </c>
      <c r="S555">
        <v>0.03959498820755258</v>
      </c>
      <c r="T555" t="s">
        <v>911</v>
      </c>
      <c r="U555">
        <v>0.168719851344841</v>
      </c>
      <c r="V555" t="s">
        <v>979</v>
      </c>
      <c r="W555" t="s">
        <v>991</v>
      </c>
      <c r="X555">
        <v>2361.902955</v>
      </c>
      <c r="Y555" s="2">
        <v>44791</v>
      </c>
      <c r="Z555" t="s">
        <v>996</v>
      </c>
    </row>
    <row r="556" spans="1:26">
      <c r="A556" s="1" t="s">
        <v>580</v>
      </c>
      <c r="B556">
        <f>HYPERLINK("https://www.suredividend.com/sure-analysis-WASH/","Washington Trust Bancorp, Inc.")</f>
        <v>0</v>
      </c>
      <c r="C556" t="s">
        <v>869</v>
      </c>
      <c r="D556">
        <v>48</v>
      </c>
      <c r="E556">
        <v>47.78</v>
      </c>
      <c r="F556">
        <v>59</v>
      </c>
      <c r="G556">
        <v>0.8098305084745763</v>
      </c>
      <c r="H556">
        <v>0.04520719966513186</v>
      </c>
      <c r="I556">
        <v>0.0430885381691446</v>
      </c>
      <c r="J556">
        <v>0.05</v>
      </c>
      <c r="K556">
        <v>0.1295125473442176</v>
      </c>
      <c r="L556" t="s">
        <v>586</v>
      </c>
      <c r="M556" t="s">
        <v>568</v>
      </c>
      <c r="N556">
        <v>11.40334128878282</v>
      </c>
      <c r="O556">
        <v>4.19</v>
      </c>
      <c r="P556">
        <v>2.16</v>
      </c>
      <c r="Q556">
        <v>0.5155131264916467</v>
      </c>
      <c r="R556">
        <v>11</v>
      </c>
      <c r="S556">
        <v>0.05024607263868264</v>
      </c>
      <c r="T556" t="s">
        <v>891</v>
      </c>
      <c r="U556">
        <v>-0.11464085326534</v>
      </c>
      <c r="V556" t="s">
        <v>978</v>
      </c>
      <c r="W556" t="s">
        <v>986</v>
      </c>
      <c r="X556">
        <v>820.437404</v>
      </c>
      <c r="Y556" s="2">
        <v>44859</v>
      </c>
      <c r="Z556" t="s">
        <v>993</v>
      </c>
    </row>
    <row r="557" spans="1:26">
      <c r="A557" s="1" t="s">
        <v>581</v>
      </c>
      <c r="B557">
        <f>HYPERLINK("https://www.suredividend.com/sure-analysis-PNC/","PNC Financial Services Group Inc")</f>
        <v>0</v>
      </c>
      <c r="C557" t="s">
        <v>869</v>
      </c>
      <c r="D557">
        <v>150</v>
      </c>
      <c r="E557">
        <v>156.5</v>
      </c>
      <c r="F557">
        <v>185</v>
      </c>
      <c r="G557">
        <v>0.845945945945946</v>
      </c>
      <c r="H557">
        <v>0.03833865814696485</v>
      </c>
      <c r="I557">
        <v>0.03402604361709916</v>
      </c>
      <c r="J557">
        <v>0.06</v>
      </c>
      <c r="K557">
        <v>0.1260542052524656</v>
      </c>
      <c r="L557" t="s">
        <v>586</v>
      </c>
      <c r="M557" t="s">
        <v>568</v>
      </c>
      <c r="N557">
        <v>10.64625850340136</v>
      </c>
      <c r="O557">
        <v>14.7</v>
      </c>
      <c r="P557">
        <v>6</v>
      </c>
      <c r="Q557">
        <v>0.4081632653061225</v>
      </c>
      <c r="R557">
        <v>12</v>
      </c>
      <c r="S557">
        <v>0.05922384104881218</v>
      </c>
      <c r="T557" t="s">
        <v>914</v>
      </c>
      <c r="U557">
        <v>-0.221280682287494</v>
      </c>
      <c r="V557" t="s">
        <v>978</v>
      </c>
      <c r="W557" t="s">
        <v>986</v>
      </c>
      <c r="X557">
        <v>63119.428665</v>
      </c>
      <c r="Y557" s="2">
        <v>44851</v>
      </c>
      <c r="Z557" t="s">
        <v>996</v>
      </c>
    </row>
    <row r="558" spans="1:26">
      <c r="A558" s="1" t="s">
        <v>582</v>
      </c>
      <c r="B558">
        <f>HYPERLINK("https://www.suredividend.com/sure-analysis-MBGAF/","Mercedes-Benz Group AG")</f>
        <v>0</v>
      </c>
      <c r="C558" t="s">
        <v>869</v>
      </c>
      <c r="D558">
        <v>62</v>
      </c>
      <c r="E558">
        <v>59.66</v>
      </c>
      <c r="F558">
        <v>100</v>
      </c>
      <c r="G558">
        <v>0.5966</v>
      </c>
      <c r="H558">
        <v>0.08816627556151525</v>
      </c>
      <c r="I558">
        <v>0.1088258707422374</v>
      </c>
      <c r="J558">
        <v>-0.04</v>
      </c>
      <c r="K558">
        <v>0.1256856425437145</v>
      </c>
      <c r="L558" t="s">
        <v>586</v>
      </c>
      <c r="M558" t="s">
        <v>873</v>
      </c>
      <c r="N558">
        <v>4.7728</v>
      </c>
      <c r="O558">
        <v>12.5</v>
      </c>
      <c r="P558">
        <v>5.26</v>
      </c>
      <c r="Q558">
        <v>0.4208</v>
      </c>
      <c r="R558">
        <v>2</v>
      </c>
      <c r="S558">
        <v>0</v>
      </c>
      <c r="T558" t="s">
        <v>948</v>
      </c>
      <c r="U558">
        <v>-0.407252856433184</v>
      </c>
      <c r="V558" t="s">
        <v>978</v>
      </c>
      <c r="W558" t="s">
        <v>983</v>
      </c>
      <c r="X558">
        <v>63826.502088</v>
      </c>
      <c r="Y558" s="2">
        <v>44789</v>
      </c>
      <c r="Z558" t="s">
        <v>994</v>
      </c>
    </row>
    <row r="559" spans="1:26">
      <c r="A559" s="1" t="s">
        <v>583</v>
      </c>
      <c r="B559">
        <f>HYPERLINK("https://www.suredividend.com/sure-analysis-AVGO/","Broadcom Inc")</f>
        <v>0</v>
      </c>
      <c r="C559" t="s">
        <v>869</v>
      </c>
      <c r="D559">
        <v>445</v>
      </c>
      <c r="E559">
        <v>465.3</v>
      </c>
      <c r="F559">
        <v>524</v>
      </c>
      <c r="G559">
        <v>0.8879770992366413</v>
      </c>
      <c r="H559">
        <v>0.03524607779926928</v>
      </c>
      <c r="I559">
        <v>0.02404642765268594</v>
      </c>
      <c r="J559">
        <v>0.07000000000000001</v>
      </c>
      <c r="K559">
        <v>0.1250989591969447</v>
      </c>
      <c r="L559" t="s">
        <v>586</v>
      </c>
      <c r="M559" t="s">
        <v>586</v>
      </c>
      <c r="N559">
        <v>12.44117647058824</v>
      </c>
      <c r="O559">
        <v>37.4</v>
      </c>
      <c r="P559">
        <v>16.4</v>
      </c>
      <c r="Q559">
        <v>0.4385026737967914</v>
      </c>
      <c r="R559">
        <v>11</v>
      </c>
      <c r="S559">
        <v>0.08002706513606084</v>
      </c>
      <c r="T559" t="s">
        <v>943</v>
      </c>
      <c r="U559">
        <v>-0.133469045774921</v>
      </c>
      <c r="V559" t="s">
        <v>978</v>
      </c>
      <c r="W559" t="s">
        <v>982</v>
      </c>
      <c r="X559">
        <v>188447.177477</v>
      </c>
      <c r="Y559" s="2">
        <v>44858</v>
      </c>
      <c r="Z559" t="s">
        <v>994</v>
      </c>
    </row>
    <row r="560" spans="1:26">
      <c r="A560" s="1" t="s">
        <v>584</v>
      </c>
      <c r="B560">
        <f>HYPERLINK("https://www.suredividend.com/sure-analysis-NTAP/","Netapp Inc")</f>
        <v>0</v>
      </c>
      <c r="C560" t="s">
        <v>869</v>
      </c>
      <c r="D560">
        <v>71</v>
      </c>
      <c r="E560">
        <v>68.79000000000001</v>
      </c>
      <c r="F560">
        <v>88</v>
      </c>
      <c r="G560">
        <v>0.7817045454545455</v>
      </c>
      <c r="H560">
        <v>0.02907399331298154</v>
      </c>
      <c r="I560">
        <v>0.05048891149016077</v>
      </c>
      <c r="J560">
        <v>0.05</v>
      </c>
      <c r="K560">
        <v>0.1249048200264433</v>
      </c>
      <c r="L560" t="s">
        <v>586</v>
      </c>
      <c r="M560" t="s">
        <v>586</v>
      </c>
      <c r="N560">
        <v>12.50727272727273</v>
      </c>
      <c r="O560">
        <v>5.5</v>
      </c>
      <c r="P560">
        <v>2</v>
      </c>
      <c r="Q560">
        <v>0.3636363636363636</v>
      </c>
      <c r="R560">
        <v>7</v>
      </c>
      <c r="S560">
        <v>0.04978904632428516</v>
      </c>
      <c r="T560" t="s">
        <v>885</v>
      </c>
      <c r="U560">
        <v>-0.220737733331218</v>
      </c>
      <c r="V560" t="s">
        <v>978</v>
      </c>
      <c r="W560" t="s">
        <v>982</v>
      </c>
      <c r="X560">
        <v>14952.586847</v>
      </c>
      <c r="Y560" s="2">
        <v>44809</v>
      </c>
      <c r="Z560" t="s">
        <v>998</v>
      </c>
    </row>
    <row r="561" spans="1:26">
      <c r="A561" s="1" t="s">
        <v>585</v>
      </c>
      <c r="B561">
        <f>HYPERLINK("https://www.suredividend.com/sure-analysis-ASB/","Associated Banc-Corp.")</f>
        <v>0</v>
      </c>
      <c r="C561" t="s">
        <v>869</v>
      </c>
      <c r="D561">
        <v>23</v>
      </c>
      <c r="E561">
        <v>24.32</v>
      </c>
      <c r="F561">
        <v>26</v>
      </c>
      <c r="G561">
        <v>0.9353846153846154</v>
      </c>
      <c r="H561">
        <v>0.03289473684210526</v>
      </c>
      <c r="I561">
        <v>0.01344913297653205</v>
      </c>
      <c r="J561">
        <v>0.08</v>
      </c>
      <c r="K561">
        <v>0.1237332756697131</v>
      </c>
      <c r="L561" t="s">
        <v>586</v>
      </c>
      <c r="M561" t="s">
        <v>586</v>
      </c>
      <c r="N561">
        <v>10.80888888888889</v>
      </c>
      <c r="O561">
        <v>2.25</v>
      </c>
      <c r="P561">
        <v>0.8</v>
      </c>
      <c r="Q561">
        <v>0.3555555555555556</v>
      </c>
      <c r="R561">
        <v>11</v>
      </c>
      <c r="S561">
        <v>0.100271705097241</v>
      </c>
      <c r="T561" t="s">
        <v>874</v>
      </c>
      <c r="U561">
        <v>0.102467859798001</v>
      </c>
      <c r="V561" t="s">
        <v>978</v>
      </c>
      <c r="W561" t="s">
        <v>986</v>
      </c>
      <c r="X561">
        <v>3656.735695</v>
      </c>
      <c r="Y561" s="2">
        <v>44857</v>
      </c>
      <c r="Z561" t="s">
        <v>1002</v>
      </c>
    </row>
    <row r="562" spans="1:26">
      <c r="A562" s="1" t="s">
        <v>586</v>
      </c>
      <c r="B562">
        <f>HYPERLINK("https://www.suredividend.com/sure-analysis-D/","Dominion Energy Inc")</f>
        <v>0</v>
      </c>
      <c r="C562" t="s">
        <v>870</v>
      </c>
      <c r="D562">
        <v>85</v>
      </c>
      <c r="E562">
        <v>67.13</v>
      </c>
      <c r="F562">
        <v>76</v>
      </c>
      <c r="G562">
        <v>0.8832894736842105</v>
      </c>
      <c r="H562">
        <v>0.03977357366304186</v>
      </c>
      <c r="I562">
        <v>0.02513105245089209</v>
      </c>
      <c r="J562">
        <v>0.065</v>
      </c>
      <c r="K562">
        <v>0.1233242590384311</v>
      </c>
      <c r="L562" t="s">
        <v>586</v>
      </c>
      <c r="M562" t="s">
        <v>586</v>
      </c>
      <c r="N562">
        <v>16.37317073170732</v>
      </c>
      <c r="O562">
        <v>4.1</v>
      </c>
      <c r="P562">
        <v>2.67</v>
      </c>
      <c r="Q562">
        <v>0.651219512195122</v>
      </c>
      <c r="R562">
        <v>16</v>
      </c>
      <c r="S562">
        <v>0.05981824312960904</v>
      </c>
      <c r="T562" t="s">
        <v>889</v>
      </c>
      <c r="U562">
        <v>-0.07984500055513601</v>
      </c>
      <c r="V562" t="s">
        <v>978</v>
      </c>
      <c r="W562" t="s">
        <v>987</v>
      </c>
      <c r="X562">
        <v>55885.912763</v>
      </c>
      <c r="Y562" s="2">
        <v>44789</v>
      </c>
      <c r="Z562" t="s">
        <v>1005</v>
      </c>
    </row>
    <row r="563" spans="1:26">
      <c r="A563" s="1" t="s">
        <v>587</v>
      </c>
      <c r="B563">
        <f>HYPERLINK("https://www.suredividend.com/sure-analysis-USB/","U.S. Bancorp.")</f>
        <v>0</v>
      </c>
      <c r="C563" t="s">
        <v>869</v>
      </c>
      <c r="D563">
        <v>43</v>
      </c>
      <c r="E563">
        <v>42.83</v>
      </c>
      <c r="F563">
        <v>50</v>
      </c>
      <c r="G563">
        <v>0.8565999999999999</v>
      </c>
      <c r="H563">
        <v>0.04482839131449919</v>
      </c>
      <c r="I563">
        <v>0.03144098877983525</v>
      </c>
      <c r="J563">
        <v>0.05</v>
      </c>
      <c r="K563">
        <v>0.1194275061632257</v>
      </c>
      <c r="L563" t="s">
        <v>586</v>
      </c>
      <c r="M563" t="s">
        <v>568</v>
      </c>
      <c r="N563">
        <v>9.845977011494254</v>
      </c>
      <c r="O563">
        <v>4.35</v>
      </c>
      <c r="P563">
        <v>1.92</v>
      </c>
      <c r="Q563">
        <v>0.4413793103448276</v>
      </c>
      <c r="R563">
        <v>11</v>
      </c>
      <c r="S563">
        <v>0.06005006969898052</v>
      </c>
      <c r="T563" t="s">
        <v>886</v>
      </c>
      <c r="U563">
        <v>-0.262112772874417</v>
      </c>
      <c r="V563" t="s">
        <v>978</v>
      </c>
      <c r="W563" t="s">
        <v>986</v>
      </c>
      <c r="X563">
        <v>63637.819905</v>
      </c>
      <c r="Y563" s="2">
        <v>44851</v>
      </c>
      <c r="Z563" t="s">
        <v>1001</v>
      </c>
    </row>
    <row r="564" spans="1:26">
      <c r="A564" s="1" t="s">
        <v>588</v>
      </c>
      <c r="B564">
        <f>HYPERLINK("https://www.suredividend.com/sure-analysis-PAA/","Plains All American Pipeline LP")</f>
        <v>0</v>
      </c>
      <c r="C564" t="s">
        <v>869</v>
      </c>
      <c r="D564">
        <v>10.96</v>
      </c>
      <c r="E564">
        <v>12.5</v>
      </c>
      <c r="F564">
        <v>12.64</v>
      </c>
      <c r="G564">
        <v>0.9889240506329113</v>
      </c>
      <c r="H564">
        <v>0.0696</v>
      </c>
      <c r="I564">
        <v>0.00223003171230185</v>
      </c>
      <c r="J564">
        <v>0.05</v>
      </c>
      <c r="K564">
        <v>0.1194143631235898</v>
      </c>
      <c r="L564" t="s">
        <v>586</v>
      </c>
      <c r="M564" t="s">
        <v>873</v>
      </c>
      <c r="N564">
        <v>5.73394495412844</v>
      </c>
      <c r="O564">
        <v>2.18</v>
      </c>
      <c r="P564">
        <v>0.87</v>
      </c>
      <c r="Q564">
        <v>0.3990825688073394</v>
      </c>
      <c r="R564">
        <v>1</v>
      </c>
      <c r="S564">
        <v>0.09982036375468772</v>
      </c>
      <c r="T564" t="s">
        <v>911</v>
      </c>
      <c r="U564">
        <v>0.271759810355177</v>
      </c>
      <c r="V564" t="s">
        <v>979</v>
      </c>
      <c r="W564" t="s">
        <v>991</v>
      </c>
      <c r="X564">
        <v>8783.352225000001</v>
      </c>
      <c r="Y564" s="2">
        <v>44778</v>
      </c>
      <c r="Z564" t="s">
        <v>1000</v>
      </c>
    </row>
    <row r="565" spans="1:26">
      <c r="A565" s="1" t="s">
        <v>589</v>
      </c>
      <c r="B565">
        <f>HYPERLINK("https://www.suredividend.com/sure-analysis-IP/","International Paper Co.")</f>
        <v>0</v>
      </c>
      <c r="C565" t="s">
        <v>869</v>
      </c>
      <c r="D565">
        <v>34</v>
      </c>
      <c r="E565">
        <v>33.67</v>
      </c>
      <c r="F565">
        <v>40</v>
      </c>
      <c r="G565">
        <v>0.84175</v>
      </c>
      <c r="H565">
        <v>0.05494505494505494</v>
      </c>
      <c r="I565">
        <v>0.03505487453698009</v>
      </c>
      <c r="J565">
        <v>0.04</v>
      </c>
      <c r="K565">
        <v>0.1185004412345385</v>
      </c>
      <c r="L565" t="s">
        <v>586</v>
      </c>
      <c r="M565" t="s">
        <v>568</v>
      </c>
      <c r="N565">
        <v>8.4175</v>
      </c>
      <c r="O565">
        <v>4</v>
      </c>
      <c r="P565">
        <v>1.85</v>
      </c>
      <c r="Q565">
        <v>0.4625</v>
      </c>
      <c r="R565">
        <v>0</v>
      </c>
      <c r="S565">
        <v>0.03526180275714541</v>
      </c>
      <c r="T565" t="s">
        <v>905</v>
      </c>
      <c r="U565">
        <v>-0.28145833866851</v>
      </c>
      <c r="V565" t="s">
        <v>978</v>
      </c>
      <c r="W565" t="s">
        <v>989</v>
      </c>
      <c r="X565">
        <v>11975.409203</v>
      </c>
      <c r="Y565" s="2">
        <v>44865</v>
      </c>
      <c r="Z565" t="s">
        <v>996</v>
      </c>
    </row>
    <row r="566" spans="1:26">
      <c r="A566" s="1" t="s">
        <v>590</v>
      </c>
      <c r="B566">
        <f>HYPERLINK("https://www.suredividend.com/sure-analysis-CRI/","Carters Inc")</f>
        <v>0</v>
      </c>
      <c r="C566" t="s">
        <v>869</v>
      </c>
      <c r="D566">
        <v>70</v>
      </c>
      <c r="E566">
        <v>65.15000000000001</v>
      </c>
      <c r="F566">
        <v>79</v>
      </c>
      <c r="G566">
        <v>0.8246835443037975</v>
      </c>
      <c r="H566">
        <v>0.04604758250191864</v>
      </c>
      <c r="I566">
        <v>0.03930384559067202</v>
      </c>
      <c r="J566">
        <v>0.04</v>
      </c>
      <c r="K566">
        <v>0.118458338784784</v>
      </c>
      <c r="L566" t="s">
        <v>586</v>
      </c>
      <c r="M566" t="s">
        <v>568</v>
      </c>
      <c r="N566">
        <v>9.901215805471125</v>
      </c>
      <c r="O566">
        <v>6.58</v>
      </c>
      <c r="P566">
        <v>3</v>
      </c>
      <c r="Q566">
        <v>0.4559270516717325</v>
      </c>
      <c r="R566">
        <v>2</v>
      </c>
      <c r="S566">
        <v>0.05975292415044642</v>
      </c>
      <c r="T566" t="s">
        <v>889</v>
      </c>
      <c r="U566">
        <v>-0.350556139263092</v>
      </c>
      <c r="V566" t="s">
        <v>978</v>
      </c>
      <c r="W566" t="s">
        <v>983</v>
      </c>
      <c r="X566">
        <v>2486.227589</v>
      </c>
      <c r="Y566" s="2">
        <v>44867</v>
      </c>
      <c r="Z566" t="s">
        <v>997</v>
      </c>
    </row>
    <row r="567" spans="1:26">
      <c r="A567" s="1" t="s">
        <v>591</v>
      </c>
      <c r="B567">
        <f>HYPERLINK("https://www.suredividend.com/sure-analysis-GROW/","U.S. Global Investors, Inc.")</f>
        <v>0</v>
      </c>
      <c r="C567" t="s">
        <v>870</v>
      </c>
      <c r="D567">
        <v>3.8</v>
      </c>
      <c r="E567">
        <v>3</v>
      </c>
      <c r="F567">
        <v>4.5</v>
      </c>
      <c r="G567">
        <v>0.6666666666666666</v>
      </c>
      <c r="H567">
        <v>0.03</v>
      </c>
      <c r="I567">
        <v>0.08447177119769855</v>
      </c>
      <c r="J567">
        <v>0.01</v>
      </c>
      <c r="K567">
        <v>0.1166798663923558</v>
      </c>
      <c r="L567" t="s">
        <v>586</v>
      </c>
      <c r="M567" t="s">
        <v>586</v>
      </c>
      <c r="N567">
        <v>8.108108108108109</v>
      </c>
      <c r="O567">
        <v>0.37</v>
      </c>
      <c r="P567">
        <v>0.09</v>
      </c>
      <c r="Q567">
        <v>0.2432432432432432</v>
      </c>
      <c r="R567">
        <v>0</v>
      </c>
      <c r="S567">
        <v>0.02129568760013512</v>
      </c>
      <c r="T567" t="s">
        <v>914</v>
      </c>
      <c r="U567">
        <v>-0.5107472520303981</v>
      </c>
      <c r="V567" t="s">
        <v>978</v>
      </c>
      <c r="W567" t="s">
        <v>986</v>
      </c>
      <c r="X567">
        <v>38.652507</v>
      </c>
      <c r="Y567" s="2">
        <v>44808</v>
      </c>
      <c r="Z567" t="s">
        <v>999</v>
      </c>
    </row>
    <row r="568" spans="1:26">
      <c r="A568" s="1" t="s">
        <v>592</v>
      </c>
      <c r="B568">
        <f>HYPERLINK("https://www.suredividend.com/sure-analysis-KTB/","Kontoor Brands Inc")</f>
        <v>0</v>
      </c>
      <c r="C568" t="s">
        <v>869</v>
      </c>
      <c r="D568">
        <v>36</v>
      </c>
      <c r="E568">
        <v>37.95</v>
      </c>
      <c r="F568">
        <v>49</v>
      </c>
      <c r="G568">
        <v>0.7744897959183674</v>
      </c>
      <c r="H568">
        <v>0.05059288537549406</v>
      </c>
      <c r="I568">
        <v>0.05243882235214237</v>
      </c>
      <c r="J568">
        <v>0.025</v>
      </c>
      <c r="K568">
        <v>0.1158818064428935</v>
      </c>
      <c r="L568" t="s">
        <v>586</v>
      </c>
      <c r="M568" t="s">
        <v>568</v>
      </c>
      <c r="N568">
        <v>8.52808988764045</v>
      </c>
      <c r="O568">
        <v>4.45</v>
      </c>
      <c r="P568">
        <v>1.92</v>
      </c>
      <c r="Q568">
        <v>0.4314606741573033</v>
      </c>
      <c r="R568">
        <v>3</v>
      </c>
      <c r="S568">
        <v>0.02097633303873647</v>
      </c>
      <c r="T568" t="s">
        <v>901</v>
      </c>
      <c r="U568">
        <v>-0.316328313735945</v>
      </c>
      <c r="V568" t="s">
        <v>978</v>
      </c>
      <c r="W568" t="s">
        <v>983</v>
      </c>
      <c r="X568">
        <v>2101.861661</v>
      </c>
      <c r="Y568" s="2">
        <v>44827</v>
      </c>
      <c r="Z568" t="s">
        <v>994</v>
      </c>
    </row>
    <row r="569" spans="1:26">
      <c r="A569" s="1" t="s">
        <v>593</v>
      </c>
      <c r="B569">
        <f>HYPERLINK("https://www.suredividend.com/sure-analysis-UE/","Urban Edge Properties")</f>
        <v>0</v>
      </c>
      <c r="C569" t="s">
        <v>870</v>
      </c>
      <c r="D569">
        <v>16</v>
      </c>
      <c r="E569">
        <v>14.41</v>
      </c>
      <c r="F569">
        <v>19</v>
      </c>
      <c r="G569">
        <v>0.758421052631579</v>
      </c>
      <c r="H569">
        <v>0.04441360166551006</v>
      </c>
      <c r="I569">
        <v>0.05686112666234266</v>
      </c>
      <c r="J569">
        <v>0.025</v>
      </c>
      <c r="K569">
        <v>0.1145747907335153</v>
      </c>
      <c r="L569" t="s">
        <v>586</v>
      </c>
      <c r="M569" t="s">
        <v>586</v>
      </c>
      <c r="N569">
        <v>12.21186440677966</v>
      </c>
      <c r="O569">
        <v>1.18</v>
      </c>
      <c r="P569">
        <v>0.64</v>
      </c>
      <c r="Q569">
        <v>0.5423728813559322</v>
      </c>
      <c r="R569">
        <v>1</v>
      </c>
      <c r="S569">
        <v>0.009204005948121541</v>
      </c>
      <c r="T569" t="s">
        <v>883</v>
      </c>
      <c r="U569">
        <v>-0.197567644323668</v>
      </c>
      <c r="V569" t="s">
        <v>980</v>
      </c>
      <c r="W569" t="s">
        <v>992</v>
      </c>
      <c r="X569">
        <v>1692.283612</v>
      </c>
      <c r="Y569" s="2">
        <v>44782</v>
      </c>
      <c r="Z569" t="s">
        <v>998</v>
      </c>
    </row>
    <row r="570" spans="1:26">
      <c r="A570" s="1" t="s">
        <v>594</v>
      </c>
      <c r="B570">
        <f>HYPERLINK("https://www.suredividend.com/sure-analysis-WPP/","WPP Plc.")</f>
        <v>0</v>
      </c>
      <c r="C570" t="s">
        <v>870</v>
      </c>
      <c r="D570">
        <v>49</v>
      </c>
      <c r="E570">
        <v>45.6</v>
      </c>
      <c r="F570">
        <v>63</v>
      </c>
      <c r="G570">
        <v>0.7238095238095238</v>
      </c>
      <c r="H570">
        <v>0.05043859649122807</v>
      </c>
      <c r="I570">
        <v>0.06678067898520257</v>
      </c>
      <c r="J570">
        <v>0.01</v>
      </c>
      <c r="K570">
        <v>0.1145433042397535</v>
      </c>
      <c r="L570" t="s">
        <v>586</v>
      </c>
      <c r="M570" t="s">
        <v>568</v>
      </c>
      <c r="N570">
        <v>8</v>
      </c>
      <c r="O570">
        <v>5.7</v>
      </c>
      <c r="P570">
        <v>2.3</v>
      </c>
      <c r="Q570">
        <v>0.4035087719298245</v>
      </c>
      <c r="R570">
        <v>1</v>
      </c>
      <c r="S570">
        <v>0.02004933280231058</v>
      </c>
      <c r="T570" t="s">
        <v>910</v>
      </c>
      <c r="U570">
        <v>-0.334534867600166</v>
      </c>
      <c r="V570" t="s">
        <v>978</v>
      </c>
      <c r="W570" t="s">
        <v>985</v>
      </c>
      <c r="X570">
        <v>9873.345197000001</v>
      </c>
      <c r="Y570" s="2">
        <v>44779</v>
      </c>
      <c r="Z570" t="s">
        <v>1001</v>
      </c>
    </row>
    <row r="571" spans="1:26">
      <c r="A571" s="1" t="s">
        <v>595</v>
      </c>
      <c r="B571">
        <f>HYPERLINK("https://www.suredividend.com/sure-analysis-JWN/","Nordstrom, Inc.")</f>
        <v>0</v>
      </c>
      <c r="C571" t="s">
        <v>869</v>
      </c>
      <c r="D571">
        <v>18</v>
      </c>
      <c r="E571">
        <v>19.12</v>
      </c>
      <c r="F571">
        <v>26</v>
      </c>
      <c r="G571">
        <v>0.7353846153846154</v>
      </c>
      <c r="H571">
        <v>0.04079497907949791</v>
      </c>
      <c r="I571">
        <v>0.06340106764514419</v>
      </c>
      <c r="J571">
        <v>0.02</v>
      </c>
      <c r="K571">
        <v>0.1126592839339697</v>
      </c>
      <c r="L571" t="s">
        <v>586</v>
      </c>
      <c r="M571" t="s">
        <v>568</v>
      </c>
      <c r="N571">
        <v>7.966666666666668</v>
      </c>
      <c r="O571">
        <v>2.4</v>
      </c>
      <c r="P571">
        <v>0.78</v>
      </c>
      <c r="Q571">
        <v>0.325</v>
      </c>
      <c r="R571">
        <v>1</v>
      </c>
      <c r="S571">
        <v>0</v>
      </c>
      <c r="T571" t="s">
        <v>877</v>
      </c>
      <c r="U571">
        <v>-0.387742685414378</v>
      </c>
      <c r="V571" t="s">
        <v>978</v>
      </c>
      <c r="W571" t="s">
        <v>983</v>
      </c>
      <c r="X571">
        <v>3042.60298</v>
      </c>
      <c r="Y571" s="2">
        <v>44803</v>
      </c>
      <c r="Z571" t="s">
        <v>1001</v>
      </c>
    </row>
    <row r="572" spans="1:26">
      <c r="A572" s="1" t="s">
        <v>596</v>
      </c>
      <c r="B572">
        <f>HYPERLINK("https://www.suredividend.com/sure-analysis-AEG/","Aegon N. V.")</f>
        <v>0</v>
      </c>
      <c r="C572" t="s">
        <v>870</v>
      </c>
      <c r="D572">
        <v>4.4</v>
      </c>
      <c r="E572">
        <v>4.68</v>
      </c>
      <c r="F572">
        <v>5.2</v>
      </c>
      <c r="G572">
        <v>0.8999999999999999</v>
      </c>
      <c r="H572">
        <v>0.04487179487179487</v>
      </c>
      <c r="I572">
        <v>0.02129568760013512</v>
      </c>
      <c r="J572">
        <v>0.05</v>
      </c>
      <c r="K572">
        <v>0.112384088154194</v>
      </c>
      <c r="L572" t="s">
        <v>586</v>
      </c>
      <c r="M572" t="s">
        <v>568</v>
      </c>
      <c r="N572">
        <v>7.199999999999999</v>
      </c>
      <c r="O572">
        <v>0.65</v>
      </c>
      <c r="P572">
        <v>0.21</v>
      </c>
      <c r="Q572">
        <v>0.323076923076923</v>
      </c>
      <c r="R572">
        <v>1</v>
      </c>
      <c r="S572">
        <v>0.08100693430783124</v>
      </c>
      <c r="T572" t="s">
        <v>931</v>
      </c>
      <c r="U572">
        <v>-0.008264462809917</v>
      </c>
      <c r="V572" t="s">
        <v>978</v>
      </c>
      <c r="W572" t="s">
        <v>986</v>
      </c>
      <c r="X572">
        <v>9872.133472</v>
      </c>
      <c r="Y572" s="2">
        <v>44809</v>
      </c>
      <c r="Z572" t="s">
        <v>996</v>
      </c>
    </row>
    <row r="573" spans="1:26">
      <c r="A573" s="1" t="s">
        <v>597</v>
      </c>
      <c r="B573">
        <f>HYPERLINK("https://www.suredividend.com/sure-analysis-NGG/","National Grid Plc")</f>
        <v>0</v>
      </c>
      <c r="C573" t="s">
        <v>870</v>
      </c>
      <c r="D573">
        <v>62</v>
      </c>
      <c r="E573">
        <v>55.23</v>
      </c>
      <c r="F573">
        <v>60</v>
      </c>
      <c r="G573">
        <v>0.9205</v>
      </c>
      <c r="H573">
        <v>0.06753575955096867</v>
      </c>
      <c r="I573">
        <v>0.01670566035353827</v>
      </c>
      <c r="J573">
        <v>0.04</v>
      </c>
      <c r="K573">
        <v>0.1122564287587977</v>
      </c>
      <c r="L573" t="s">
        <v>586</v>
      </c>
      <c r="M573" t="s">
        <v>873</v>
      </c>
      <c r="N573">
        <v>13.87688442211055</v>
      </c>
      <c r="O573">
        <v>3.98</v>
      </c>
      <c r="P573">
        <v>3.73</v>
      </c>
      <c r="Q573">
        <v>0.9371859296482412</v>
      </c>
      <c r="R573">
        <v>0</v>
      </c>
      <c r="S573">
        <v>0.0400863678133252</v>
      </c>
      <c r="T573" t="s">
        <v>965</v>
      </c>
      <c r="U573">
        <v>-0.103171780844606</v>
      </c>
      <c r="V573" t="s">
        <v>978</v>
      </c>
      <c r="W573" t="s">
        <v>987</v>
      </c>
      <c r="X573">
        <v>40430.205013</v>
      </c>
      <c r="Y573" s="2">
        <v>44811</v>
      </c>
      <c r="Z573" t="s">
        <v>1007</v>
      </c>
    </row>
    <row r="574" spans="1:26">
      <c r="A574" s="1" t="s">
        <v>598</v>
      </c>
      <c r="B574">
        <f>HYPERLINK("https://www.suredividend.com/sure-analysis-VST/","Vistra Corp")</f>
        <v>0</v>
      </c>
      <c r="C574" t="s">
        <v>870</v>
      </c>
      <c r="D574">
        <v>25</v>
      </c>
      <c r="E574">
        <v>22.85</v>
      </c>
      <c r="F574">
        <v>28</v>
      </c>
      <c r="G574">
        <v>0.8160714285714287</v>
      </c>
      <c r="H574">
        <v>0.03238512035010941</v>
      </c>
      <c r="I574">
        <v>0.04148822783383621</v>
      </c>
      <c r="J574">
        <v>0.04</v>
      </c>
      <c r="K574">
        <v>0.1113310577598496</v>
      </c>
      <c r="L574" t="s">
        <v>586</v>
      </c>
      <c r="M574" t="s">
        <v>586</v>
      </c>
      <c r="N574">
        <v>9.641350210970465</v>
      </c>
      <c r="O574">
        <v>2.37</v>
      </c>
      <c r="P574">
        <v>0.74</v>
      </c>
      <c r="Q574">
        <v>0.3122362869198312</v>
      </c>
      <c r="R574">
        <v>4</v>
      </c>
      <c r="S574">
        <v>0.07854534102504562</v>
      </c>
      <c r="T574" t="s">
        <v>939</v>
      </c>
      <c r="U574">
        <v>0.216027077224371</v>
      </c>
      <c r="V574" t="s">
        <v>978</v>
      </c>
      <c r="W574" t="s">
        <v>987</v>
      </c>
      <c r="X574">
        <v>9513.556347</v>
      </c>
      <c r="Y574" s="2">
        <v>44782</v>
      </c>
      <c r="Z574" t="s">
        <v>998</v>
      </c>
    </row>
    <row r="575" spans="1:26">
      <c r="A575" s="1" t="s">
        <v>599</v>
      </c>
      <c r="B575">
        <f>HYPERLINK("https://www.suredividend.com/sure-analysis-RF/","Regions Financial Corp.")</f>
        <v>0</v>
      </c>
      <c r="C575" t="s">
        <v>869</v>
      </c>
      <c r="D575">
        <v>22</v>
      </c>
      <c r="E575">
        <v>22.46</v>
      </c>
      <c r="F575">
        <v>26</v>
      </c>
      <c r="G575">
        <v>0.8638461538461539</v>
      </c>
      <c r="H575">
        <v>0.03561887800534283</v>
      </c>
      <c r="I575">
        <v>0.02970475728848987</v>
      </c>
      <c r="J575">
        <v>0.05</v>
      </c>
      <c r="K575">
        <v>0.1103502957705045</v>
      </c>
      <c r="L575" t="s">
        <v>586</v>
      </c>
      <c r="M575" t="s">
        <v>568</v>
      </c>
      <c r="N575">
        <v>9.557446808510639</v>
      </c>
      <c r="O575">
        <v>2.35</v>
      </c>
      <c r="P575">
        <v>0.8</v>
      </c>
      <c r="Q575">
        <v>0.3404255319148936</v>
      </c>
      <c r="R575">
        <v>10</v>
      </c>
      <c r="S575">
        <v>0.05589288248337687</v>
      </c>
      <c r="T575" t="s">
        <v>889</v>
      </c>
      <c r="U575">
        <v>-0.044031581859584</v>
      </c>
      <c r="V575" t="s">
        <v>978</v>
      </c>
      <c r="W575" t="s">
        <v>986</v>
      </c>
      <c r="X575">
        <v>20987.648311</v>
      </c>
      <c r="Y575" s="2">
        <v>44864</v>
      </c>
      <c r="Z575" t="s">
        <v>994</v>
      </c>
    </row>
    <row r="576" spans="1:26">
      <c r="A576" s="1" t="s">
        <v>600</v>
      </c>
      <c r="B576">
        <f>HYPERLINK("https://www.suredividend.com/sure-analysis-AEE/","Ameren Corp.")</f>
        <v>0</v>
      </c>
      <c r="C576" t="s">
        <v>869</v>
      </c>
      <c r="D576">
        <v>81</v>
      </c>
      <c r="E576">
        <v>81.03</v>
      </c>
      <c r="F576">
        <v>85</v>
      </c>
      <c r="G576">
        <v>0.9532941176470588</v>
      </c>
      <c r="H576">
        <v>0.02912501542638529</v>
      </c>
      <c r="I576">
        <v>0.009612263886318306</v>
      </c>
      <c r="J576">
        <v>0.07000000000000001</v>
      </c>
      <c r="K576">
        <v>0.1047200948620948</v>
      </c>
      <c r="L576" t="s">
        <v>586</v>
      </c>
      <c r="M576" t="s">
        <v>637</v>
      </c>
      <c r="N576">
        <v>20.00740740740741</v>
      </c>
      <c r="O576">
        <v>4.05</v>
      </c>
      <c r="P576">
        <v>2.36</v>
      </c>
      <c r="Q576">
        <v>0.582716049382716</v>
      </c>
      <c r="R576">
        <v>9</v>
      </c>
      <c r="S576">
        <v>0.0601199707922162</v>
      </c>
      <c r="T576" t="s">
        <v>897</v>
      </c>
      <c r="U576">
        <v>-0.020790231829695</v>
      </c>
      <c r="V576" t="s">
        <v>978</v>
      </c>
      <c r="W576" t="s">
        <v>987</v>
      </c>
      <c r="X576">
        <v>20935.770123</v>
      </c>
      <c r="Y576" s="2">
        <v>44869</v>
      </c>
      <c r="Z576" t="s">
        <v>1002</v>
      </c>
    </row>
    <row r="577" spans="1:26">
      <c r="A577" s="1" t="s">
        <v>601</v>
      </c>
      <c r="B577">
        <f>HYPERLINK("https://www.suredividend.com/sure-analysis-GEL/","Genesis Energy L.P.")</f>
        <v>0</v>
      </c>
      <c r="C577" t="s">
        <v>870</v>
      </c>
      <c r="D577">
        <v>12</v>
      </c>
      <c r="E577">
        <v>11.2</v>
      </c>
      <c r="F577">
        <v>12</v>
      </c>
      <c r="G577">
        <v>0.9333333333333332</v>
      </c>
      <c r="H577">
        <v>0.05357142857142858</v>
      </c>
      <c r="I577">
        <v>0.01389421401466451</v>
      </c>
      <c r="J577">
        <v>0.05</v>
      </c>
      <c r="K577">
        <v>0.1033659469986965</v>
      </c>
      <c r="L577" t="s">
        <v>586</v>
      </c>
      <c r="M577" t="s">
        <v>873</v>
      </c>
      <c r="N577">
        <v>4.666666666666667</v>
      </c>
      <c r="O577">
        <v>2.4</v>
      </c>
      <c r="P577">
        <v>0.6</v>
      </c>
      <c r="Q577">
        <v>0.25</v>
      </c>
      <c r="R577">
        <v>0</v>
      </c>
      <c r="S577">
        <v>0</v>
      </c>
      <c r="T577" t="s">
        <v>911</v>
      </c>
      <c r="U577">
        <v>0.045986028615189</v>
      </c>
      <c r="V577" t="s">
        <v>979</v>
      </c>
      <c r="W577" t="s">
        <v>991</v>
      </c>
      <c r="X577">
        <v>1372.439275</v>
      </c>
      <c r="Y577" s="2">
        <v>44802</v>
      </c>
      <c r="Z577" t="s">
        <v>996</v>
      </c>
    </row>
    <row r="578" spans="1:26">
      <c r="A578" s="1" t="s">
        <v>602</v>
      </c>
      <c r="B578">
        <f>HYPERLINK("https://www.suredividend.com/sure-analysis-CFG/","Citizens Financial Group Inc")</f>
        <v>0</v>
      </c>
      <c r="C578" t="s">
        <v>869</v>
      </c>
      <c r="D578">
        <v>38</v>
      </c>
      <c r="E578">
        <v>40.12</v>
      </c>
      <c r="F578">
        <v>46</v>
      </c>
      <c r="G578">
        <v>0.8721739130434782</v>
      </c>
      <c r="H578">
        <v>0.04187437686939183</v>
      </c>
      <c r="I578">
        <v>0.02773082224391077</v>
      </c>
      <c r="J578">
        <v>0.04</v>
      </c>
      <c r="K578">
        <v>0.1027254338702208</v>
      </c>
      <c r="L578" t="s">
        <v>586</v>
      </c>
      <c r="M578" t="s">
        <v>568</v>
      </c>
      <c r="N578">
        <v>8.358333333333333</v>
      </c>
      <c r="O578">
        <v>4.8</v>
      </c>
      <c r="P578">
        <v>1.68</v>
      </c>
      <c r="Q578">
        <v>0.35</v>
      </c>
      <c r="R578">
        <v>1</v>
      </c>
      <c r="S578">
        <v>0.03959498820755258</v>
      </c>
      <c r="T578" t="s">
        <v>922</v>
      </c>
      <c r="U578">
        <v>-0.127879172572104</v>
      </c>
      <c r="V578" t="s">
        <v>978</v>
      </c>
      <c r="W578" t="s">
        <v>986</v>
      </c>
      <c r="X578">
        <v>19885.213248</v>
      </c>
      <c r="Y578" s="2">
        <v>44858</v>
      </c>
      <c r="Z578" t="s">
        <v>1001</v>
      </c>
    </row>
    <row r="579" spans="1:26">
      <c r="A579" s="1" t="s">
        <v>603</v>
      </c>
      <c r="B579">
        <f>HYPERLINK("https://www.suredividend.com/sure-analysis-RPT/","RPT Realty")</f>
        <v>0</v>
      </c>
      <c r="C579" t="s">
        <v>870</v>
      </c>
      <c r="D579">
        <v>10.65</v>
      </c>
      <c r="E579">
        <v>10.01</v>
      </c>
      <c r="F579">
        <v>11.33</v>
      </c>
      <c r="G579">
        <v>0.8834951456310679</v>
      </c>
      <c r="H579">
        <v>0.05194805194805195</v>
      </c>
      <c r="I579">
        <v>0.02508331923219442</v>
      </c>
      <c r="J579">
        <v>0.025</v>
      </c>
      <c r="K579">
        <v>0.102668689792156</v>
      </c>
      <c r="L579" t="s">
        <v>586</v>
      </c>
      <c r="M579" t="s">
        <v>568</v>
      </c>
      <c r="N579">
        <v>9.718446601941746</v>
      </c>
      <c r="O579">
        <v>1.03</v>
      </c>
      <c r="P579">
        <v>0.52</v>
      </c>
      <c r="Q579">
        <v>0.5048543689320388</v>
      </c>
      <c r="R579">
        <v>1</v>
      </c>
      <c r="S579">
        <v>0.1006650808520966</v>
      </c>
      <c r="T579" t="s">
        <v>934</v>
      </c>
      <c r="U579">
        <v>-0.262913736607635</v>
      </c>
      <c r="V579" t="s">
        <v>980</v>
      </c>
      <c r="W579" t="s">
        <v>992</v>
      </c>
      <c r="X579">
        <v>853.343171</v>
      </c>
      <c r="Y579" s="2">
        <v>44777</v>
      </c>
      <c r="Z579" t="s">
        <v>1000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869</v>
      </c>
      <c r="D580">
        <v>37</v>
      </c>
      <c r="E580">
        <v>37.22</v>
      </c>
      <c r="F580">
        <v>46</v>
      </c>
      <c r="G580">
        <v>0.8091304347826087</v>
      </c>
      <c r="H580">
        <v>0.03761418592154755</v>
      </c>
      <c r="I580">
        <v>0.04326897539349694</v>
      </c>
      <c r="J580">
        <v>0.03</v>
      </c>
      <c r="K580">
        <v>0.1021644069094234</v>
      </c>
      <c r="L580" t="s">
        <v>586</v>
      </c>
      <c r="M580" t="s">
        <v>586</v>
      </c>
      <c r="N580">
        <v>9.794736842105264</v>
      </c>
      <c r="O580">
        <v>3.8</v>
      </c>
      <c r="P580">
        <v>1.4</v>
      </c>
      <c r="Q580">
        <v>0.3684210526315789</v>
      </c>
      <c r="R580">
        <v>1</v>
      </c>
      <c r="S580">
        <v>0.009805797673485328</v>
      </c>
      <c r="T580" t="s">
        <v>889</v>
      </c>
      <c r="U580">
        <v>0.137050999272922</v>
      </c>
      <c r="V580" t="s">
        <v>978</v>
      </c>
      <c r="W580" t="s">
        <v>986</v>
      </c>
      <c r="X580">
        <v>711.902288</v>
      </c>
      <c r="Y580" s="2">
        <v>44867</v>
      </c>
      <c r="Z580" t="s">
        <v>998</v>
      </c>
    </row>
    <row r="581" spans="1:26">
      <c r="A581" s="1" t="s">
        <v>605</v>
      </c>
      <c r="B581">
        <f>HYPERLINK("https://www.suredividend.com/sure-analysis-DTEGY/","Deutsche Telekom AG")</f>
        <v>0</v>
      </c>
      <c r="C581" t="s">
        <v>869</v>
      </c>
      <c r="D581">
        <v>19</v>
      </c>
      <c r="E581">
        <v>19.56</v>
      </c>
      <c r="F581">
        <v>22</v>
      </c>
      <c r="G581">
        <v>0.889090909090909</v>
      </c>
      <c r="H581">
        <v>0.0352760736196319</v>
      </c>
      <c r="I581">
        <v>0.02378972387302913</v>
      </c>
      <c r="J581">
        <v>0.05</v>
      </c>
      <c r="K581">
        <v>0.101628770413813</v>
      </c>
      <c r="L581" t="s">
        <v>586</v>
      </c>
      <c r="M581" t="s">
        <v>586</v>
      </c>
      <c r="N581">
        <v>13.48965517241379</v>
      </c>
      <c r="O581">
        <v>1.45</v>
      </c>
      <c r="P581">
        <v>0.6899999999999999</v>
      </c>
      <c r="Q581">
        <v>0.4758620689655172</v>
      </c>
      <c r="R581">
        <v>0</v>
      </c>
      <c r="S581">
        <v>0.01951331078639096</v>
      </c>
      <c r="T581" t="s">
        <v>966</v>
      </c>
      <c r="U581">
        <v>0.099141927544294</v>
      </c>
      <c r="V581" t="s">
        <v>978</v>
      </c>
      <c r="W581" t="s">
        <v>985</v>
      </c>
      <c r="X581">
        <v>97535.13013799999</v>
      </c>
      <c r="Y581" s="2">
        <v>44809</v>
      </c>
      <c r="Z581" t="s">
        <v>996</v>
      </c>
    </row>
    <row r="582" spans="1:26">
      <c r="A582" s="1" t="s">
        <v>606</v>
      </c>
      <c r="B582">
        <f>HYPERLINK("https://www.suredividend.com/sure-analysis-CWH/","Camping World Holdings Inc")</f>
        <v>0</v>
      </c>
      <c r="C582" t="s">
        <v>869</v>
      </c>
      <c r="D582">
        <v>26</v>
      </c>
      <c r="E582">
        <v>25.9</v>
      </c>
      <c r="F582">
        <v>38</v>
      </c>
      <c r="G582">
        <v>0.6815789473684211</v>
      </c>
      <c r="H582">
        <v>0.09652509652509653</v>
      </c>
      <c r="I582">
        <v>0.07968425099871101</v>
      </c>
      <c r="J582">
        <v>-0.05</v>
      </c>
      <c r="K582">
        <v>0.1010079909591504</v>
      </c>
      <c r="L582" t="s">
        <v>586</v>
      </c>
      <c r="M582" t="s">
        <v>873</v>
      </c>
      <c r="N582">
        <v>5.18</v>
      </c>
      <c r="O582">
        <v>5</v>
      </c>
      <c r="P582">
        <v>2.5</v>
      </c>
      <c r="Q582">
        <v>0.5</v>
      </c>
      <c r="R582">
        <v>3</v>
      </c>
      <c r="S582">
        <v>0</v>
      </c>
      <c r="T582" t="s">
        <v>951</v>
      </c>
      <c r="U582">
        <v>-0.342873090779926</v>
      </c>
      <c r="V582" t="s">
        <v>978</v>
      </c>
      <c r="W582" t="s">
        <v>983</v>
      </c>
      <c r="X582">
        <v>1091.224705</v>
      </c>
      <c r="Y582" s="2">
        <v>44867</v>
      </c>
      <c r="Z582" t="s">
        <v>1000</v>
      </c>
    </row>
    <row r="583" spans="1:26">
      <c r="A583" s="1" t="s">
        <v>607</v>
      </c>
      <c r="B583">
        <f>HYPERLINK("https://www.suredividend.com/sure-analysis-FL/","Foot Locker Inc")</f>
        <v>0</v>
      </c>
      <c r="C583" t="s">
        <v>870</v>
      </c>
      <c r="D583">
        <v>37</v>
      </c>
      <c r="E583">
        <v>31.77</v>
      </c>
      <c r="F583">
        <v>40</v>
      </c>
      <c r="G583">
        <v>0.79425</v>
      </c>
      <c r="H583">
        <v>0.05036197670758578</v>
      </c>
      <c r="I583">
        <v>0.04714917596041679</v>
      </c>
      <c r="J583">
        <v>0.01</v>
      </c>
      <c r="K583">
        <v>0.1006518604366422</v>
      </c>
      <c r="L583" t="s">
        <v>586</v>
      </c>
      <c r="M583" t="s">
        <v>568</v>
      </c>
      <c r="N583">
        <v>7.220454545454545</v>
      </c>
      <c r="O583">
        <v>4.4</v>
      </c>
      <c r="P583">
        <v>1.6</v>
      </c>
      <c r="Q583">
        <v>0.3636363636363636</v>
      </c>
      <c r="R583">
        <v>1</v>
      </c>
      <c r="S583">
        <v>0.04978904632428516</v>
      </c>
      <c r="T583" t="s">
        <v>910</v>
      </c>
      <c r="U583">
        <v>-0.360158218351798</v>
      </c>
      <c r="V583" t="s">
        <v>978</v>
      </c>
      <c r="W583" t="s">
        <v>983</v>
      </c>
      <c r="X583">
        <v>2964.193293</v>
      </c>
      <c r="Y583" s="2">
        <v>44803</v>
      </c>
      <c r="Z583" t="s">
        <v>1001</v>
      </c>
    </row>
    <row r="584" spans="1:26">
      <c r="A584" s="1" t="s">
        <v>608</v>
      </c>
      <c r="B584">
        <f>HYPERLINK("https://www.suredividend.com/sure-analysis-CODI/","Compass Diversified Holdings")</f>
        <v>0</v>
      </c>
      <c r="C584" t="s">
        <v>869</v>
      </c>
      <c r="D584">
        <v>19</v>
      </c>
      <c r="E584">
        <v>19.51</v>
      </c>
      <c r="F584">
        <v>24</v>
      </c>
      <c r="G584">
        <v>0.8129166666666667</v>
      </c>
      <c r="H584">
        <v>0.05125576627370579</v>
      </c>
      <c r="I584">
        <v>0.04229533611343061</v>
      </c>
      <c r="J584">
        <v>0.02</v>
      </c>
      <c r="K584">
        <v>0.1005378268931487</v>
      </c>
      <c r="L584" t="s">
        <v>586</v>
      </c>
      <c r="M584" t="s">
        <v>568</v>
      </c>
      <c r="N584">
        <v>8.129166666666668</v>
      </c>
      <c r="O584">
        <v>2.4</v>
      </c>
      <c r="P584">
        <v>1</v>
      </c>
      <c r="Q584">
        <v>0.4166666666666667</v>
      </c>
      <c r="R584">
        <v>0</v>
      </c>
      <c r="S584">
        <v>0</v>
      </c>
      <c r="T584" t="s">
        <v>924</v>
      </c>
      <c r="U584">
        <v>-0.330822631983316</v>
      </c>
      <c r="V584" t="s">
        <v>978</v>
      </c>
      <c r="W584" t="s">
        <v>984</v>
      </c>
      <c r="X584">
        <v>1408.675243</v>
      </c>
      <c r="Y584" s="2">
        <v>44827</v>
      </c>
      <c r="Z584" t="s">
        <v>994</v>
      </c>
    </row>
    <row r="585" spans="1:26">
      <c r="A585" s="1" t="s">
        <v>609</v>
      </c>
      <c r="B585">
        <f>HYPERLINK("https://www.suredividend.com/sure-analysis-ROST/","Ross Stores, Inc.")</f>
        <v>0</v>
      </c>
      <c r="C585" t="s">
        <v>869</v>
      </c>
      <c r="D585">
        <v>87</v>
      </c>
      <c r="E585">
        <v>93.88</v>
      </c>
      <c r="F585">
        <v>77</v>
      </c>
      <c r="G585">
        <v>1.219220779220779</v>
      </c>
      <c r="H585">
        <v>0.0132083510864934</v>
      </c>
      <c r="I585">
        <v>-0.03886691132637843</v>
      </c>
      <c r="J585">
        <v>0.13</v>
      </c>
      <c r="K585">
        <v>0.1000708769545489</v>
      </c>
      <c r="L585" t="s">
        <v>586</v>
      </c>
      <c r="M585" t="s">
        <v>637</v>
      </c>
      <c r="N585">
        <v>22.89756097560976</v>
      </c>
      <c r="O585">
        <v>4.1</v>
      </c>
      <c r="P585">
        <v>1.24</v>
      </c>
      <c r="Q585">
        <v>0.3024390243902439</v>
      </c>
      <c r="R585">
        <v>2</v>
      </c>
      <c r="S585">
        <v>0.1411898789591177</v>
      </c>
      <c r="T585" t="s">
        <v>894</v>
      </c>
      <c r="U585">
        <v>-0.190869616930027</v>
      </c>
      <c r="V585" t="s">
        <v>978</v>
      </c>
      <c r="W585" t="s">
        <v>983</v>
      </c>
      <c r="X585">
        <v>32582.255946</v>
      </c>
      <c r="Y585" s="2">
        <v>44809</v>
      </c>
      <c r="Z585" t="s">
        <v>996</v>
      </c>
    </row>
    <row r="586" spans="1:26">
      <c r="A586" s="1" t="s">
        <v>610</v>
      </c>
      <c r="B586">
        <f>HYPERLINK("https://www.suredividend.com/sure-analysis-DD/","DuPont de Nemours Inc")</f>
        <v>0</v>
      </c>
      <c r="C586" t="s">
        <v>870</v>
      </c>
      <c r="D586">
        <v>63</v>
      </c>
      <c r="E586">
        <v>61.93</v>
      </c>
      <c r="F586">
        <v>57</v>
      </c>
      <c r="G586">
        <v>1.086491228070176</v>
      </c>
      <c r="H586">
        <v>0.02131438721136767</v>
      </c>
      <c r="I586">
        <v>-0.01645382188954203</v>
      </c>
      <c r="J586">
        <v>0.1</v>
      </c>
      <c r="K586">
        <v>0.09990615470919884</v>
      </c>
      <c r="L586" t="s">
        <v>586</v>
      </c>
      <c r="M586" t="s">
        <v>637</v>
      </c>
      <c r="N586">
        <v>18.4865671641791</v>
      </c>
      <c r="O586">
        <v>3.35</v>
      </c>
      <c r="P586">
        <v>1.32</v>
      </c>
      <c r="Q586">
        <v>0.3940298507462687</v>
      </c>
      <c r="R586">
        <v>1</v>
      </c>
      <c r="S586">
        <v>0.06042477819475911</v>
      </c>
      <c r="T586" t="s">
        <v>967</v>
      </c>
      <c r="U586">
        <v>-0.206353274673788</v>
      </c>
      <c r="V586" t="s">
        <v>978</v>
      </c>
      <c r="W586" t="s">
        <v>989</v>
      </c>
      <c r="X586">
        <v>31020.855472</v>
      </c>
      <c r="Y586" s="2">
        <v>44786</v>
      </c>
      <c r="Z586" t="s">
        <v>1001</v>
      </c>
    </row>
    <row r="587" spans="1:26">
      <c r="A587" s="1" t="s">
        <v>611</v>
      </c>
      <c r="B587">
        <f>HYPERLINK("https://www.suredividend.com/sure-analysis-HMC/","Honda Motor")</f>
        <v>0</v>
      </c>
      <c r="C587" t="s">
        <v>870</v>
      </c>
      <c r="D587">
        <v>27</v>
      </c>
      <c r="E587">
        <v>23.45</v>
      </c>
      <c r="F587">
        <v>28</v>
      </c>
      <c r="G587">
        <v>0.8375</v>
      </c>
      <c r="H587">
        <v>0.04264392324093817</v>
      </c>
      <c r="I587">
        <v>0.03610325209611243</v>
      </c>
      <c r="J587">
        <v>0.029</v>
      </c>
      <c r="K587">
        <v>0.0998692855122254</v>
      </c>
      <c r="L587" t="s">
        <v>586</v>
      </c>
      <c r="M587" t="s">
        <v>568</v>
      </c>
      <c r="N587">
        <v>7.020958083832335</v>
      </c>
      <c r="O587">
        <v>3.34</v>
      </c>
      <c r="P587">
        <v>1</v>
      </c>
      <c r="Q587">
        <v>0.2994011976047904</v>
      </c>
      <c r="R587">
        <v>0</v>
      </c>
      <c r="S587">
        <v>0.02834672210021361</v>
      </c>
      <c r="T587" t="s">
        <v>950</v>
      </c>
      <c r="U587">
        <v>-0.223278460468351</v>
      </c>
      <c r="V587" t="s">
        <v>978</v>
      </c>
      <c r="W587" t="s">
        <v>983</v>
      </c>
      <c r="X587">
        <v>42477.996684</v>
      </c>
      <c r="Y587" s="2">
        <v>44792</v>
      </c>
      <c r="Z587" t="s">
        <v>993</v>
      </c>
    </row>
    <row r="588" spans="1:26">
      <c r="A588" s="1" t="s">
        <v>612</v>
      </c>
      <c r="B588">
        <f>HYPERLINK("https://www.suredividend.com/sure-analysis-ETD/","Ethan Allen Interiors, Inc.")</f>
        <v>0</v>
      </c>
      <c r="C588" t="s">
        <v>869</v>
      </c>
      <c r="D588">
        <v>24</v>
      </c>
      <c r="E588">
        <v>27.14</v>
      </c>
      <c r="F588">
        <v>35</v>
      </c>
      <c r="G588">
        <v>0.7754285714285715</v>
      </c>
      <c r="H588">
        <v>0.04716285924834193</v>
      </c>
      <c r="I588">
        <v>0.05218387105711075</v>
      </c>
      <c r="J588">
        <v>0.01</v>
      </c>
      <c r="K588">
        <v>0.09929989501976388</v>
      </c>
      <c r="L588" t="s">
        <v>586</v>
      </c>
      <c r="M588" t="s">
        <v>568</v>
      </c>
      <c r="N588">
        <v>7.754285714285714</v>
      </c>
      <c r="O588">
        <v>3.5</v>
      </c>
      <c r="P588">
        <v>1.28</v>
      </c>
      <c r="Q588">
        <v>0.3657142857142857</v>
      </c>
      <c r="R588">
        <v>3</v>
      </c>
      <c r="S588">
        <v>0.01953427031337696</v>
      </c>
      <c r="T588" t="s">
        <v>888</v>
      </c>
      <c r="U588">
        <v>0.180384908122213</v>
      </c>
      <c r="V588" t="s">
        <v>978</v>
      </c>
      <c r="W588" t="s">
        <v>983</v>
      </c>
      <c r="X588">
        <v>687.928979</v>
      </c>
      <c r="Y588" s="2">
        <v>44712</v>
      </c>
      <c r="Z588" t="s">
        <v>995</v>
      </c>
    </row>
    <row r="589" spans="1:26">
      <c r="A589" s="1" t="s">
        <v>613</v>
      </c>
      <c r="B589">
        <f>HYPERLINK("https://www.suredividend.com/sure-analysis-E/","Eni Spa")</f>
        <v>0</v>
      </c>
      <c r="C589" t="s">
        <v>870</v>
      </c>
      <c r="D589">
        <v>27</v>
      </c>
      <c r="E589">
        <v>27.89</v>
      </c>
      <c r="F589">
        <v>75</v>
      </c>
      <c r="G589">
        <v>0.3718666666666667</v>
      </c>
      <c r="H589">
        <v>0.0645392613840086</v>
      </c>
      <c r="I589">
        <v>0.2187722290442504</v>
      </c>
      <c r="J589">
        <v>-0.14</v>
      </c>
      <c r="K589">
        <v>0.0989238257349121</v>
      </c>
      <c r="L589" t="s">
        <v>586</v>
      </c>
      <c r="M589" t="s">
        <v>873</v>
      </c>
      <c r="N589">
        <v>4.648333333333333</v>
      </c>
      <c r="O589">
        <v>6</v>
      </c>
      <c r="P589">
        <v>1.8</v>
      </c>
      <c r="Q589">
        <v>0.3</v>
      </c>
      <c r="R589">
        <v>1</v>
      </c>
      <c r="S589">
        <v>0.01509302814089541</v>
      </c>
      <c r="T589" t="s">
        <v>934</v>
      </c>
      <c r="U589">
        <v>0.013050885012004</v>
      </c>
      <c r="V589" t="s">
        <v>978</v>
      </c>
      <c r="W589" t="s">
        <v>991</v>
      </c>
      <c r="X589">
        <v>49804.399853</v>
      </c>
      <c r="Y589" s="2">
        <v>44870</v>
      </c>
      <c r="Z589" t="s">
        <v>996</v>
      </c>
    </row>
    <row r="590" spans="1:26">
      <c r="A590" s="1" t="s">
        <v>614</v>
      </c>
      <c r="B590">
        <f>HYPERLINK("https://www.suredividend.com/sure-analysis-WEYS/","Weyco Group, Inc")</f>
        <v>0</v>
      </c>
      <c r="C590" t="s">
        <v>870</v>
      </c>
      <c r="D590">
        <v>27</v>
      </c>
      <c r="E590">
        <v>24.54</v>
      </c>
      <c r="F590">
        <v>32</v>
      </c>
      <c r="G590">
        <v>0.766875</v>
      </c>
      <c r="H590">
        <v>0.04074979625101875</v>
      </c>
      <c r="I590">
        <v>0.05452063862995171</v>
      </c>
      <c r="J590">
        <v>0.01</v>
      </c>
      <c r="K590">
        <v>0.09862116510313856</v>
      </c>
      <c r="L590" t="s">
        <v>586</v>
      </c>
      <c r="M590" t="s">
        <v>586</v>
      </c>
      <c r="N590">
        <v>11.46728971962617</v>
      </c>
      <c r="O590">
        <v>2.14</v>
      </c>
      <c r="P590">
        <v>1</v>
      </c>
      <c r="Q590">
        <v>0.4672897196261682</v>
      </c>
      <c r="R590">
        <v>0</v>
      </c>
      <c r="S590">
        <v>0.04057159395880827</v>
      </c>
      <c r="T590" t="s">
        <v>906</v>
      </c>
      <c r="U590">
        <v>0.08287478102012601</v>
      </c>
      <c r="V590" t="s">
        <v>978</v>
      </c>
      <c r="W590" t="s">
        <v>983</v>
      </c>
      <c r="X590">
        <v>235.360416</v>
      </c>
      <c r="Y590" s="2">
        <v>44783</v>
      </c>
      <c r="Z590" t="s">
        <v>1007</v>
      </c>
    </row>
    <row r="591" spans="1:26">
      <c r="A591" s="1" t="s">
        <v>615</v>
      </c>
      <c r="B591">
        <f>HYPERLINK("https://www.suredividend.com/sure-analysis-BAYRY/","Bayer AG")</f>
        <v>0</v>
      </c>
      <c r="C591" t="s">
        <v>869</v>
      </c>
      <c r="D591">
        <v>12</v>
      </c>
      <c r="E591">
        <v>13.52</v>
      </c>
      <c r="F591">
        <v>16</v>
      </c>
      <c r="G591">
        <v>0.845</v>
      </c>
      <c r="H591">
        <v>0.03920118343195267</v>
      </c>
      <c r="I591">
        <v>0.03425745072826825</v>
      </c>
      <c r="J591">
        <v>0.03</v>
      </c>
      <c r="K591">
        <v>0.09742155862609647</v>
      </c>
      <c r="L591" t="s">
        <v>586</v>
      </c>
      <c r="M591" t="s">
        <v>568</v>
      </c>
      <c r="N591">
        <v>7.428571428571428</v>
      </c>
      <c r="O591">
        <v>1.82</v>
      </c>
      <c r="P591">
        <v>0.53</v>
      </c>
      <c r="Q591">
        <v>0.2912087912087912</v>
      </c>
      <c r="R591">
        <v>0</v>
      </c>
      <c r="S591">
        <v>0.03843859492360835</v>
      </c>
      <c r="T591" t="s">
        <v>948</v>
      </c>
      <c r="U591">
        <v>-0.06822880771881401</v>
      </c>
      <c r="V591" t="s">
        <v>978</v>
      </c>
      <c r="W591" t="s">
        <v>988</v>
      </c>
      <c r="X591">
        <v>53129.494355</v>
      </c>
      <c r="Y591" s="2">
        <v>44827</v>
      </c>
      <c r="Z591" t="s">
        <v>994</v>
      </c>
    </row>
    <row r="592" spans="1:26">
      <c r="A592" s="1" t="s">
        <v>616</v>
      </c>
      <c r="B592">
        <f>HYPERLINK("https://www.suredividend.com/sure-analysis-BRX/","Brixmor Property Group Inc")</f>
        <v>0</v>
      </c>
      <c r="C592" t="s">
        <v>870</v>
      </c>
      <c r="D592">
        <v>23</v>
      </c>
      <c r="E592">
        <v>21.82</v>
      </c>
      <c r="F592">
        <v>25</v>
      </c>
      <c r="G592">
        <v>0.8728</v>
      </c>
      <c r="H592">
        <v>0.04399633363886343</v>
      </c>
      <c r="I592">
        <v>0.02758333517503209</v>
      </c>
      <c r="J592">
        <v>0.03</v>
      </c>
      <c r="K592">
        <v>0.09419073219584706</v>
      </c>
      <c r="L592" t="s">
        <v>586</v>
      </c>
      <c r="M592" t="s">
        <v>586</v>
      </c>
      <c r="N592">
        <v>11.18974358974359</v>
      </c>
      <c r="O592">
        <v>1.95</v>
      </c>
      <c r="P592">
        <v>0.96</v>
      </c>
      <c r="Q592">
        <v>0.4923076923076923</v>
      </c>
      <c r="R592">
        <v>1</v>
      </c>
      <c r="S592">
        <v>0.02946206823925857</v>
      </c>
      <c r="T592" t="s">
        <v>923</v>
      </c>
      <c r="U592">
        <v>-0.07218029127245601</v>
      </c>
      <c r="V592" t="s">
        <v>980</v>
      </c>
      <c r="W592" t="s">
        <v>992</v>
      </c>
      <c r="X592">
        <v>6544.104715</v>
      </c>
      <c r="Y592" s="2">
        <v>44781</v>
      </c>
      <c r="Z592" t="s">
        <v>1005</v>
      </c>
    </row>
    <row r="593" spans="1:26">
      <c r="A593" s="1" t="s">
        <v>617</v>
      </c>
      <c r="B593">
        <f>HYPERLINK("https://www.suredividend.com/sure-analysis-PKX/","POSCO Holdings Inc")</f>
        <v>0</v>
      </c>
      <c r="C593" t="s">
        <v>869</v>
      </c>
      <c r="D593">
        <v>43</v>
      </c>
      <c r="E593">
        <v>46.94</v>
      </c>
      <c r="F593">
        <v>80</v>
      </c>
      <c r="G593">
        <v>0.58675</v>
      </c>
      <c r="H593">
        <v>0.1278227524499361</v>
      </c>
      <c r="I593">
        <v>0.1125239788519528</v>
      </c>
      <c r="J593">
        <v>-0.1</v>
      </c>
      <c r="K593">
        <v>0.09239369903031514</v>
      </c>
      <c r="L593" t="s">
        <v>586</v>
      </c>
      <c r="M593" t="s">
        <v>872</v>
      </c>
      <c r="N593">
        <v>2.347</v>
      </c>
      <c r="O593">
        <v>20</v>
      </c>
      <c r="P593">
        <v>6</v>
      </c>
      <c r="Q593">
        <v>0.3</v>
      </c>
      <c r="R593">
        <v>0</v>
      </c>
      <c r="S593">
        <v>-0.05010993353868776</v>
      </c>
      <c r="T593" t="s">
        <v>886</v>
      </c>
      <c r="U593">
        <v>-0.225454719462471</v>
      </c>
      <c r="V593" t="s">
        <v>978</v>
      </c>
      <c r="W593" t="s">
        <v>989</v>
      </c>
      <c r="X593">
        <v>15879.094145</v>
      </c>
      <c r="Y593" s="2">
        <v>44864</v>
      </c>
      <c r="Z593" t="s">
        <v>1000</v>
      </c>
    </row>
    <row r="594" spans="1:26">
      <c r="A594" s="1" t="s">
        <v>618</v>
      </c>
      <c r="B594">
        <f>HYPERLINK("https://www.suredividend.com/sure-analysis-KMI/","Kinder Morgan Inc")</f>
        <v>0</v>
      </c>
      <c r="C594" t="s">
        <v>869</v>
      </c>
      <c r="D594">
        <v>17.5</v>
      </c>
      <c r="E594">
        <v>18.17</v>
      </c>
      <c r="F594">
        <v>18.9</v>
      </c>
      <c r="G594">
        <v>0.9613756613756615</v>
      </c>
      <c r="H594">
        <v>0.06108970831040176</v>
      </c>
      <c r="I594">
        <v>0.0079091210855462</v>
      </c>
      <c r="J594">
        <v>0.032</v>
      </c>
      <c r="K594">
        <v>0.09213621259562577</v>
      </c>
      <c r="L594" t="s">
        <v>586</v>
      </c>
      <c r="M594" t="s">
        <v>873</v>
      </c>
      <c r="N594">
        <v>8.184684684684685</v>
      </c>
      <c r="O594">
        <v>2.22</v>
      </c>
      <c r="P594">
        <v>1.11</v>
      </c>
      <c r="Q594">
        <v>0.5</v>
      </c>
      <c r="R594">
        <v>5</v>
      </c>
      <c r="S594">
        <v>0.03210545800579934</v>
      </c>
      <c r="T594" t="s">
        <v>911</v>
      </c>
      <c r="U594">
        <v>0.153555579539466</v>
      </c>
      <c r="V594" t="s">
        <v>978</v>
      </c>
      <c r="W594" t="s">
        <v>991</v>
      </c>
      <c r="X594">
        <v>40841.47343</v>
      </c>
      <c r="Y594" s="2">
        <v>44858</v>
      </c>
      <c r="Z594" t="s">
        <v>999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870</v>
      </c>
      <c r="D595">
        <v>27</v>
      </c>
      <c r="E595">
        <v>26.52</v>
      </c>
      <c r="F595">
        <v>30</v>
      </c>
      <c r="G595">
        <v>0.884</v>
      </c>
      <c r="H595">
        <v>0.04147812971342384</v>
      </c>
      <c r="I595">
        <v>0.02496620700255958</v>
      </c>
      <c r="J595">
        <v>0.035</v>
      </c>
      <c r="K595">
        <v>0.09173763588566164</v>
      </c>
      <c r="L595" t="s">
        <v>586</v>
      </c>
      <c r="M595" t="s">
        <v>586</v>
      </c>
      <c r="N595">
        <v>11.33333333333333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886</v>
      </c>
      <c r="U595">
        <v>-0.003408403386607</v>
      </c>
      <c r="V595" t="s">
        <v>980</v>
      </c>
      <c r="W595" t="s">
        <v>992</v>
      </c>
      <c r="X595">
        <v>2981.464935</v>
      </c>
      <c r="Y595" s="2">
        <v>44793</v>
      </c>
      <c r="Z595" t="s">
        <v>997</v>
      </c>
    </row>
    <row r="596" spans="1:26">
      <c r="A596" s="1" t="s">
        <v>620</v>
      </c>
      <c r="B596">
        <f>HYPERLINK("https://www.suredividend.com/sure-analysis-PACW/","Pacwest Bancorp")</f>
        <v>0</v>
      </c>
      <c r="C596" t="s">
        <v>869</v>
      </c>
      <c r="D596">
        <v>22</v>
      </c>
      <c r="E596">
        <v>24.5</v>
      </c>
      <c r="F596">
        <v>34</v>
      </c>
      <c r="G596">
        <v>0.7205882352941176</v>
      </c>
      <c r="H596">
        <v>0.04081632653061224</v>
      </c>
      <c r="I596">
        <v>0.06773275669603174</v>
      </c>
      <c r="J596">
        <v>-0.01</v>
      </c>
      <c r="K596">
        <v>0.09062316126718661</v>
      </c>
      <c r="L596" t="s">
        <v>586</v>
      </c>
      <c r="M596" t="s">
        <v>568</v>
      </c>
      <c r="N596">
        <v>6.125</v>
      </c>
      <c r="O596">
        <v>4</v>
      </c>
      <c r="P596">
        <v>1</v>
      </c>
      <c r="Q596">
        <v>0.25</v>
      </c>
      <c r="R596">
        <v>0</v>
      </c>
      <c r="S596">
        <v>0.03012896281839894</v>
      </c>
      <c r="T596" t="s">
        <v>905</v>
      </c>
      <c r="U596">
        <v>-0.4862353000385841</v>
      </c>
      <c r="V596" t="s">
        <v>978</v>
      </c>
      <c r="W596" t="s">
        <v>986</v>
      </c>
      <c r="X596">
        <v>2885.408169</v>
      </c>
      <c r="Y596" s="2">
        <v>44858</v>
      </c>
      <c r="Z596" t="s">
        <v>1001</v>
      </c>
    </row>
    <row r="597" spans="1:26">
      <c r="A597" s="1" t="s">
        <v>621</v>
      </c>
      <c r="B597">
        <f>HYPERLINK("https://www.suredividend.com/sure-analysis-NHI/","National Health Investors, Inc.")</f>
        <v>0</v>
      </c>
      <c r="C597" t="s">
        <v>870</v>
      </c>
      <c r="D597">
        <v>64</v>
      </c>
      <c r="E597">
        <v>55.61</v>
      </c>
      <c r="F597">
        <v>59</v>
      </c>
      <c r="G597">
        <v>0.9425423728813559</v>
      </c>
      <c r="H597">
        <v>0.06473655817299047</v>
      </c>
      <c r="I597">
        <v>0.01190518983355426</v>
      </c>
      <c r="J597">
        <v>0.025</v>
      </c>
      <c r="K597">
        <v>0.08930276948986759</v>
      </c>
      <c r="L597" t="s">
        <v>586</v>
      </c>
      <c r="M597" t="s">
        <v>873</v>
      </c>
      <c r="N597">
        <v>12.33037694013304</v>
      </c>
      <c r="O597">
        <v>4.51</v>
      </c>
      <c r="P597">
        <v>3.6</v>
      </c>
      <c r="Q597">
        <v>0.7982261640798227</v>
      </c>
      <c r="R597">
        <v>0</v>
      </c>
      <c r="S597">
        <v>0.009805797673485328</v>
      </c>
      <c r="T597" t="s">
        <v>886</v>
      </c>
      <c r="U597">
        <v>0.108689887815177</v>
      </c>
      <c r="V597" t="s">
        <v>980</v>
      </c>
      <c r="W597" t="s">
        <v>992</v>
      </c>
      <c r="X597">
        <v>2483.273225</v>
      </c>
      <c r="Y597" s="2">
        <v>44782</v>
      </c>
      <c r="Z597" t="s">
        <v>998</v>
      </c>
    </row>
    <row r="598" spans="1:26">
      <c r="A598" s="1" t="s">
        <v>622</v>
      </c>
      <c r="B598">
        <f>HYPERLINK("https://www.suredividend.com/sure-analysis-MS/","Morgan Stanley")</f>
        <v>0</v>
      </c>
      <c r="C598" t="s">
        <v>869</v>
      </c>
      <c r="D598">
        <v>76</v>
      </c>
      <c r="E598">
        <v>84.84999999999999</v>
      </c>
      <c r="F598">
        <v>75</v>
      </c>
      <c r="G598">
        <v>1.131333333333333</v>
      </c>
      <c r="H598">
        <v>0.03653506187389511</v>
      </c>
      <c r="I598">
        <v>-0.02437732970810191</v>
      </c>
      <c r="J598">
        <v>0.08</v>
      </c>
      <c r="K598">
        <v>0.08878729367929594</v>
      </c>
      <c r="L598" t="s">
        <v>586</v>
      </c>
      <c r="M598" t="s">
        <v>586</v>
      </c>
      <c r="N598">
        <v>13.05384615384615</v>
      </c>
      <c r="O598">
        <v>6.5</v>
      </c>
      <c r="P598">
        <v>3.1</v>
      </c>
      <c r="Q598">
        <v>0.4769230769230769</v>
      </c>
      <c r="R598">
        <v>9</v>
      </c>
      <c r="S598">
        <v>0.07976672700723597</v>
      </c>
      <c r="T598" t="s">
        <v>911</v>
      </c>
      <c r="U598">
        <v>-0.119794103398518</v>
      </c>
      <c r="V598" t="s">
        <v>978</v>
      </c>
      <c r="W598" t="s">
        <v>986</v>
      </c>
      <c r="X598">
        <v>145672.712149</v>
      </c>
      <c r="Y598" s="2">
        <v>44848</v>
      </c>
      <c r="Z598" t="s">
        <v>1000</v>
      </c>
    </row>
    <row r="599" spans="1:26">
      <c r="A599" s="1" t="s">
        <v>623</v>
      </c>
      <c r="B599">
        <f>HYPERLINK("https://www.suredividend.com/sure-analysis-KRG/","Kite Realty Group Trust")</f>
        <v>0</v>
      </c>
      <c r="C599" t="s">
        <v>869</v>
      </c>
      <c r="D599">
        <v>19</v>
      </c>
      <c r="E599">
        <v>21.11</v>
      </c>
      <c r="F599">
        <v>22</v>
      </c>
      <c r="G599">
        <v>0.9595454545454545</v>
      </c>
      <c r="H599">
        <v>0.03789673140691616</v>
      </c>
      <c r="I599">
        <v>0.008293318907945046</v>
      </c>
      <c r="J599">
        <v>0.05</v>
      </c>
      <c r="K599">
        <v>0.08809433965763525</v>
      </c>
      <c r="L599" t="s">
        <v>586</v>
      </c>
      <c r="M599" t="s">
        <v>586</v>
      </c>
      <c r="N599">
        <v>11.53551912568306</v>
      </c>
      <c r="O599">
        <v>1.83</v>
      </c>
      <c r="P599">
        <v>0.8</v>
      </c>
      <c r="Q599">
        <v>0.4371584699453552</v>
      </c>
      <c r="R599">
        <v>2</v>
      </c>
      <c r="S599">
        <v>0.009805797673485328</v>
      </c>
      <c r="T599" t="s">
        <v>885</v>
      </c>
      <c r="U599">
        <v>0.032203174354811</v>
      </c>
      <c r="V599" t="s">
        <v>980</v>
      </c>
      <c r="W599" t="s">
        <v>992</v>
      </c>
      <c r="X599">
        <v>4621.946767</v>
      </c>
      <c r="Y599" s="2">
        <v>44776</v>
      </c>
      <c r="Z599" t="s">
        <v>998</v>
      </c>
    </row>
    <row r="600" spans="1:26">
      <c r="A600" s="1" t="s">
        <v>624</v>
      </c>
      <c r="B600">
        <f>HYPERLINK("https://www.suredividend.com/sure-analysis-DOC/","Physicians Realty Trust")</f>
        <v>0</v>
      </c>
      <c r="C600" t="s">
        <v>870</v>
      </c>
      <c r="D600">
        <v>17.24</v>
      </c>
      <c r="E600">
        <v>14.38</v>
      </c>
      <c r="F600">
        <v>15.9</v>
      </c>
      <c r="G600">
        <v>0.9044025157232705</v>
      </c>
      <c r="H600">
        <v>0.06397774687065369</v>
      </c>
      <c r="I600">
        <v>0.02029943851634597</v>
      </c>
      <c r="J600">
        <v>0.017</v>
      </c>
      <c r="K600">
        <v>0.08775242556729679</v>
      </c>
      <c r="L600" t="s">
        <v>586</v>
      </c>
      <c r="M600" t="s">
        <v>873</v>
      </c>
      <c r="N600">
        <v>13.56603773584906</v>
      </c>
      <c r="O600">
        <v>1.06</v>
      </c>
      <c r="P600">
        <v>0.92</v>
      </c>
      <c r="Q600">
        <v>0.8679245283018868</v>
      </c>
      <c r="R600">
        <v>0</v>
      </c>
      <c r="S600">
        <v>0</v>
      </c>
      <c r="T600" t="s">
        <v>923</v>
      </c>
      <c r="U600">
        <v>-0.188995606589551</v>
      </c>
      <c r="V600" t="s">
        <v>980</v>
      </c>
      <c r="W600" t="s">
        <v>992</v>
      </c>
      <c r="X600">
        <v>3254.49319</v>
      </c>
      <c r="Y600" s="2">
        <v>44778</v>
      </c>
      <c r="Z600" t="s">
        <v>993</v>
      </c>
    </row>
    <row r="601" spans="1:26">
      <c r="A601" s="1" t="s">
        <v>625</v>
      </c>
      <c r="B601">
        <f>HYPERLINK("https://www.suredividend.com/sure-analysis-NSP/","Insperity Inc")</f>
        <v>0</v>
      </c>
      <c r="C601" t="s">
        <v>870</v>
      </c>
      <c r="D601">
        <v>109</v>
      </c>
      <c r="E601">
        <v>113.26</v>
      </c>
      <c r="F601">
        <v>109</v>
      </c>
      <c r="G601">
        <v>1.03908256880734</v>
      </c>
      <c r="H601">
        <v>0.01836482429807523</v>
      </c>
      <c r="I601">
        <v>-0.007638314362372833</v>
      </c>
      <c r="J601">
        <v>0.08</v>
      </c>
      <c r="K601">
        <v>0.08741962662947533</v>
      </c>
      <c r="L601" t="s">
        <v>586</v>
      </c>
      <c r="M601" t="s">
        <v>637</v>
      </c>
      <c r="N601">
        <v>22.7887323943662</v>
      </c>
      <c r="O601">
        <v>4.97</v>
      </c>
      <c r="P601">
        <v>2.08</v>
      </c>
      <c r="Q601">
        <v>0.4185110663983904</v>
      </c>
      <c r="R601">
        <v>15</v>
      </c>
      <c r="S601">
        <v>0.04963065931551602</v>
      </c>
      <c r="T601" t="s">
        <v>901</v>
      </c>
      <c r="U601">
        <v>-0.03796006081764</v>
      </c>
      <c r="V601" t="s">
        <v>978</v>
      </c>
      <c r="W601" t="s">
        <v>986</v>
      </c>
      <c r="X601">
        <v>4296.443462</v>
      </c>
      <c r="Y601" s="2">
        <v>44775</v>
      </c>
      <c r="Z601" t="s">
        <v>998</v>
      </c>
    </row>
    <row r="602" spans="1:26">
      <c r="A602" s="1" t="s">
        <v>626</v>
      </c>
      <c r="B602">
        <f>HYPERLINK("https://www.suredividend.com/sure-analysis-DOW/","Dow Inc")</f>
        <v>0</v>
      </c>
      <c r="C602" t="s">
        <v>870</v>
      </c>
      <c r="D602">
        <v>47</v>
      </c>
      <c r="E602">
        <v>49.03</v>
      </c>
      <c r="F602">
        <v>70</v>
      </c>
      <c r="G602">
        <v>0.7004285714285714</v>
      </c>
      <c r="H602">
        <v>0.05710789312665714</v>
      </c>
      <c r="I602">
        <v>0.07380946910105513</v>
      </c>
      <c r="J602">
        <v>-0.03</v>
      </c>
      <c r="K602">
        <v>0.08613698751562349</v>
      </c>
      <c r="L602" t="s">
        <v>586</v>
      </c>
      <c r="M602" t="s">
        <v>568</v>
      </c>
      <c r="N602">
        <v>7.6609375</v>
      </c>
      <c r="O602">
        <v>6.4</v>
      </c>
      <c r="P602">
        <v>2.8</v>
      </c>
      <c r="Q602">
        <v>0.4374999999999999</v>
      </c>
      <c r="R602">
        <v>0</v>
      </c>
      <c r="S602">
        <v>0</v>
      </c>
      <c r="T602" t="s">
        <v>881</v>
      </c>
      <c r="U602">
        <v>-0.100442898397566</v>
      </c>
      <c r="V602" t="s">
        <v>978</v>
      </c>
      <c r="W602" t="s">
        <v>989</v>
      </c>
      <c r="X602">
        <v>34505.316959</v>
      </c>
      <c r="Y602" s="2">
        <v>44859</v>
      </c>
      <c r="Z602" t="s">
        <v>1001</v>
      </c>
    </row>
    <row r="603" spans="1:26">
      <c r="A603" s="1" t="s">
        <v>627</v>
      </c>
      <c r="B603">
        <f>HYPERLINK("https://www.suredividend.com/sure-analysis-GLW/","Corning, Inc.")</f>
        <v>0</v>
      </c>
      <c r="C603" t="s">
        <v>870</v>
      </c>
      <c r="D603">
        <v>31</v>
      </c>
      <c r="E603">
        <v>32.89</v>
      </c>
      <c r="F603">
        <v>34</v>
      </c>
      <c r="G603">
        <v>0.9673529411764706</v>
      </c>
      <c r="H603">
        <v>0.0328367284889024</v>
      </c>
      <c r="I603">
        <v>0.006660455717959923</v>
      </c>
      <c r="J603">
        <v>0.05</v>
      </c>
      <c r="K603">
        <v>0.08603813407173688</v>
      </c>
      <c r="L603" t="s">
        <v>586</v>
      </c>
      <c r="M603" t="s">
        <v>586</v>
      </c>
      <c r="N603">
        <v>15.73684210526316</v>
      </c>
      <c r="O603">
        <v>2.09</v>
      </c>
      <c r="P603">
        <v>1.08</v>
      </c>
      <c r="Q603">
        <v>0.5167464114832536</v>
      </c>
      <c r="R603">
        <v>12</v>
      </c>
      <c r="S603">
        <v>0.05176377560965295</v>
      </c>
      <c r="T603" t="s">
        <v>881</v>
      </c>
      <c r="U603">
        <v>-0.077085396959909</v>
      </c>
      <c r="V603" t="s">
        <v>978</v>
      </c>
      <c r="W603" t="s">
        <v>982</v>
      </c>
      <c r="X603">
        <v>27818.736157</v>
      </c>
      <c r="Y603" s="2">
        <v>44861</v>
      </c>
      <c r="Z603" t="s">
        <v>998</v>
      </c>
    </row>
    <row r="604" spans="1:26">
      <c r="A604" s="1" t="s">
        <v>628</v>
      </c>
      <c r="B604">
        <f>HYPERLINK("https://www.suredividend.com/sure-analysis-ARE/","Alexandria Real Estate Equities Inc.")</f>
        <v>0</v>
      </c>
      <c r="C604" t="s">
        <v>870</v>
      </c>
      <c r="D604">
        <v>140</v>
      </c>
      <c r="E604">
        <v>145.9</v>
      </c>
      <c r="F604">
        <v>151</v>
      </c>
      <c r="G604">
        <v>0.9662251655629139</v>
      </c>
      <c r="H604">
        <v>0.03235092529129541</v>
      </c>
      <c r="I604">
        <v>0.006895340397579108</v>
      </c>
      <c r="J604">
        <v>0.05</v>
      </c>
      <c r="K604">
        <v>0.08570002678939903</v>
      </c>
      <c r="L604" t="s">
        <v>586</v>
      </c>
      <c r="M604" t="s">
        <v>586</v>
      </c>
      <c r="N604">
        <v>17.34839476813318</v>
      </c>
      <c r="O604">
        <v>8.41</v>
      </c>
      <c r="P604">
        <v>4.72</v>
      </c>
      <c r="Q604">
        <v>0.5612366230677764</v>
      </c>
      <c r="R604">
        <v>12</v>
      </c>
      <c r="S604">
        <v>0.04985881365701572</v>
      </c>
      <c r="T604" t="s">
        <v>886</v>
      </c>
      <c r="U604">
        <v>-0.272468699698615</v>
      </c>
      <c r="V604" t="s">
        <v>980</v>
      </c>
      <c r="W604" t="s">
        <v>992</v>
      </c>
      <c r="X604">
        <v>23940.333568</v>
      </c>
      <c r="Y604" s="2">
        <v>44861</v>
      </c>
      <c r="Z604" t="s">
        <v>998</v>
      </c>
    </row>
    <row r="605" spans="1:26">
      <c r="A605" s="1" t="s">
        <v>629</v>
      </c>
      <c r="B605">
        <f>HYPERLINK("https://www.suredividend.com/sure-analysis-TS/","Tenaris S.A.")</f>
        <v>0</v>
      </c>
      <c r="C605" t="s">
        <v>869</v>
      </c>
      <c r="D605">
        <v>26</v>
      </c>
      <c r="E605">
        <v>33.07</v>
      </c>
      <c r="F605">
        <v>44</v>
      </c>
      <c r="G605">
        <v>0.7515909090909091</v>
      </c>
      <c r="H605">
        <v>0.0338675536740248</v>
      </c>
      <c r="I605">
        <v>0.05877504439303483</v>
      </c>
      <c r="J605">
        <v>0</v>
      </c>
      <c r="K605">
        <v>0.08444990816981557</v>
      </c>
      <c r="L605" t="s">
        <v>586</v>
      </c>
      <c r="M605" t="s">
        <v>586</v>
      </c>
      <c r="N605">
        <v>9.871641791044777</v>
      </c>
      <c r="O605">
        <v>3.35</v>
      </c>
      <c r="P605">
        <v>1.12</v>
      </c>
      <c r="Q605">
        <v>0.3343283582089552</v>
      </c>
      <c r="R605">
        <v>2</v>
      </c>
      <c r="S605">
        <v>0</v>
      </c>
      <c r="T605" t="s">
        <v>968</v>
      </c>
      <c r="U605">
        <v>0.420056853803278</v>
      </c>
      <c r="V605" t="s">
        <v>978</v>
      </c>
      <c r="W605" t="s">
        <v>991</v>
      </c>
      <c r="X605">
        <v>19520.176484</v>
      </c>
      <c r="Y605" s="2">
        <v>44779</v>
      </c>
      <c r="Z605" t="s">
        <v>1001</v>
      </c>
    </row>
    <row r="606" spans="1:26">
      <c r="A606" s="1" t="s">
        <v>630</v>
      </c>
      <c r="B606">
        <f>HYPERLINK("https://www.suredividend.com/sure-analysis-CAJ/","Canon Inc.")</f>
        <v>0</v>
      </c>
      <c r="C606" t="s">
        <v>870</v>
      </c>
      <c r="D606">
        <v>25</v>
      </c>
      <c r="E606">
        <v>21.55</v>
      </c>
      <c r="F606">
        <v>24</v>
      </c>
      <c r="G606">
        <v>0.8979166666666667</v>
      </c>
      <c r="H606">
        <v>0.03990719257540603</v>
      </c>
      <c r="I606">
        <v>0.02176916749189006</v>
      </c>
      <c r="J606">
        <v>0.03</v>
      </c>
      <c r="K606">
        <v>0.08391327896937528</v>
      </c>
      <c r="L606" t="s">
        <v>586</v>
      </c>
      <c r="M606" t="s">
        <v>586</v>
      </c>
      <c r="N606">
        <v>10.775</v>
      </c>
      <c r="O606">
        <v>2</v>
      </c>
      <c r="P606">
        <v>0.86</v>
      </c>
      <c r="Q606">
        <v>0.43</v>
      </c>
      <c r="R606">
        <v>1</v>
      </c>
      <c r="S606">
        <v>0.00913393693363318</v>
      </c>
      <c r="T606" t="s">
        <v>969</v>
      </c>
      <c r="U606">
        <v>-0.032747446094184</v>
      </c>
      <c r="V606" t="s">
        <v>978</v>
      </c>
      <c r="W606" t="s">
        <v>982</v>
      </c>
      <c r="X606">
        <v>28742.602649</v>
      </c>
      <c r="Y606" s="2">
        <v>44798</v>
      </c>
      <c r="Z606" t="s">
        <v>994</v>
      </c>
    </row>
    <row r="607" spans="1:26">
      <c r="A607" s="1" t="s">
        <v>631</v>
      </c>
      <c r="B607">
        <f>HYPERLINK("https://www.suredividend.com/sure-analysis-MAA/","Mid-America Apartment Communities, Inc.")</f>
        <v>0</v>
      </c>
      <c r="C607" t="s">
        <v>870</v>
      </c>
      <c r="D607">
        <v>157</v>
      </c>
      <c r="E607">
        <v>153.72</v>
      </c>
      <c r="F607">
        <v>156</v>
      </c>
      <c r="G607">
        <v>0.9853846153846154</v>
      </c>
      <c r="H607">
        <v>0.03252667187093417</v>
      </c>
      <c r="I607">
        <v>0.002948988046034717</v>
      </c>
      <c r="J607">
        <v>0.05</v>
      </c>
      <c r="K607">
        <v>0.08277169103125659</v>
      </c>
      <c r="L607" t="s">
        <v>586</v>
      </c>
      <c r="M607" t="s">
        <v>586</v>
      </c>
      <c r="N607">
        <v>18.3</v>
      </c>
      <c r="O607">
        <v>8.4</v>
      </c>
      <c r="P607">
        <v>5</v>
      </c>
      <c r="Q607">
        <v>0.5952380952380952</v>
      </c>
      <c r="R607">
        <v>11</v>
      </c>
      <c r="S607">
        <v>0.0577367579889172</v>
      </c>
      <c r="T607" t="s">
        <v>910</v>
      </c>
      <c r="U607">
        <v>-0.212757708926227</v>
      </c>
      <c r="V607" t="s">
        <v>980</v>
      </c>
      <c r="W607" t="s">
        <v>992</v>
      </c>
      <c r="X607">
        <v>17751.127207</v>
      </c>
      <c r="Y607" s="2">
        <v>44865</v>
      </c>
      <c r="Z607" t="s">
        <v>996</v>
      </c>
    </row>
    <row r="608" spans="1:26">
      <c r="A608" s="1" t="s">
        <v>632</v>
      </c>
      <c r="B608">
        <f>HYPERLINK("https://www.suredividend.com/sure-analysis-GOLD/","Barrick Gold Corp.")</f>
        <v>0</v>
      </c>
      <c r="C608" t="s">
        <v>870</v>
      </c>
      <c r="D608">
        <v>16</v>
      </c>
      <c r="E608">
        <v>14.2</v>
      </c>
      <c r="F608">
        <v>19</v>
      </c>
      <c r="G608">
        <v>0.7473684210526316</v>
      </c>
      <c r="H608">
        <v>0.02816901408450705</v>
      </c>
      <c r="I608">
        <v>0.05996872493653238</v>
      </c>
      <c r="J608">
        <v>0</v>
      </c>
      <c r="K608">
        <v>0.08261700158833585</v>
      </c>
      <c r="L608" t="s">
        <v>586</v>
      </c>
      <c r="M608" t="s">
        <v>586</v>
      </c>
      <c r="N608">
        <v>13.52380952380952</v>
      </c>
      <c r="O608">
        <v>1.05</v>
      </c>
      <c r="P608">
        <v>0.4</v>
      </c>
      <c r="Q608">
        <v>0.3809523809523809</v>
      </c>
      <c r="R608">
        <v>6</v>
      </c>
      <c r="S608">
        <v>0.01924487649145656</v>
      </c>
      <c r="T608" t="s">
        <v>881</v>
      </c>
      <c r="U608">
        <v>-0.225085404319876</v>
      </c>
      <c r="V608" t="s">
        <v>978</v>
      </c>
      <c r="W608" t="s">
        <v>989</v>
      </c>
      <c r="X608">
        <v>25020.903859</v>
      </c>
      <c r="Y608" s="2">
        <v>44794</v>
      </c>
      <c r="Z608" t="s">
        <v>1001</v>
      </c>
    </row>
    <row r="609" spans="1:26">
      <c r="A609" s="1" t="s">
        <v>633</v>
      </c>
      <c r="B609">
        <f>HYPERLINK("https://www.suredividend.com/sure-analysis-SUUIF/","Superior Plus Corp")</f>
        <v>0</v>
      </c>
      <c r="C609" t="s">
        <v>870</v>
      </c>
      <c r="D609">
        <v>8.4</v>
      </c>
      <c r="E609">
        <v>7.58</v>
      </c>
      <c r="F609">
        <v>8.4</v>
      </c>
      <c r="G609">
        <v>0.9023809523809524</v>
      </c>
      <c r="H609">
        <v>0.07519788918205804</v>
      </c>
      <c r="I609">
        <v>0.02075617557807563</v>
      </c>
      <c r="J609">
        <v>0</v>
      </c>
      <c r="K609">
        <v>0.08217292323234804</v>
      </c>
      <c r="L609" t="s">
        <v>586</v>
      </c>
      <c r="M609" t="s">
        <v>873</v>
      </c>
      <c r="N609">
        <v>6.591304347826087</v>
      </c>
      <c r="O609">
        <v>1.15</v>
      </c>
      <c r="P609">
        <v>0.57</v>
      </c>
      <c r="Q609">
        <v>0.4956521739130434</v>
      </c>
      <c r="R609">
        <v>0</v>
      </c>
      <c r="S609">
        <v>0</v>
      </c>
      <c r="T609" t="s">
        <v>911</v>
      </c>
      <c r="U609">
        <v>-0.328014184397163</v>
      </c>
      <c r="V609" t="s">
        <v>978</v>
      </c>
      <c r="W609" t="s">
        <v>987</v>
      </c>
      <c r="X609">
        <v>1528.976861</v>
      </c>
      <c r="Y609" s="2">
        <v>44787</v>
      </c>
      <c r="Z609" t="s">
        <v>1000</v>
      </c>
    </row>
    <row r="610" spans="1:26">
      <c r="A610" s="1" t="s">
        <v>634</v>
      </c>
      <c r="B610">
        <f>HYPERLINK("https://www.suredividend.com/sure-analysis-VALE/","Vale S.A.")</f>
        <v>0</v>
      </c>
      <c r="C610" t="s">
        <v>869</v>
      </c>
      <c r="D610">
        <v>13</v>
      </c>
      <c r="E610">
        <v>14.39</v>
      </c>
      <c r="F610">
        <v>21</v>
      </c>
      <c r="G610">
        <v>0.6852380952380953</v>
      </c>
      <c r="H610">
        <v>0.09589993050729673</v>
      </c>
      <c r="I610">
        <v>0.07852868472585439</v>
      </c>
      <c r="J610">
        <v>-0.05</v>
      </c>
      <c r="K610">
        <v>0.08178069508827424</v>
      </c>
      <c r="L610" t="s">
        <v>586</v>
      </c>
      <c r="M610" t="s">
        <v>873</v>
      </c>
      <c r="N610">
        <v>4.111428571428571</v>
      </c>
      <c r="O610">
        <v>3.5</v>
      </c>
      <c r="P610">
        <v>1.38</v>
      </c>
      <c r="Q610">
        <v>0.3942857142857142</v>
      </c>
      <c r="R610">
        <v>0</v>
      </c>
      <c r="S610">
        <v>-0.1010797032328465</v>
      </c>
      <c r="T610" t="s">
        <v>905</v>
      </c>
      <c r="U610">
        <v>0.293960021221304</v>
      </c>
      <c r="V610" t="s">
        <v>978</v>
      </c>
      <c r="W610" t="s">
        <v>989</v>
      </c>
      <c r="X610">
        <v>68768.21632199999</v>
      </c>
      <c r="Y610" s="2">
        <v>44866</v>
      </c>
      <c r="Z610" t="s">
        <v>994</v>
      </c>
    </row>
    <row r="611" spans="1:26">
      <c r="A611" s="1" t="s">
        <v>635</v>
      </c>
      <c r="B611">
        <f>HYPERLINK("https://www.suredividend.com/sure-analysis-TAP/","Molson Coors Beverage Company")</f>
        <v>0</v>
      </c>
      <c r="C611" t="s">
        <v>870</v>
      </c>
      <c r="D611">
        <v>54</v>
      </c>
      <c r="E611">
        <v>51.2</v>
      </c>
      <c r="F611">
        <v>55</v>
      </c>
      <c r="G611">
        <v>0.9309090909090909</v>
      </c>
      <c r="H611">
        <v>0.0296875</v>
      </c>
      <c r="I611">
        <v>0.01442173470290631</v>
      </c>
      <c r="J611">
        <v>0.04</v>
      </c>
      <c r="K611">
        <v>0.08071798059125435</v>
      </c>
      <c r="L611" t="s">
        <v>586</v>
      </c>
      <c r="M611" t="s">
        <v>586</v>
      </c>
      <c r="N611">
        <v>13.06122448979592</v>
      </c>
      <c r="O611">
        <v>3.92</v>
      </c>
      <c r="P611">
        <v>1.52</v>
      </c>
      <c r="Q611">
        <v>0.3877551020408163</v>
      </c>
      <c r="R611">
        <v>2</v>
      </c>
      <c r="S611">
        <v>0.04007732447526613</v>
      </c>
      <c r="T611" t="s">
        <v>889</v>
      </c>
      <c r="U611">
        <v>0.141239537708827</v>
      </c>
      <c r="V611" t="s">
        <v>978</v>
      </c>
      <c r="W611" t="s">
        <v>990</v>
      </c>
      <c r="X611">
        <v>752.2732569999999</v>
      </c>
      <c r="Y611" s="2">
        <v>44775</v>
      </c>
      <c r="Z611" t="s">
        <v>998</v>
      </c>
    </row>
    <row r="612" spans="1:26">
      <c r="A612" s="1" t="s">
        <v>636</v>
      </c>
      <c r="B612">
        <f>HYPERLINK("https://www.suredividend.com/sure-analysis-PM/","Philip Morris International Inc")</f>
        <v>0</v>
      </c>
      <c r="C612" t="s">
        <v>870</v>
      </c>
      <c r="D612">
        <v>85</v>
      </c>
      <c r="E612">
        <v>89.98</v>
      </c>
      <c r="F612">
        <v>90</v>
      </c>
      <c r="G612">
        <v>0.9997777777777779</v>
      </c>
      <c r="H612">
        <v>0.05645699044232051</v>
      </c>
      <c r="I612">
        <v>4.44503713361577E-05</v>
      </c>
      <c r="J612">
        <v>0.03</v>
      </c>
      <c r="K612">
        <v>0.07984738045298578</v>
      </c>
      <c r="L612" t="s">
        <v>586</v>
      </c>
      <c r="M612" t="s">
        <v>873</v>
      </c>
      <c r="N612">
        <v>17.04166666666667</v>
      </c>
      <c r="O612">
        <v>5.28</v>
      </c>
      <c r="P612">
        <v>5.08</v>
      </c>
      <c r="Q612">
        <v>0.962121212121212</v>
      </c>
      <c r="R612">
        <v>15</v>
      </c>
      <c r="S612">
        <v>0.03003104979026405</v>
      </c>
      <c r="T612" t="s">
        <v>937</v>
      </c>
      <c r="U612">
        <v>0.012721483584075</v>
      </c>
      <c r="V612" t="s">
        <v>978</v>
      </c>
      <c r="W612" t="s">
        <v>990</v>
      </c>
      <c r="X612">
        <v>139487.203404</v>
      </c>
      <c r="Y612" s="2">
        <v>44855</v>
      </c>
      <c r="Z612" t="s">
        <v>1000</v>
      </c>
    </row>
    <row r="613" spans="1:26">
      <c r="A613" s="1" t="s">
        <v>637</v>
      </c>
      <c r="B613">
        <f>HYPERLINK("https://www.suredividend.com/sure-analysis-F/","Ford Motor Co.")</f>
        <v>0</v>
      </c>
      <c r="C613" t="s">
        <v>870</v>
      </c>
      <c r="D613">
        <v>15.3</v>
      </c>
      <c r="E613">
        <v>13.51</v>
      </c>
      <c r="F613">
        <v>16.8</v>
      </c>
      <c r="G613">
        <v>0.8041666666666666</v>
      </c>
      <c r="H613">
        <v>0.04441154700222057</v>
      </c>
      <c r="I613">
        <v>0.04455373555198094</v>
      </c>
      <c r="J613">
        <v>0</v>
      </c>
      <c r="K613">
        <v>0.07944860209733617</v>
      </c>
      <c r="L613" t="s">
        <v>586</v>
      </c>
      <c r="M613" t="s">
        <v>568</v>
      </c>
      <c r="N613">
        <v>6.433333333333333</v>
      </c>
      <c r="O613">
        <v>2.1</v>
      </c>
      <c r="P613">
        <v>0.6</v>
      </c>
      <c r="Q613">
        <v>0.2857142857142857</v>
      </c>
      <c r="R613">
        <v>1</v>
      </c>
      <c r="S613">
        <v>0</v>
      </c>
      <c r="T613" t="s">
        <v>898</v>
      </c>
      <c r="U613">
        <v>-0.285495181984535</v>
      </c>
      <c r="V613" t="s">
        <v>978</v>
      </c>
      <c r="W613" t="s">
        <v>983</v>
      </c>
      <c r="X613">
        <v>53359.663731</v>
      </c>
      <c r="Y613" s="2">
        <v>44779</v>
      </c>
      <c r="Z613" t="s">
        <v>1001</v>
      </c>
    </row>
    <row r="614" spans="1:26">
      <c r="A614" s="1" t="s">
        <v>638</v>
      </c>
      <c r="B614">
        <f>HYPERLINK("https://www.suredividend.com/sure-analysis-BBD/","Banco Bradesco S.A.")</f>
        <v>0</v>
      </c>
      <c r="C614" t="s">
        <v>870</v>
      </c>
      <c r="D614">
        <v>3.57</v>
      </c>
      <c r="E614">
        <v>3.84</v>
      </c>
      <c r="F614">
        <v>4.59</v>
      </c>
      <c r="G614">
        <v>0.8366013071895425</v>
      </c>
      <c r="H614">
        <v>0.05208333333333334</v>
      </c>
      <c r="I614">
        <v>0.0363257568172124</v>
      </c>
      <c r="J614">
        <v>0</v>
      </c>
      <c r="K614">
        <v>0.0779934367535291</v>
      </c>
      <c r="L614" t="s">
        <v>586</v>
      </c>
      <c r="M614" t="s">
        <v>568</v>
      </c>
      <c r="N614">
        <v>7.529411764705882</v>
      </c>
      <c r="O614">
        <v>0.51</v>
      </c>
      <c r="P614">
        <v>0.2</v>
      </c>
      <c r="Q614">
        <v>0.392156862745098</v>
      </c>
      <c r="R614">
        <v>1</v>
      </c>
      <c r="S614">
        <v>0</v>
      </c>
      <c r="T614" t="s">
        <v>915</v>
      </c>
      <c r="U614">
        <v>0.254614957362694</v>
      </c>
      <c r="V614" t="s">
        <v>978</v>
      </c>
      <c r="W614" t="s">
        <v>986</v>
      </c>
      <c r="X614">
        <v>36871.414678</v>
      </c>
      <c r="Y614" s="2">
        <v>44780</v>
      </c>
      <c r="Z614" t="s">
        <v>1000</v>
      </c>
    </row>
    <row r="615" spans="1:26">
      <c r="A615" s="1" t="s">
        <v>639</v>
      </c>
      <c r="B615">
        <f>HYPERLINK("https://www.suredividend.com/sure-analysis-WFC/","Wells Fargo &amp; Co.")</f>
        <v>0</v>
      </c>
      <c r="C615" t="s">
        <v>870</v>
      </c>
      <c r="D615">
        <v>43</v>
      </c>
      <c r="E615">
        <v>46.74</v>
      </c>
      <c r="F615">
        <v>46</v>
      </c>
      <c r="G615">
        <v>1.016086956521739</v>
      </c>
      <c r="H615">
        <v>0.02567394094993581</v>
      </c>
      <c r="I615">
        <v>-0.003186698188781478</v>
      </c>
      <c r="J615">
        <v>0.05</v>
      </c>
      <c r="K615">
        <v>0.07787771356541451</v>
      </c>
      <c r="L615" t="s">
        <v>586</v>
      </c>
      <c r="M615" t="s">
        <v>586</v>
      </c>
      <c r="N615">
        <v>11.685</v>
      </c>
      <c r="O615">
        <v>4</v>
      </c>
      <c r="P615">
        <v>1.2</v>
      </c>
      <c r="Q615">
        <v>0.3</v>
      </c>
      <c r="R615">
        <v>1</v>
      </c>
      <c r="S615">
        <v>0.1496540121887568</v>
      </c>
      <c r="T615" t="s">
        <v>915</v>
      </c>
      <c r="U615">
        <v>-0.054967184675668</v>
      </c>
      <c r="V615" t="s">
        <v>978</v>
      </c>
      <c r="W615" t="s">
        <v>986</v>
      </c>
      <c r="X615">
        <v>178102.344573</v>
      </c>
      <c r="Y615" s="2">
        <v>44851</v>
      </c>
      <c r="Z615" t="s">
        <v>1001</v>
      </c>
    </row>
    <row r="616" spans="1:26">
      <c r="A616" s="1" t="s">
        <v>640</v>
      </c>
      <c r="B616">
        <f>HYPERLINK("https://www.suredividend.com/sure-analysis-ITUB/","Itau Unibanco Holding S.A.")</f>
        <v>0</v>
      </c>
      <c r="C616" t="s">
        <v>869</v>
      </c>
      <c r="D616">
        <v>5.1</v>
      </c>
      <c r="E616">
        <v>5.97</v>
      </c>
      <c r="F616">
        <v>6.1</v>
      </c>
      <c r="G616">
        <v>0.978688524590164</v>
      </c>
      <c r="H616">
        <v>0.03015075376884422</v>
      </c>
      <c r="I616">
        <v>0.004317663118670323</v>
      </c>
      <c r="J616">
        <v>0.05</v>
      </c>
      <c r="K616">
        <v>0.07785979798440534</v>
      </c>
      <c r="L616" t="s">
        <v>586</v>
      </c>
      <c r="M616" t="s">
        <v>586</v>
      </c>
      <c r="N616">
        <v>9.786885245901638</v>
      </c>
      <c r="O616">
        <v>0.61</v>
      </c>
      <c r="P616">
        <v>0.18</v>
      </c>
      <c r="Q616">
        <v>0.2950819672131147</v>
      </c>
      <c r="R616">
        <v>0</v>
      </c>
      <c r="S616">
        <v>0</v>
      </c>
      <c r="T616" t="s">
        <v>922</v>
      </c>
      <c r="U616">
        <v>0.518272678721293</v>
      </c>
      <c r="V616" t="s">
        <v>978</v>
      </c>
      <c r="W616" t="s">
        <v>986</v>
      </c>
      <c r="X616">
        <v>28929.694584</v>
      </c>
      <c r="Y616" s="2">
        <v>44794</v>
      </c>
      <c r="Z616" t="s">
        <v>997</v>
      </c>
    </row>
    <row r="617" spans="1:26">
      <c r="A617" s="1" t="s">
        <v>641</v>
      </c>
      <c r="B617">
        <f>HYPERLINK("https://www.suredividend.com/sure-analysis-ET/","Energy Transfer LP")</f>
        <v>0</v>
      </c>
      <c r="C617" t="s">
        <v>870</v>
      </c>
      <c r="D617">
        <v>12</v>
      </c>
      <c r="E617">
        <v>12.3</v>
      </c>
      <c r="F617">
        <v>11</v>
      </c>
      <c r="G617">
        <v>1.118181818181818</v>
      </c>
      <c r="H617">
        <v>0.08617886178861789</v>
      </c>
      <c r="I617">
        <v>-0.02209309038071061</v>
      </c>
      <c r="J617">
        <v>0.02</v>
      </c>
      <c r="K617">
        <v>0.07742058240217964</v>
      </c>
      <c r="L617" t="s">
        <v>586</v>
      </c>
      <c r="M617" t="s">
        <v>873</v>
      </c>
      <c r="N617">
        <v>5.347826086956522</v>
      </c>
      <c r="O617">
        <v>2.3</v>
      </c>
      <c r="P617">
        <v>1.06</v>
      </c>
      <c r="Q617">
        <v>0.4608695652173914</v>
      </c>
      <c r="R617">
        <v>1</v>
      </c>
      <c r="S617">
        <v>0.02512087219852699</v>
      </c>
      <c r="T617" t="s">
        <v>915</v>
      </c>
      <c r="U617">
        <v>0.439000421170855</v>
      </c>
      <c r="V617" t="s">
        <v>979</v>
      </c>
      <c r="W617" t="s">
        <v>991</v>
      </c>
      <c r="X617">
        <v>37988.244124</v>
      </c>
      <c r="Y617" s="2">
        <v>44870</v>
      </c>
      <c r="Z617" t="s">
        <v>996</v>
      </c>
    </row>
    <row r="618" spans="1:26">
      <c r="A618" s="1" t="s">
        <v>642</v>
      </c>
      <c r="B618">
        <f>HYPERLINK("https://www.suredividend.com/sure-analysis-JNPR/","Juniper Networks Inc")</f>
        <v>0</v>
      </c>
      <c r="C618" t="s">
        <v>870</v>
      </c>
      <c r="D618">
        <v>31</v>
      </c>
      <c r="E618">
        <v>30.12</v>
      </c>
      <c r="F618">
        <v>29</v>
      </c>
      <c r="G618">
        <v>1.038620689655172</v>
      </c>
      <c r="H618">
        <v>0.02788844621513944</v>
      </c>
      <c r="I618">
        <v>-0.007550068544046495</v>
      </c>
      <c r="J618">
        <v>0.06</v>
      </c>
      <c r="K618">
        <v>0.07715492878710095</v>
      </c>
      <c r="L618" t="s">
        <v>586</v>
      </c>
      <c r="M618" t="s">
        <v>586</v>
      </c>
      <c r="N618">
        <v>15.44615384615385</v>
      </c>
      <c r="O618">
        <v>1.95</v>
      </c>
      <c r="P618">
        <v>0.84</v>
      </c>
      <c r="Q618">
        <v>0.4307692307692307</v>
      </c>
      <c r="R618">
        <v>3</v>
      </c>
      <c r="S618">
        <v>0.04959293402845044</v>
      </c>
      <c r="T618" t="s">
        <v>874</v>
      </c>
      <c r="U618">
        <v>-0.011262806477344</v>
      </c>
      <c r="V618" t="s">
        <v>978</v>
      </c>
      <c r="W618" t="s">
        <v>982</v>
      </c>
      <c r="X618">
        <v>9775.612353</v>
      </c>
      <c r="Y618" s="2">
        <v>44867</v>
      </c>
      <c r="Z618" t="s">
        <v>998</v>
      </c>
    </row>
    <row r="619" spans="1:26">
      <c r="A619" s="1" t="s">
        <v>643</v>
      </c>
      <c r="B619">
        <f>HYPERLINK("https://www.suredividend.com/sure-analysis-CPT/","Camden Property Trust")</f>
        <v>0</v>
      </c>
      <c r="C619" t="s">
        <v>870</v>
      </c>
      <c r="D619">
        <v>113</v>
      </c>
      <c r="E619">
        <v>111.5</v>
      </c>
      <c r="F619">
        <v>115</v>
      </c>
      <c r="G619">
        <v>0.9695652173913043</v>
      </c>
      <c r="H619">
        <v>0.0337219730941704</v>
      </c>
      <c r="I619">
        <v>0.006200652437934551</v>
      </c>
      <c r="J619">
        <v>0.04</v>
      </c>
      <c r="K619">
        <v>0.07635215154605834</v>
      </c>
      <c r="L619" t="s">
        <v>586</v>
      </c>
      <c r="M619" t="s">
        <v>586</v>
      </c>
      <c r="N619">
        <v>16.9195751138088</v>
      </c>
      <c r="O619">
        <v>6.59</v>
      </c>
      <c r="P619">
        <v>3.76</v>
      </c>
      <c r="Q619">
        <v>0.5705614567526556</v>
      </c>
      <c r="R619">
        <v>11</v>
      </c>
      <c r="S619">
        <v>0.03979008298950393</v>
      </c>
      <c r="T619" t="s">
        <v>886</v>
      </c>
      <c r="U619">
        <v>-0.287700601717312</v>
      </c>
      <c r="V619" t="s">
        <v>980</v>
      </c>
      <c r="W619" t="s">
        <v>992</v>
      </c>
      <c r="X619">
        <v>11877.875903</v>
      </c>
      <c r="Y619" s="2">
        <v>44862</v>
      </c>
      <c r="Z619" t="s">
        <v>1000</v>
      </c>
    </row>
    <row r="620" spans="1:26">
      <c r="A620" s="1" t="s">
        <v>644</v>
      </c>
      <c r="B620">
        <f>HYPERLINK("https://www.suredividend.com/sure-analysis-TU/","Telus Corp.")</f>
        <v>0</v>
      </c>
      <c r="C620" t="s">
        <v>870</v>
      </c>
      <c r="D620">
        <v>23</v>
      </c>
      <c r="E620">
        <v>21.3</v>
      </c>
      <c r="F620">
        <v>17</v>
      </c>
      <c r="G620">
        <v>1.252941176470588</v>
      </c>
      <c r="H620">
        <v>0.04929577464788733</v>
      </c>
      <c r="I620">
        <v>-0.04409691417719563</v>
      </c>
      <c r="J620">
        <v>0.08</v>
      </c>
      <c r="K620">
        <v>0.07604889103688173</v>
      </c>
      <c r="L620" t="s">
        <v>586</v>
      </c>
      <c r="M620" t="s">
        <v>568</v>
      </c>
      <c r="N620">
        <v>21.3</v>
      </c>
      <c r="O620">
        <v>1</v>
      </c>
      <c r="P620">
        <v>1.05</v>
      </c>
      <c r="Q620">
        <v>1.05</v>
      </c>
      <c r="R620">
        <v>14</v>
      </c>
      <c r="S620">
        <v>0.03046704262958766</v>
      </c>
      <c r="T620" t="s">
        <v>901</v>
      </c>
      <c r="U620">
        <v>-0.020842718839353</v>
      </c>
      <c r="V620" t="s">
        <v>978</v>
      </c>
      <c r="W620" t="s">
        <v>985</v>
      </c>
      <c r="X620">
        <v>30250.811159</v>
      </c>
      <c r="Y620" s="2">
        <v>44802</v>
      </c>
      <c r="Z620" t="s">
        <v>996</v>
      </c>
    </row>
    <row r="621" spans="1:26">
      <c r="A621" s="1" t="s">
        <v>645</v>
      </c>
      <c r="B621">
        <f>HYPERLINK("https://www.suredividend.com/sure-analysis-PLD/","Prologis Inc")</f>
        <v>0</v>
      </c>
      <c r="C621" t="s">
        <v>870</v>
      </c>
      <c r="D621">
        <v>102</v>
      </c>
      <c r="E621">
        <v>107.62</v>
      </c>
      <c r="F621">
        <v>92</v>
      </c>
      <c r="G621">
        <v>1.169782608695652</v>
      </c>
      <c r="H621">
        <v>0.02936257201263706</v>
      </c>
      <c r="I621">
        <v>-0.03087685001854445</v>
      </c>
      <c r="J621">
        <v>0.08</v>
      </c>
      <c r="K621">
        <v>0.07595697414123959</v>
      </c>
      <c r="L621" t="s">
        <v>586</v>
      </c>
      <c r="M621" t="s">
        <v>637</v>
      </c>
      <c r="N621">
        <v>20.9785575048733</v>
      </c>
      <c r="O621">
        <v>5.13</v>
      </c>
      <c r="P621">
        <v>3.16</v>
      </c>
      <c r="Q621">
        <v>0.6159844054580897</v>
      </c>
      <c r="R621">
        <v>9</v>
      </c>
      <c r="S621">
        <v>0.07985683020954282</v>
      </c>
      <c r="T621" t="s">
        <v>883</v>
      </c>
      <c r="U621">
        <v>-0.255568536876057</v>
      </c>
      <c r="V621" t="s">
        <v>980</v>
      </c>
      <c r="W621" t="s">
        <v>992</v>
      </c>
      <c r="X621">
        <v>99341.43912</v>
      </c>
      <c r="Y621" s="2">
        <v>44853</v>
      </c>
      <c r="Z621" t="s">
        <v>1000</v>
      </c>
    </row>
    <row r="622" spans="1:26">
      <c r="A622" s="1" t="s">
        <v>646</v>
      </c>
      <c r="B622">
        <f>HYPERLINK("https://www.suredividend.com/sure-analysis-EOG/","EOG Resources, Inc.")</f>
        <v>0</v>
      </c>
      <c r="C622" t="s">
        <v>869</v>
      </c>
      <c r="D622">
        <v>107</v>
      </c>
      <c r="E622">
        <v>142.23</v>
      </c>
      <c r="F622">
        <v>159</v>
      </c>
      <c r="G622">
        <v>0.8945283018867924</v>
      </c>
      <c r="H622">
        <v>0.02320185614849188</v>
      </c>
      <c r="I622">
        <v>0.02254206487187194</v>
      </c>
      <c r="J622">
        <v>0.03</v>
      </c>
      <c r="K622">
        <v>0.07482775406338127</v>
      </c>
      <c r="L622" t="s">
        <v>586</v>
      </c>
      <c r="M622" t="s">
        <v>637</v>
      </c>
      <c r="N622">
        <v>16.0893665158371</v>
      </c>
      <c r="O622">
        <v>8.84</v>
      </c>
      <c r="P622">
        <v>3.3</v>
      </c>
      <c r="Q622">
        <v>0.3733031674208145</v>
      </c>
      <c r="R622">
        <v>6</v>
      </c>
      <c r="S622">
        <v>0.05970486933121499</v>
      </c>
      <c r="T622" t="s">
        <v>914</v>
      </c>
      <c r="U622">
        <v>0.7024235866401101</v>
      </c>
      <c r="V622" t="s">
        <v>978</v>
      </c>
      <c r="W622" t="s">
        <v>991</v>
      </c>
      <c r="X622">
        <v>83544.408016</v>
      </c>
      <c r="Y622" s="2">
        <v>44781</v>
      </c>
      <c r="Z622" t="s">
        <v>1004</v>
      </c>
    </row>
    <row r="623" spans="1:26">
      <c r="A623" s="1" t="s">
        <v>647</v>
      </c>
      <c r="B623">
        <f>HYPERLINK("https://www.suredividend.com/sure-analysis-HBAN/","Huntington Bancshares, Inc.")</f>
        <v>0</v>
      </c>
      <c r="C623" t="s">
        <v>870</v>
      </c>
      <c r="D623">
        <v>14</v>
      </c>
      <c r="E623">
        <v>15.38</v>
      </c>
      <c r="F623">
        <v>16</v>
      </c>
      <c r="G623">
        <v>0.96125</v>
      </c>
      <c r="H623">
        <v>0.04031209362808842</v>
      </c>
      <c r="I623">
        <v>0.007935471904648495</v>
      </c>
      <c r="J623">
        <v>0.03</v>
      </c>
      <c r="K623">
        <v>0.07365705735877648</v>
      </c>
      <c r="L623" t="s">
        <v>586</v>
      </c>
      <c r="M623" t="s">
        <v>586</v>
      </c>
      <c r="N623">
        <v>10.39189189189189</v>
      </c>
      <c r="O623">
        <v>1.48</v>
      </c>
      <c r="P623">
        <v>0.62</v>
      </c>
      <c r="Q623">
        <v>0.4189189189189189</v>
      </c>
      <c r="R623">
        <v>1</v>
      </c>
      <c r="S623">
        <v>0.03035803310185115</v>
      </c>
      <c r="T623" t="s">
        <v>927</v>
      </c>
      <c r="U623">
        <v>0.020015651735618</v>
      </c>
      <c r="V623" t="s">
        <v>978</v>
      </c>
      <c r="W623" t="s">
        <v>986</v>
      </c>
      <c r="X623">
        <v>22189.252842</v>
      </c>
      <c r="Y623" s="2">
        <v>44858</v>
      </c>
      <c r="Z623" t="s">
        <v>996</v>
      </c>
    </row>
    <row r="624" spans="1:26">
      <c r="A624" s="1" t="s">
        <v>648</v>
      </c>
      <c r="B624">
        <f>HYPERLINK("https://www.suredividend.com/sure-analysis-IMBBY/","Imperial Brands Plc")</f>
        <v>0</v>
      </c>
      <c r="C624" t="s">
        <v>870</v>
      </c>
      <c r="D624">
        <v>23</v>
      </c>
      <c r="E624">
        <v>24.27</v>
      </c>
      <c r="F624">
        <v>22</v>
      </c>
      <c r="G624">
        <v>1.103181818181818</v>
      </c>
      <c r="H624">
        <v>0.07457766790276062</v>
      </c>
      <c r="I624">
        <v>-0.0194481104986759</v>
      </c>
      <c r="J624">
        <v>0.03</v>
      </c>
      <c r="K624">
        <v>0.07321265477649797</v>
      </c>
      <c r="L624" t="s">
        <v>586</v>
      </c>
      <c r="M624" t="s">
        <v>873</v>
      </c>
      <c r="N624">
        <v>7.310240963855422</v>
      </c>
      <c r="O624">
        <v>3.32</v>
      </c>
      <c r="P624">
        <v>1.81</v>
      </c>
      <c r="Q624">
        <v>0.5451807228915663</v>
      </c>
      <c r="R624">
        <v>0</v>
      </c>
      <c r="S624">
        <v>0</v>
      </c>
      <c r="T624" t="s">
        <v>895</v>
      </c>
      <c r="U624">
        <v>0.224588650227812</v>
      </c>
      <c r="V624" t="s">
        <v>978</v>
      </c>
      <c r="W624" t="s">
        <v>990</v>
      </c>
      <c r="X624">
        <v>22983.664759</v>
      </c>
      <c r="Y624" s="2">
        <v>44703</v>
      </c>
      <c r="Z624" t="s">
        <v>993</v>
      </c>
    </row>
    <row r="625" spans="1:26">
      <c r="A625" s="1" t="s">
        <v>649</v>
      </c>
      <c r="B625">
        <f>HYPERLINK("https://www.suredividend.com/sure-analysis-FRFHF/","Fairfax Financial Holdings, Ltd.")</f>
        <v>0</v>
      </c>
      <c r="C625" t="s">
        <v>870</v>
      </c>
      <c r="D625">
        <v>515</v>
      </c>
      <c r="E625">
        <v>511.47</v>
      </c>
      <c r="F625">
        <v>640</v>
      </c>
      <c r="G625">
        <v>0.7991718750000001</v>
      </c>
      <c r="H625">
        <v>0.01955148884587561</v>
      </c>
      <c r="I625">
        <v>0.04585616721146102</v>
      </c>
      <c r="J625">
        <v>0.01</v>
      </c>
      <c r="K625">
        <v>0.07157146313642371</v>
      </c>
      <c r="L625" t="s">
        <v>586</v>
      </c>
      <c r="M625" t="s">
        <v>637</v>
      </c>
      <c r="N625">
        <v>15.9834375</v>
      </c>
      <c r="O625">
        <v>32</v>
      </c>
      <c r="P625">
        <v>10</v>
      </c>
      <c r="Q625">
        <v>0.3125</v>
      </c>
      <c r="R625">
        <v>0</v>
      </c>
      <c r="S625">
        <v>0</v>
      </c>
      <c r="T625" t="s">
        <v>970</v>
      </c>
      <c r="U625">
        <v>0.247487804878048</v>
      </c>
      <c r="V625" t="s">
        <v>978</v>
      </c>
      <c r="W625" t="s">
        <v>986</v>
      </c>
      <c r="X625">
        <v>12701.588711</v>
      </c>
      <c r="Y625" s="2">
        <v>44795</v>
      </c>
      <c r="Z625" t="s">
        <v>996</v>
      </c>
    </row>
    <row r="626" spans="1:26">
      <c r="A626" s="1" t="s">
        <v>650</v>
      </c>
      <c r="B626">
        <f>HYPERLINK("https://www.suredividend.com/sure-analysis-MCY/","Mercury General Corp.")</f>
        <v>0</v>
      </c>
      <c r="C626" t="s">
        <v>870</v>
      </c>
      <c r="D626">
        <v>35</v>
      </c>
      <c r="E626">
        <v>36.78</v>
      </c>
      <c r="F626">
        <v>42</v>
      </c>
      <c r="G626">
        <v>0.8757142857142858</v>
      </c>
      <c r="H626">
        <v>0.03452963567156063</v>
      </c>
      <c r="I626">
        <v>0.02689848491216584</v>
      </c>
      <c r="J626">
        <v>0.015</v>
      </c>
      <c r="K626">
        <v>0.07004179421620349</v>
      </c>
      <c r="L626" t="s">
        <v>586</v>
      </c>
      <c r="M626" t="s">
        <v>586</v>
      </c>
      <c r="N626">
        <v>12.26</v>
      </c>
      <c r="O626">
        <v>3</v>
      </c>
      <c r="P626">
        <v>1.27</v>
      </c>
      <c r="Q626">
        <v>0.4233333333333333</v>
      </c>
      <c r="R626">
        <v>0</v>
      </c>
      <c r="S626">
        <v>0</v>
      </c>
      <c r="T626" t="s">
        <v>883</v>
      </c>
      <c r="U626">
        <v>-0.310016208428382</v>
      </c>
      <c r="V626" t="s">
        <v>978</v>
      </c>
      <c r="W626" t="s">
        <v>986</v>
      </c>
      <c r="X626">
        <v>2036.550051</v>
      </c>
      <c r="Y626" s="2">
        <v>44791</v>
      </c>
      <c r="Z626" t="s">
        <v>994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870</v>
      </c>
      <c r="D627">
        <v>63</v>
      </c>
      <c r="E627">
        <v>61.5</v>
      </c>
      <c r="F627">
        <v>55</v>
      </c>
      <c r="G627">
        <v>1.118181818181818</v>
      </c>
      <c r="H627">
        <v>0.02666666666666666</v>
      </c>
      <c r="I627">
        <v>-0.02209309038071061</v>
      </c>
      <c r="J627">
        <v>0.065</v>
      </c>
      <c r="K627">
        <v>0.06763465650152956</v>
      </c>
      <c r="L627" t="s">
        <v>586</v>
      </c>
      <c r="M627" t="s">
        <v>637</v>
      </c>
      <c r="N627">
        <v>23.29545454545454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886</v>
      </c>
      <c r="U627">
        <v>-0.256925993453699</v>
      </c>
      <c r="V627" t="s">
        <v>980</v>
      </c>
      <c r="W627" t="s">
        <v>992</v>
      </c>
      <c r="X627">
        <v>11445.826808</v>
      </c>
      <c r="Y627" s="2">
        <v>44867</v>
      </c>
      <c r="Z627" t="s">
        <v>997</v>
      </c>
    </row>
    <row r="628" spans="1:26">
      <c r="A628" s="1" t="s">
        <v>652</v>
      </c>
      <c r="B628">
        <f>HYPERLINK("https://www.suredividend.com/sure-analysis-PCAR/","Paccar Inc.")</f>
        <v>0</v>
      </c>
      <c r="C628" t="s">
        <v>870</v>
      </c>
      <c r="D628">
        <v>88</v>
      </c>
      <c r="E628">
        <v>99.12</v>
      </c>
      <c r="F628">
        <v>111</v>
      </c>
      <c r="G628">
        <v>0.8929729729729731</v>
      </c>
      <c r="H628">
        <v>0.02885391444713478</v>
      </c>
      <c r="I628">
        <v>0.02289801794645507</v>
      </c>
      <c r="J628">
        <v>0.015</v>
      </c>
      <c r="K628">
        <v>0.06726900157321092</v>
      </c>
      <c r="L628" t="s">
        <v>586</v>
      </c>
      <c r="M628" t="s">
        <v>586</v>
      </c>
      <c r="N628">
        <v>12.90625</v>
      </c>
      <c r="O628">
        <v>7.68</v>
      </c>
      <c r="P628">
        <v>2.86</v>
      </c>
      <c r="Q628">
        <v>0.3723958333333333</v>
      </c>
      <c r="R628">
        <v>12</v>
      </c>
      <c r="S628">
        <v>0.07152687087470921</v>
      </c>
      <c r="T628" t="s">
        <v>900</v>
      </c>
      <c r="U628">
        <v>0.142677961255931</v>
      </c>
      <c r="V628" t="s">
        <v>978</v>
      </c>
      <c r="W628" t="s">
        <v>984</v>
      </c>
      <c r="X628">
        <v>34470.722034</v>
      </c>
      <c r="Y628" s="2">
        <v>44769</v>
      </c>
      <c r="Z628" t="s">
        <v>998</v>
      </c>
    </row>
    <row r="629" spans="1:26">
      <c r="A629" s="1" t="s">
        <v>653</v>
      </c>
      <c r="B629">
        <f>HYPERLINK("https://www.suredividend.com/sure-analysis-TJX/","TJX Companies, Inc.")</f>
        <v>0</v>
      </c>
      <c r="C629" t="s">
        <v>870</v>
      </c>
      <c r="D629">
        <v>66</v>
      </c>
      <c r="E629">
        <v>71.19</v>
      </c>
      <c r="F629">
        <v>59</v>
      </c>
      <c r="G629">
        <v>1.206610169491525</v>
      </c>
      <c r="H629">
        <v>0.01657536170810507</v>
      </c>
      <c r="I629">
        <v>-0.03686624528326543</v>
      </c>
      <c r="J629">
        <v>0.09</v>
      </c>
      <c r="K629">
        <v>0.06707041430275362</v>
      </c>
      <c r="L629" t="s">
        <v>586</v>
      </c>
      <c r="M629" t="s">
        <v>637</v>
      </c>
      <c r="N629">
        <v>23.03883495145631</v>
      </c>
      <c r="O629">
        <v>3.09</v>
      </c>
      <c r="P629">
        <v>1.18</v>
      </c>
      <c r="Q629">
        <v>0.3818770226537217</v>
      </c>
      <c r="R629">
        <v>1</v>
      </c>
      <c r="S629">
        <v>0.09053064987397041</v>
      </c>
      <c r="T629" t="s">
        <v>898</v>
      </c>
      <c r="U629">
        <v>0.038713565141011</v>
      </c>
      <c r="V629" t="s">
        <v>978</v>
      </c>
      <c r="W629" t="s">
        <v>983</v>
      </c>
      <c r="X629">
        <v>82655.360294</v>
      </c>
      <c r="Y629" s="2">
        <v>44794</v>
      </c>
      <c r="Z629" t="s">
        <v>1005</v>
      </c>
    </row>
    <row r="630" spans="1:26">
      <c r="A630" s="1" t="s">
        <v>654</v>
      </c>
      <c r="B630">
        <f>HYPERLINK("https://www.suredividend.com/sure-analysis-AMH/","American Homes 4 Rent")</f>
        <v>0</v>
      </c>
      <c r="C630" t="s">
        <v>871</v>
      </c>
      <c r="D630">
        <v>39</v>
      </c>
      <c r="E630">
        <v>30.67</v>
      </c>
      <c r="F630">
        <v>33</v>
      </c>
      <c r="G630">
        <v>0.9293939393939394</v>
      </c>
      <c r="H630">
        <v>0.0234757091620476</v>
      </c>
      <c r="I630">
        <v>0.01475227297272474</v>
      </c>
      <c r="J630">
        <v>0.03</v>
      </c>
      <c r="K630">
        <v>0.06580592303536914</v>
      </c>
      <c r="L630" t="s">
        <v>586</v>
      </c>
      <c r="M630" t="s">
        <v>637</v>
      </c>
      <c r="N630">
        <v>19.66025641025641</v>
      </c>
      <c r="O630">
        <v>1.56</v>
      </c>
      <c r="P630">
        <v>0.72</v>
      </c>
      <c r="Q630">
        <v>0.4615384615384615</v>
      </c>
      <c r="R630">
        <v>2</v>
      </c>
      <c r="S630">
        <v>0.02884302866442456</v>
      </c>
      <c r="T630" t="s">
        <v>883</v>
      </c>
      <c r="U630">
        <v>-0.229457002092801</v>
      </c>
      <c r="V630" t="s">
        <v>980</v>
      </c>
      <c r="W630" t="s">
        <v>992</v>
      </c>
      <c r="X630">
        <v>10665.035118</v>
      </c>
      <c r="Y630" s="2">
        <v>44789</v>
      </c>
      <c r="Z630" t="s">
        <v>993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870</v>
      </c>
      <c r="D631">
        <v>33</v>
      </c>
      <c r="E631">
        <v>33.54</v>
      </c>
      <c r="F631">
        <v>30</v>
      </c>
      <c r="G631">
        <v>1.118</v>
      </c>
      <c r="H631">
        <v>0.05068574836016696</v>
      </c>
      <c r="I631">
        <v>-0.0220612854270017</v>
      </c>
      <c r="J631">
        <v>0.04</v>
      </c>
      <c r="K631">
        <v>0.06559151600423396</v>
      </c>
      <c r="L631" t="s">
        <v>586</v>
      </c>
      <c r="M631" t="s">
        <v>568</v>
      </c>
      <c r="N631">
        <v>8.491139240506328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901</v>
      </c>
      <c r="U631">
        <v>0.249748485322721</v>
      </c>
      <c r="V631" t="s">
        <v>978</v>
      </c>
      <c r="W631" t="s">
        <v>991</v>
      </c>
      <c r="X631">
        <v>40863.117831</v>
      </c>
      <c r="Y631" s="2">
        <v>44867</v>
      </c>
      <c r="Z631" t="s">
        <v>996</v>
      </c>
    </row>
    <row r="632" spans="1:26">
      <c r="A632" s="1" t="s">
        <v>656</v>
      </c>
      <c r="B632">
        <f>HYPERLINK("https://www.suredividend.com/sure-analysis-FITB/","Fifth Third Bancorp")</f>
        <v>0</v>
      </c>
      <c r="C632" t="s">
        <v>870</v>
      </c>
      <c r="D632">
        <v>31</v>
      </c>
      <c r="E632">
        <v>35.13</v>
      </c>
      <c r="F632">
        <v>35</v>
      </c>
      <c r="G632">
        <v>1.003714285714286</v>
      </c>
      <c r="H632">
        <v>0.03757472245943638</v>
      </c>
      <c r="I632">
        <v>-0.0007412061285901883</v>
      </c>
      <c r="J632">
        <v>0.03</v>
      </c>
      <c r="K632">
        <v>0.06349577048194499</v>
      </c>
      <c r="L632" t="s">
        <v>586</v>
      </c>
      <c r="M632" t="s">
        <v>568</v>
      </c>
      <c r="N632">
        <v>9.951841359773372</v>
      </c>
      <c r="O632">
        <v>3.53</v>
      </c>
      <c r="P632">
        <v>1.32</v>
      </c>
      <c r="Q632">
        <v>0.3739376770538244</v>
      </c>
      <c r="R632">
        <v>12</v>
      </c>
      <c r="S632">
        <v>0.02996744995959233</v>
      </c>
      <c r="T632" t="s">
        <v>886</v>
      </c>
      <c r="U632">
        <v>-0.175071327094903</v>
      </c>
      <c r="V632" t="s">
        <v>978</v>
      </c>
      <c r="W632" t="s">
        <v>986</v>
      </c>
      <c r="X632">
        <v>24105.838821</v>
      </c>
      <c r="Y632" s="2">
        <v>44856</v>
      </c>
      <c r="Z632" t="s">
        <v>993</v>
      </c>
    </row>
    <row r="633" spans="1:26">
      <c r="A633" s="1" t="s">
        <v>657</v>
      </c>
      <c r="B633">
        <f>HYPERLINK("https://www.suredividend.com/sure-analysis-ACN/","Accenture plc")</f>
        <v>0</v>
      </c>
      <c r="C633" t="s">
        <v>870</v>
      </c>
      <c r="D633">
        <v>270</v>
      </c>
      <c r="E633">
        <v>261.16</v>
      </c>
      <c r="F633">
        <v>225</v>
      </c>
      <c r="G633">
        <v>1.160711111111111</v>
      </c>
      <c r="H633">
        <v>0.01715423495175371</v>
      </c>
      <c r="I633">
        <v>-0.02936673387345012</v>
      </c>
      <c r="J633">
        <v>0.075</v>
      </c>
      <c r="K633">
        <v>0.06115216406648871</v>
      </c>
      <c r="L633" t="s">
        <v>586</v>
      </c>
      <c r="M633" t="s">
        <v>637</v>
      </c>
      <c r="N633">
        <v>23.21422222222223</v>
      </c>
      <c r="O633">
        <v>11.25</v>
      </c>
      <c r="P633">
        <v>4.48</v>
      </c>
      <c r="Q633">
        <v>0.3982222222222223</v>
      </c>
      <c r="R633">
        <v>12</v>
      </c>
      <c r="S633">
        <v>0.0799150058822331</v>
      </c>
      <c r="T633" t="s">
        <v>953</v>
      </c>
      <c r="U633">
        <v>-0.278291001049291</v>
      </c>
      <c r="V633" t="s">
        <v>978</v>
      </c>
      <c r="W633" t="s">
        <v>982</v>
      </c>
      <c r="X633">
        <v>173614.77111</v>
      </c>
      <c r="Y633" s="2">
        <v>44858</v>
      </c>
      <c r="Z633" t="s">
        <v>994</v>
      </c>
    </row>
    <row r="634" spans="1:26">
      <c r="A634" s="1" t="s">
        <v>658</v>
      </c>
      <c r="B634">
        <f>HYPERLINK("https://www.suredividend.com/sure-analysis-PNW/","Pinnacle West Capital Corp.")</f>
        <v>0</v>
      </c>
      <c r="C634" t="s">
        <v>870</v>
      </c>
      <c r="D634">
        <v>77</v>
      </c>
      <c r="E634">
        <v>69.52</v>
      </c>
      <c r="F634">
        <v>68</v>
      </c>
      <c r="G634">
        <v>1.02235294117647</v>
      </c>
      <c r="H634">
        <v>0.0497698504027618</v>
      </c>
      <c r="I634">
        <v>-0.004411595354645081</v>
      </c>
      <c r="J634">
        <v>0.02</v>
      </c>
      <c r="K634">
        <v>0.06066622451961523</v>
      </c>
      <c r="L634" t="s">
        <v>586</v>
      </c>
      <c r="M634" t="s">
        <v>873</v>
      </c>
      <c r="N634">
        <v>17.38</v>
      </c>
      <c r="O634">
        <v>4</v>
      </c>
      <c r="P634">
        <v>3.46</v>
      </c>
      <c r="Q634">
        <v>0.865</v>
      </c>
      <c r="R634">
        <v>11</v>
      </c>
      <c r="S634">
        <v>0.01784849824634138</v>
      </c>
      <c r="T634" t="s">
        <v>930</v>
      </c>
      <c r="U634">
        <v>0.16164434834626</v>
      </c>
      <c r="V634" t="s">
        <v>978</v>
      </c>
      <c r="W634" t="s">
        <v>987</v>
      </c>
      <c r="X634">
        <v>7865.506913</v>
      </c>
      <c r="Y634" s="2">
        <v>44798</v>
      </c>
      <c r="Z634" t="s">
        <v>997</v>
      </c>
    </row>
    <row r="635" spans="1:26">
      <c r="A635" s="1" t="s">
        <v>659</v>
      </c>
      <c r="B635">
        <f>HYPERLINK("https://www.suredividend.com/sure-analysis-APO/","Apollo Global Management Inc")</f>
        <v>0</v>
      </c>
      <c r="C635" t="s">
        <v>870</v>
      </c>
      <c r="D635">
        <v>56</v>
      </c>
      <c r="E635">
        <v>62.58</v>
      </c>
      <c r="F635">
        <v>53</v>
      </c>
      <c r="G635">
        <v>1.180754716981132</v>
      </c>
      <c r="H635">
        <v>0.02556727388942154</v>
      </c>
      <c r="I635">
        <v>-0.03268468862649498</v>
      </c>
      <c r="J635">
        <v>0.07000000000000001</v>
      </c>
      <c r="K635">
        <v>0.05966150555534488</v>
      </c>
      <c r="L635" t="s">
        <v>586</v>
      </c>
      <c r="M635" t="s">
        <v>586</v>
      </c>
      <c r="N635">
        <v>11.80754716981132</v>
      </c>
      <c r="O635">
        <v>5.3</v>
      </c>
      <c r="P635">
        <v>1.6</v>
      </c>
      <c r="Q635">
        <v>0.3018867924528302</v>
      </c>
      <c r="R635">
        <v>0</v>
      </c>
      <c r="S635">
        <v>0.04978904632428516</v>
      </c>
      <c r="T635" t="s">
        <v>876</v>
      </c>
      <c r="U635">
        <v>-0.132066522149778</v>
      </c>
      <c r="V635" t="s">
        <v>978</v>
      </c>
      <c r="W635" t="s">
        <v>986</v>
      </c>
      <c r="X635">
        <v>35825.613101</v>
      </c>
      <c r="Y635" s="2">
        <v>44800</v>
      </c>
      <c r="Z635" t="s">
        <v>1001</v>
      </c>
    </row>
    <row r="636" spans="1:26">
      <c r="A636" s="1" t="s">
        <v>660</v>
      </c>
      <c r="B636">
        <f>HYPERLINK("https://www.suredividend.com/sure-analysis-FR/","First Industrial Realty Trust, Inc.")</f>
        <v>0</v>
      </c>
      <c r="C636" t="s">
        <v>870</v>
      </c>
      <c r="D636">
        <v>48</v>
      </c>
      <c r="E636">
        <v>46.7</v>
      </c>
      <c r="F636">
        <v>41</v>
      </c>
      <c r="G636">
        <v>1.139024390243903</v>
      </c>
      <c r="H636">
        <v>0.02526766595289079</v>
      </c>
      <c r="I636">
        <v>-0.025698446032416</v>
      </c>
      <c r="J636">
        <v>0.06</v>
      </c>
      <c r="K636">
        <v>0.05804386111362958</v>
      </c>
      <c r="L636" t="s">
        <v>586</v>
      </c>
      <c r="M636" t="s">
        <v>637</v>
      </c>
      <c r="N636">
        <v>20.94170403587444</v>
      </c>
      <c r="O636">
        <v>2.23</v>
      </c>
      <c r="P636">
        <v>1.18</v>
      </c>
      <c r="Q636">
        <v>0.5291479820627802</v>
      </c>
      <c r="R636">
        <v>9</v>
      </c>
      <c r="S636">
        <v>0.0601199707922162</v>
      </c>
      <c r="T636" t="s">
        <v>886</v>
      </c>
      <c r="U636">
        <v>-0.201272490935212</v>
      </c>
      <c r="V636" t="s">
        <v>980</v>
      </c>
      <c r="W636" t="s">
        <v>992</v>
      </c>
      <c r="X636">
        <v>6170.70931</v>
      </c>
      <c r="Y636" s="2">
        <v>44867</v>
      </c>
      <c r="Z636" t="s">
        <v>997</v>
      </c>
    </row>
    <row r="637" spans="1:26">
      <c r="A637" s="1" t="s">
        <v>661</v>
      </c>
      <c r="B637">
        <f>HYPERLINK("https://www.suredividend.com/sure-analysis-SIEGY/","Siemens AG")</f>
        <v>0</v>
      </c>
      <c r="C637" t="s">
        <v>870</v>
      </c>
      <c r="D637">
        <v>52</v>
      </c>
      <c r="E637">
        <v>56.49</v>
      </c>
      <c r="F637">
        <v>46</v>
      </c>
      <c r="G637">
        <v>1.22804347826087</v>
      </c>
      <c r="H637">
        <v>0.0400070808992742</v>
      </c>
      <c r="I637">
        <v>-0.04025192129125954</v>
      </c>
      <c r="J637">
        <v>0.06</v>
      </c>
      <c r="K637">
        <v>0.05735621714838501</v>
      </c>
      <c r="L637" t="s">
        <v>586</v>
      </c>
      <c r="M637" t="s">
        <v>568</v>
      </c>
      <c r="N637">
        <v>19.47931034482759</v>
      </c>
      <c r="O637">
        <v>2.9</v>
      </c>
      <c r="P637">
        <v>2.26</v>
      </c>
      <c r="Q637">
        <v>0.7793103448275862</v>
      </c>
      <c r="R637">
        <v>1</v>
      </c>
      <c r="S637">
        <v>0.04967972745840021</v>
      </c>
      <c r="T637" t="s">
        <v>971</v>
      </c>
      <c r="U637">
        <v>-0.331874630396215</v>
      </c>
      <c r="V637" t="s">
        <v>978</v>
      </c>
      <c r="W637" t="s">
        <v>984</v>
      </c>
      <c r="X637">
        <v>96033</v>
      </c>
      <c r="Y637" s="2">
        <v>44798</v>
      </c>
      <c r="Z637" t="s">
        <v>994</v>
      </c>
    </row>
    <row r="638" spans="1:26">
      <c r="A638" s="1" t="s">
        <v>662</v>
      </c>
      <c r="B638">
        <f>HYPERLINK("https://www.suredividend.com/sure-analysis-ING/","ING Groep N.V.")</f>
        <v>0</v>
      </c>
      <c r="C638" t="s">
        <v>870</v>
      </c>
      <c r="D638">
        <v>9.52</v>
      </c>
      <c r="E638">
        <v>10.84</v>
      </c>
      <c r="F638">
        <v>10.32</v>
      </c>
      <c r="G638">
        <v>1.050387596899225</v>
      </c>
      <c r="H638">
        <v>0.06088560885608856</v>
      </c>
      <c r="I638">
        <v>-0.009783672593051795</v>
      </c>
      <c r="J638">
        <v>0.01</v>
      </c>
      <c r="K638">
        <v>0.05601739042809717</v>
      </c>
      <c r="L638" t="s">
        <v>586</v>
      </c>
      <c r="M638" t="s">
        <v>568</v>
      </c>
      <c r="N638">
        <v>8.403100775193797</v>
      </c>
      <c r="O638">
        <v>1.29</v>
      </c>
      <c r="P638">
        <v>0.66</v>
      </c>
      <c r="Q638">
        <v>0.5116279069767442</v>
      </c>
      <c r="R638">
        <v>0</v>
      </c>
      <c r="S638">
        <v>0.008929989071996269</v>
      </c>
      <c r="T638" t="s">
        <v>905</v>
      </c>
      <c r="U638">
        <v>-0.229078806067804</v>
      </c>
      <c r="V638" t="s">
        <v>978</v>
      </c>
      <c r="W638" t="s">
        <v>986</v>
      </c>
      <c r="X638">
        <v>40836.892386</v>
      </c>
      <c r="Y638" s="2">
        <v>44777</v>
      </c>
      <c r="Z638" t="s">
        <v>1000</v>
      </c>
    </row>
    <row r="639" spans="1:26">
      <c r="A639" s="1" t="s">
        <v>663</v>
      </c>
      <c r="B639">
        <f>HYPERLINK("https://www.suredividend.com/sure-analysis-CAG/","Conagra Brands Inc")</f>
        <v>0</v>
      </c>
      <c r="C639" t="s">
        <v>870</v>
      </c>
      <c r="D639">
        <v>34</v>
      </c>
      <c r="E639">
        <v>35.98</v>
      </c>
      <c r="F639">
        <v>34</v>
      </c>
      <c r="G639">
        <v>1.058235294117647</v>
      </c>
      <c r="H639">
        <v>0.03668704836020011</v>
      </c>
      <c r="I639">
        <v>-0.01125670457332928</v>
      </c>
      <c r="J639">
        <v>0.03</v>
      </c>
      <c r="K639">
        <v>0.05427153648638861</v>
      </c>
      <c r="L639" t="s">
        <v>586</v>
      </c>
      <c r="M639" t="s">
        <v>586</v>
      </c>
      <c r="N639">
        <v>14.74590163934426</v>
      </c>
      <c r="O639">
        <v>2.44</v>
      </c>
      <c r="P639">
        <v>1.32</v>
      </c>
      <c r="Q639">
        <v>0.5409836065573771</v>
      </c>
      <c r="R639">
        <v>2</v>
      </c>
      <c r="S639">
        <v>0.04051989624422681</v>
      </c>
      <c r="T639" t="s">
        <v>920</v>
      </c>
      <c r="U639">
        <v>0.142759137626567</v>
      </c>
      <c r="V639" t="s">
        <v>978</v>
      </c>
      <c r="W639" t="s">
        <v>990</v>
      </c>
      <c r="X639">
        <v>17243.595152</v>
      </c>
      <c r="Y639" s="2">
        <v>44856</v>
      </c>
      <c r="Z639" t="s">
        <v>998</v>
      </c>
    </row>
    <row r="640" spans="1:26">
      <c r="A640" s="1" t="s">
        <v>664</v>
      </c>
      <c r="B640">
        <f>HYPERLINK("https://www.suredividend.com/sure-analysis-CNA/","CNA Financial Corp.")</f>
        <v>0</v>
      </c>
      <c r="C640" t="s">
        <v>870</v>
      </c>
      <c r="D640">
        <v>41</v>
      </c>
      <c r="E640">
        <v>42.27</v>
      </c>
      <c r="F640">
        <v>39</v>
      </c>
      <c r="G640">
        <v>1.083846153846154</v>
      </c>
      <c r="H640">
        <v>0.03785190442394133</v>
      </c>
      <c r="I640">
        <v>-0.01597423043433965</v>
      </c>
      <c r="J640">
        <v>0.03</v>
      </c>
      <c r="K640">
        <v>0.04999515113477826</v>
      </c>
      <c r="L640" t="s">
        <v>586</v>
      </c>
      <c r="M640" t="s">
        <v>586</v>
      </c>
      <c r="N640">
        <v>11.90704225352113</v>
      </c>
      <c r="O640">
        <v>3.55</v>
      </c>
      <c r="P640">
        <v>1.6</v>
      </c>
      <c r="Q640">
        <v>0.4507042253521127</v>
      </c>
      <c r="R640">
        <v>6</v>
      </c>
      <c r="S640">
        <v>0.02946206823925857</v>
      </c>
      <c r="T640" t="s">
        <v>905</v>
      </c>
      <c r="U640">
        <v>-0.032300158650577</v>
      </c>
      <c r="V640" t="s">
        <v>978</v>
      </c>
      <c r="W640" t="s">
        <v>986</v>
      </c>
      <c r="X640">
        <v>11450.663088</v>
      </c>
      <c r="Y640" s="2">
        <v>44865</v>
      </c>
      <c r="Z640" t="s">
        <v>1000</v>
      </c>
    </row>
    <row r="641" spans="1:26">
      <c r="A641" s="1" t="s">
        <v>665</v>
      </c>
      <c r="B641">
        <f>HYPERLINK("https://www.suredividend.com/sure-analysis-SKT/","Tanger Factory Outlet Centers, Inc.")</f>
        <v>0</v>
      </c>
      <c r="C641" t="s">
        <v>870</v>
      </c>
      <c r="D641">
        <v>16</v>
      </c>
      <c r="E641">
        <v>18.71</v>
      </c>
      <c r="F641">
        <v>18</v>
      </c>
      <c r="G641">
        <v>1.039444444444444</v>
      </c>
      <c r="H641">
        <v>0.04703367183324425</v>
      </c>
      <c r="I641">
        <v>-0.007707420804474174</v>
      </c>
      <c r="J641">
        <v>0.015</v>
      </c>
      <c r="K641">
        <v>0.04815676974811112</v>
      </c>
      <c r="L641" t="s">
        <v>586</v>
      </c>
      <c r="M641" t="s">
        <v>568</v>
      </c>
      <c r="N641">
        <v>10.63068181818182</v>
      </c>
      <c r="O641">
        <v>1.76</v>
      </c>
      <c r="P641">
        <v>0.88</v>
      </c>
      <c r="Q641">
        <v>0.5</v>
      </c>
      <c r="R641">
        <v>3</v>
      </c>
      <c r="S641">
        <v>-0.009260854810929642</v>
      </c>
      <c r="T641" t="s">
        <v>911</v>
      </c>
      <c r="U641">
        <v>-0.076487196193409</v>
      </c>
      <c r="V641" t="s">
        <v>980</v>
      </c>
      <c r="W641" t="s">
        <v>992</v>
      </c>
      <c r="X641">
        <v>1952.790372</v>
      </c>
      <c r="Y641" s="2">
        <v>44782</v>
      </c>
      <c r="Z641" t="s">
        <v>998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871</v>
      </c>
      <c r="D642">
        <v>33</v>
      </c>
      <c r="E642">
        <v>30.84</v>
      </c>
      <c r="F642">
        <v>28</v>
      </c>
      <c r="G642">
        <v>1.101428571428571</v>
      </c>
      <c r="H642">
        <v>0.03631647211413749</v>
      </c>
      <c r="I642">
        <v>-0.01913614186208756</v>
      </c>
      <c r="J642">
        <v>0.03</v>
      </c>
      <c r="K642">
        <v>0.0470892777767784</v>
      </c>
      <c r="L642" t="s">
        <v>586</v>
      </c>
      <c r="M642" t="s">
        <v>586</v>
      </c>
      <c r="N642">
        <v>14.54716981132075</v>
      </c>
      <c r="O642">
        <v>2.12</v>
      </c>
      <c r="P642">
        <v>1.12</v>
      </c>
      <c r="Q642">
        <v>0.5283018867924528</v>
      </c>
      <c r="R642">
        <v>2</v>
      </c>
      <c r="S642">
        <v>0.0426347915383527</v>
      </c>
      <c r="T642" t="s">
        <v>914</v>
      </c>
      <c r="U642">
        <v>-0.013580855024532</v>
      </c>
      <c r="V642" t="s">
        <v>980</v>
      </c>
      <c r="W642" t="s">
        <v>992</v>
      </c>
      <c r="X642">
        <v>3611.364</v>
      </c>
      <c r="Y642" s="2">
        <v>44780</v>
      </c>
      <c r="Z642" t="s">
        <v>1000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39.94</v>
      </c>
      <c r="F643">
        <v>34</v>
      </c>
      <c r="G643">
        <v>1.174705882352941</v>
      </c>
      <c r="H643">
        <v>0.03304957436154232</v>
      </c>
      <c r="I643">
        <v>-0.03169054770909896</v>
      </c>
      <c r="J643">
        <v>0.045</v>
      </c>
      <c r="K643">
        <v>0.04672153654836397</v>
      </c>
      <c r="L643" t="s">
        <v>586</v>
      </c>
      <c r="M643" t="s">
        <v>586</v>
      </c>
      <c r="N643">
        <v>13.96503496503496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901</v>
      </c>
      <c r="U643">
        <v>0.178612636592469</v>
      </c>
      <c r="V643" t="s">
        <v>978</v>
      </c>
      <c r="W643" t="s">
        <v>986</v>
      </c>
      <c r="X643">
        <v>2362.681534</v>
      </c>
      <c r="Y643" s="2">
        <v>44769</v>
      </c>
      <c r="Z643" t="s">
        <v>998</v>
      </c>
    </row>
    <row r="644" spans="1:26">
      <c r="A644" s="1" t="s">
        <v>668</v>
      </c>
      <c r="B644">
        <f>HYPERLINK("https://www.suredividend.com/sure-analysis-CAKE/","Cheesecake Factory Inc.")</f>
        <v>0</v>
      </c>
      <c r="C644" t="s">
        <v>870</v>
      </c>
      <c r="D644">
        <v>29</v>
      </c>
      <c r="E644">
        <v>33.77</v>
      </c>
      <c r="F644">
        <v>26</v>
      </c>
      <c r="G644">
        <v>1.298846153846154</v>
      </c>
      <c r="H644">
        <v>0.03198104826769322</v>
      </c>
      <c r="I644">
        <v>-0.05095138993401738</v>
      </c>
      <c r="J644">
        <v>0.06</v>
      </c>
      <c r="K644">
        <v>0.0408791898413059</v>
      </c>
      <c r="L644" t="s">
        <v>586</v>
      </c>
      <c r="M644" t="s">
        <v>586</v>
      </c>
      <c r="N644">
        <v>16.63546798029557</v>
      </c>
      <c r="O644">
        <v>2.03</v>
      </c>
      <c r="P644">
        <v>1.08</v>
      </c>
      <c r="Q644">
        <v>0.5320197044334977</v>
      </c>
      <c r="R644">
        <v>1</v>
      </c>
      <c r="S644">
        <v>0.06069091570555463</v>
      </c>
      <c r="T644" t="s">
        <v>875</v>
      </c>
      <c r="U644">
        <v>-0.21031893574283</v>
      </c>
      <c r="V644" t="s">
        <v>978</v>
      </c>
      <c r="W644" t="s">
        <v>983</v>
      </c>
      <c r="X644">
        <v>1736.457993</v>
      </c>
      <c r="Y644" s="2">
        <v>44774</v>
      </c>
      <c r="Z644" t="s">
        <v>993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28.48</v>
      </c>
      <c r="F645">
        <v>22.1</v>
      </c>
      <c r="G645">
        <v>1.28868778280543</v>
      </c>
      <c r="H645">
        <v>0.02528089887640449</v>
      </c>
      <c r="I645">
        <v>-0.04945986766490085</v>
      </c>
      <c r="J645">
        <v>0.066</v>
      </c>
      <c r="K645">
        <v>0.04054750428238019</v>
      </c>
      <c r="L645" t="s">
        <v>586</v>
      </c>
      <c r="M645" t="s">
        <v>637</v>
      </c>
      <c r="N645">
        <v>20.63768115942029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876</v>
      </c>
      <c r="U645">
        <v>0.100429662143364</v>
      </c>
      <c r="V645" t="s">
        <v>978</v>
      </c>
      <c r="W645" t="s">
        <v>987</v>
      </c>
      <c r="X645">
        <v>17929.174771</v>
      </c>
      <c r="Y645" s="2">
        <v>44781</v>
      </c>
      <c r="Z645" t="s">
        <v>999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89.88</v>
      </c>
      <c r="F646">
        <v>72</v>
      </c>
      <c r="G646">
        <v>1.248333333333333</v>
      </c>
      <c r="H646">
        <v>0.02848242100578549</v>
      </c>
      <c r="I646">
        <v>-0.04339226865511792</v>
      </c>
      <c r="J646">
        <v>0.05</v>
      </c>
      <c r="K646">
        <v>0.0358737849753834</v>
      </c>
      <c r="L646" t="s">
        <v>586</v>
      </c>
      <c r="M646" t="s">
        <v>586</v>
      </c>
      <c r="N646">
        <v>13.82769230769231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925</v>
      </c>
      <c r="U646">
        <v>0.361589187273049</v>
      </c>
      <c r="V646" t="s">
        <v>978</v>
      </c>
      <c r="W646" t="s">
        <v>986</v>
      </c>
      <c r="X646">
        <v>21992.089165</v>
      </c>
      <c r="Y646" s="2">
        <v>44787</v>
      </c>
      <c r="Z646" t="s">
        <v>994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871</v>
      </c>
      <c r="D647">
        <v>170</v>
      </c>
      <c r="E647">
        <v>158.61</v>
      </c>
      <c r="F647">
        <v>127</v>
      </c>
      <c r="G647">
        <v>1.248897637795276</v>
      </c>
      <c r="H647">
        <v>0.01967089086438434</v>
      </c>
      <c r="I647">
        <v>-0.04347873140214142</v>
      </c>
      <c r="J647">
        <v>0.06</v>
      </c>
      <c r="K647">
        <v>0.0329294427288942</v>
      </c>
      <c r="L647" t="s">
        <v>586</v>
      </c>
      <c r="M647" t="s">
        <v>637</v>
      </c>
      <c r="N647">
        <v>31.34584980237155</v>
      </c>
      <c r="O647">
        <v>5.06</v>
      </c>
      <c r="P647">
        <v>3.12</v>
      </c>
      <c r="Q647">
        <v>0.6166007905138341</v>
      </c>
      <c r="R647">
        <v>14</v>
      </c>
      <c r="S647">
        <v>0.01971960649546922</v>
      </c>
      <c r="T647" t="s">
        <v>878</v>
      </c>
      <c r="U647">
        <v>-0.304234078449022</v>
      </c>
      <c r="V647" t="s">
        <v>978</v>
      </c>
      <c r="W647" t="s">
        <v>983</v>
      </c>
      <c r="X647">
        <v>2153.912063</v>
      </c>
      <c r="Y647" s="2">
        <v>44753</v>
      </c>
      <c r="Z647" t="s">
        <v>995</v>
      </c>
    </row>
    <row r="648" spans="1:26">
      <c r="A648" s="1" t="s">
        <v>672</v>
      </c>
      <c r="B648">
        <f>HYPERLINK("https://www.suredividend.com/sure-analysis-WPM/","Wheaton Precious Metals Corp")</f>
        <v>0</v>
      </c>
      <c r="C648" t="s">
        <v>870</v>
      </c>
      <c r="D648">
        <v>32</v>
      </c>
      <c r="E648">
        <v>34.3</v>
      </c>
      <c r="F648">
        <v>35</v>
      </c>
      <c r="G648">
        <v>0.9799999999999999</v>
      </c>
      <c r="H648">
        <v>0.01749271137026239</v>
      </c>
      <c r="I648">
        <v>0.004048715456574481</v>
      </c>
      <c r="J648">
        <v>0.01</v>
      </c>
      <c r="K648">
        <v>0.03103387198268703</v>
      </c>
      <c r="L648" t="s">
        <v>586</v>
      </c>
      <c r="M648" t="s">
        <v>637</v>
      </c>
      <c r="N648">
        <v>27.44</v>
      </c>
      <c r="O648">
        <v>1.25</v>
      </c>
      <c r="P648">
        <v>0.6</v>
      </c>
      <c r="Q648">
        <v>0.48</v>
      </c>
      <c r="R648">
        <v>3</v>
      </c>
      <c r="S648">
        <v>0.01924487649145656</v>
      </c>
      <c r="T648" t="s">
        <v>906</v>
      </c>
      <c r="U648">
        <v>-0.13587867031126</v>
      </c>
      <c r="V648" t="s">
        <v>978</v>
      </c>
      <c r="W648" t="s">
        <v>989</v>
      </c>
      <c r="X648">
        <v>15502.329528</v>
      </c>
      <c r="Y648" s="2">
        <v>44800</v>
      </c>
      <c r="Z648" t="s">
        <v>1001</v>
      </c>
    </row>
    <row r="649" spans="1:26">
      <c r="A649" s="1" t="s">
        <v>673</v>
      </c>
      <c r="B649">
        <f>HYPERLINK("https://www.suredividend.com/sure-analysis-JCI/","Johnson Controls International plc")</f>
        <v>0</v>
      </c>
      <c r="C649" t="s">
        <v>870</v>
      </c>
      <c r="D649">
        <v>54</v>
      </c>
      <c r="E649">
        <v>63.81</v>
      </c>
      <c r="F649">
        <v>48</v>
      </c>
      <c r="G649">
        <v>1.329375</v>
      </c>
      <c r="H649">
        <v>0.02131327378153895</v>
      </c>
      <c r="I649">
        <v>-0.05535093608313146</v>
      </c>
      <c r="J649">
        <v>0.06</v>
      </c>
      <c r="K649">
        <v>0.0254713241260025</v>
      </c>
      <c r="L649" t="s">
        <v>586</v>
      </c>
      <c r="M649" t="s">
        <v>637</v>
      </c>
      <c r="N649">
        <v>21.27</v>
      </c>
      <c r="O649">
        <v>3</v>
      </c>
      <c r="P649">
        <v>1.36</v>
      </c>
      <c r="Q649">
        <v>0.4533333333333334</v>
      </c>
      <c r="R649">
        <v>2</v>
      </c>
      <c r="S649">
        <v>0.06000153927394081</v>
      </c>
      <c r="T649" t="s">
        <v>938</v>
      </c>
      <c r="U649">
        <v>-0.114374857739261</v>
      </c>
      <c r="V649" t="s">
        <v>978</v>
      </c>
      <c r="W649" t="s">
        <v>984</v>
      </c>
      <c r="X649">
        <v>43952.985052</v>
      </c>
      <c r="Y649" s="2">
        <v>44777</v>
      </c>
      <c r="Z649" t="s">
        <v>998</v>
      </c>
    </row>
    <row r="650" spans="1:26">
      <c r="A650" s="1" t="s">
        <v>674</v>
      </c>
      <c r="B650">
        <f>HYPERLINK("https://www.suredividend.com/sure-analysis-CME/","CME Group Inc")</f>
        <v>0</v>
      </c>
      <c r="C650" t="s">
        <v>871</v>
      </c>
      <c r="D650">
        <v>195.8</v>
      </c>
      <c r="E650">
        <v>170.67</v>
      </c>
      <c r="F650">
        <v>159.2</v>
      </c>
      <c r="G650">
        <v>1.072047738693467</v>
      </c>
      <c r="H650">
        <v>0.02343704224526865</v>
      </c>
      <c r="I650">
        <v>-0.01381776486411501</v>
      </c>
      <c r="J650">
        <v>0.016</v>
      </c>
      <c r="K650">
        <v>0.02543296820681995</v>
      </c>
      <c r="L650" t="s">
        <v>586</v>
      </c>
      <c r="M650" t="s">
        <v>637</v>
      </c>
      <c r="N650">
        <v>21.44095477386935</v>
      </c>
      <c r="O650">
        <v>7.96</v>
      </c>
      <c r="P650">
        <v>4</v>
      </c>
      <c r="Q650">
        <v>0.5025125628140703</v>
      </c>
      <c r="R650">
        <v>17</v>
      </c>
      <c r="S650">
        <v>0.01878116161496424</v>
      </c>
      <c r="T650" t="s">
        <v>901</v>
      </c>
      <c r="U650">
        <v>-0.211851550828809</v>
      </c>
      <c r="V650" t="s">
        <v>978</v>
      </c>
      <c r="W650" t="s">
        <v>986</v>
      </c>
      <c r="X650">
        <v>61394.262166</v>
      </c>
      <c r="Y650" s="2">
        <v>44775</v>
      </c>
      <c r="Z650" t="s">
        <v>999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871</v>
      </c>
      <c r="D651">
        <v>105</v>
      </c>
      <c r="E651">
        <v>105.06</v>
      </c>
      <c r="F651">
        <v>79</v>
      </c>
      <c r="G651">
        <v>1.329873417721519</v>
      </c>
      <c r="H651">
        <v>0.04568817818389492</v>
      </c>
      <c r="I651">
        <v>-0.05542175491864099</v>
      </c>
      <c r="J651">
        <v>0.03</v>
      </c>
      <c r="K651">
        <v>0.02457776448090954</v>
      </c>
      <c r="L651" t="s">
        <v>586</v>
      </c>
      <c r="M651" t="s">
        <v>568</v>
      </c>
      <c r="N651">
        <v>10.64437689969605</v>
      </c>
      <c r="O651">
        <v>9.869999999999999</v>
      </c>
      <c r="P651">
        <v>4.8</v>
      </c>
      <c r="Q651">
        <v>0.486322188449848</v>
      </c>
      <c r="R651">
        <v>14</v>
      </c>
      <c r="S651">
        <v>0.04000235313991807</v>
      </c>
      <c r="T651" t="s">
        <v>916</v>
      </c>
      <c r="U651">
        <v>-0.017208670565652</v>
      </c>
      <c r="V651" t="s">
        <v>978</v>
      </c>
      <c r="W651" t="s">
        <v>986</v>
      </c>
      <c r="X651">
        <v>38662.08</v>
      </c>
      <c r="Y651" s="2">
        <v>44788</v>
      </c>
      <c r="Z651" t="s">
        <v>993</v>
      </c>
    </row>
    <row r="652" spans="1:26">
      <c r="A652" s="1" t="s">
        <v>676</v>
      </c>
      <c r="B652">
        <f>HYPERLINK("https://www.suredividend.com/sure-analysis-DRE/","Duke Realty Corp")</f>
        <v>0</v>
      </c>
      <c r="C652" t="s">
        <v>871</v>
      </c>
      <c r="D652">
        <v>63</v>
      </c>
      <c r="E652">
        <v>48.2</v>
      </c>
      <c r="F652">
        <v>34</v>
      </c>
      <c r="G652">
        <v>1.417647058823529</v>
      </c>
      <c r="H652">
        <v>0.02323651452282158</v>
      </c>
      <c r="I652">
        <v>-0.06741940224288978</v>
      </c>
      <c r="J652">
        <v>0.07000000000000001</v>
      </c>
      <c r="K652">
        <v>0.02443002270995009</v>
      </c>
      <c r="L652" t="s">
        <v>586</v>
      </c>
      <c r="M652" t="s">
        <v>637</v>
      </c>
      <c r="N652">
        <v>25.23560209424084</v>
      </c>
      <c r="O652">
        <v>1.91</v>
      </c>
      <c r="P652">
        <v>1.12</v>
      </c>
      <c r="Q652">
        <v>0.5863874345549739</v>
      </c>
      <c r="R652">
        <v>7</v>
      </c>
      <c r="S652">
        <v>0.06016789231717423</v>
      </c>
      <c r="T652" t="s">
        <v>883</v>
      </c>
      <c r="U652">
        <v>0.007788406251633</v>
      </c>
      <c r="V652" t="s">
        <v>980</v>
      </c>
      <c r="W652" t="s">
        <v>992</v>
      </c>
      <c r="X652">
        <v>18556.648911</v>
      </c>
      <c r="Y652" s="2">
        <v>44772</v>
      </c>
      <c r="Z652" t="s">
        <v>997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870</v>
      </c>
      <c r="D653">
        <v>24</v>
      </c>
      <c r="E653">
        <v>26.46</v>
      </c>
      <c r="F653">
        <v>19</v>
      </c>
      <c r="G653">
        <v>1.392631578947368</v>
      </c>
      <c r="H653">
        <v>0.02380952380952381</v>
      </c>
      <c r="I653">
        <v>-0.06409287785359019</v>
      </c>
      <c r="J653">
        <v>0.065</v>
      </c>
      <c r="K653">
        <v>0.02339612208624353</v>
      </c>
      <c r="L653" t="s">
        <v>586</v>
      </c>
      <c r="M653" t="s">
        <v>586</v>
      </c>
      <c r="N653">
        <v>16.5375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930</v>
      </c>
      <c r="U653">
        <v>0.08301919227888301</v>
      </c>
      <c r="V653" t="s">
        <v>978</v>
      </c>
      <c r="W653" t="s">
        <v>991</v>
      </c>
      <c r="X653">
        <v>17673.523374</v>
      </c>
      <c r="Y653" s="2">
        <v>44778</v>
      </c>
      <c r="Z653" t="s">
        <v>998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871</v>
      </c>
      <c r="D654">
        <v>98</v>
      </c>
      <c r="E654">
        <v>97.65000000000001</v>
      </c>
      <c r="F654">
        <v>70</v>
      </c>
      <c r="G654">
        <v>1.395</v>
      </c>
      <c r="H654">
        <v>0.009831029185867894</v>
      </c>
      <c r="I654">
        <v>-0.06441088918158777</v>
      </c>
      <c r="J654">
        <v>0.08</v>
      </c>
      <c r="K654">
        <v>0.0221113222151923</v>
      </c>
      <c r="L654" t="s">
        <v>586</v>
      </c>
      <c r="M654" t="s">
        <v>637</v>
      </c>
      <c r="N654">
        <v>52.78378378378378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901</v>
      </c>
      <c r="U654">
        <v>-0.163312204074708</v>
      </c>
      <c r="V654" t="s">
        <v>978</v>
      </c>
      <c r="W654" t="s">
        <v>984</v>
      </c>
      <c r="X654">
        <v>5060.379924</v>
      </c>
      <c r="Y654" s="2">
        <v>44776</v>
      </c>
      <c r="Z654" t="s">
        <v>998</v>
      </c>
    </row>
    <row r="655" spans="1:26">
      <c r="A655" s="1" t="s">
        <v>679</v>
      </c>
      <c r="B655">
        <f>HYPERLINK("https://www.suredividend.com/sure-analysis-SBS/","Companhia de Saneamento Basico do Estado de Sao Paulo.")</f>
        <v>0</v>
      </c>
      <c r="C655" t="s">
        <v>870</v>
      </c>
      <c r="D655">
        <v>8.56</v>
      </c>
      <c r="E655">
        <v>11.77</v>
      </c>
      <c r="F655">
        <v>8.800000000000001</v>
      </c>
      <c r="G655">
        <v>1.3375</v>
      </c>
      <c r="H655">
        <v>0.02124044180118946</v>
      </c>
      <c r="I655">
        <v>-0.05650143957617437</v>
      </c>
      <c r="J655">
        <v>0.05</v>
      </c>
      <c r="K655">
        <v>0.01462327081807024</v>
      </c>
      <c r="L655" t="s">
        <v>586</v>
      </c>
      <c r="M655" t="s">
        <v>637</v>
      </c>
      <c r="N655">
        <v>13.375</v>
      </c>
      <c r="O655">
        <v>0.88</v>
      </c>
      <c r="P655">
        <v>0.25</v>
      </c>
      <c r="Q655">
        <v>0.2840909090909091</v>
      </c>
      <c r="R655">
        <v>1</v>
      </c>
      <c r="S655">
        <v>0.04396114979019283</v>
      </c>
      <c r="T655" t="s">
        <v>944</v>
      </c>
      <c r="U655">
        <v>0.8765046314748971</v>
      </c>
      <c r="V655" t="s">
        <v>978</v>
      </c>
      <c r="W655" t="s">
        <v>987</v>
      </c>
      <c r="X655">
        <v>8044.911158</v>
      </c>
      <c r="Y655" s="2">
        <v>44787</v>
      </c>
      <c r="Z655" t="s">
        <v>1000</v>
      </c>
    </row>
    <row r="656" spans="1:26">
      <c r="A656" s="1" t="s">
        <v>680</v>
      </c>
      <c r="B656">
        <f>HYPERLINK("https://www.suredividend.com/sure-analysis-CWEN/","Clearway Energy Inc")</f>
        <v>0</v>
      </c>
      <c r="C656" t="s">
        <v>871</v>
      </c>
      <c r="D656">
        <v>36</v>
      </c>
      <c r="E656">
        <v>35.74</v>
      </c>
      <c r="F656">
        <v>25</v>
      </c>
      <c r="G656">
        <v>1.4296</v>
      </c>
      <c r="H656">
        <v>0.04113038612199216</v>
      </c>
      <c r="I656">
        <v>-0.06898411259852888</v>
      </c>
      <c r="J656">
        <v>0.035</v>
      </c>
      <c r="K656">
        <v>0.01297166970415375</v>
      </c>
      <c r="L656" t="s">
        <v>586</v>
      </c>
      <c r="M656" t="s">
        <v>568</v>
      </c>
      <c r="N656">
        <v>7.148000000000001</v>
      </c>
      <c r="O656">
        <v>5</v>
      </c>
      <c r="P656">
        <v>1.47</v>
      </c>
      <c r="Q656">
        <v>0.294</v>
      </c>
      <c r="R656">
        <v>4</v>
      </c>
      <c r="S656">
        <v>0.04592392564192505</v>
      </c>
      <c r="T656" t="s">
        <v>874</v>
      </c>
      <c r="U656">
        <v>-2.797977621E-06</v>
      </c>
      <c r="V656" t="s">
        <v>978</v>
      </c>
      <c r="W656" t="s">
        <v>987</v>
      </c>
      <c r="X656">
        <v>4083.938115</v>
      </c>
      <c r="Y656" s="2">
        <v>44775</v>
      </c>
      <c r="Z656" t="s">
        <v>998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871</v>
      </c>
      <c r="D657">
        <v>212</v>
      </c>
      <c r="E657">
        <v>199.2</v>
      </c>
      <c r="F657">
        <v>141</v>
      </c>
      <c r="G657">
        <v>1.412765957446808</v>
      </c>
      <c r="H657">
        <v>0.007379518072289157</v>
      </c>
      <c r="I657">
        <v>-0.06677587844627009</v>
      </c>
      <c r="J657">
        <v>0.075</v>
      </c>
      <c r="K657">
        <v>0.01215225795679009</v>
      </c>
      <c r="L657" t="s">
        <v>586</v>
      </c>
      <c r="M657" t="s">
        <v>637</v>
      </c>
      <c r="N657">
        <v>40.98765432098765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972</v>
      </c>
      <c r="U657">
        <v>-0.220707583430647</v>
      </c>
      <c r="V657" t="s">
        <v>978</v>
      </c>
      <c r="W657" t="s">
        <v>983</v>
      </c>
      <c r="X657">
        <v>36801.779688</v>
      </c>
      <c r="Y657" s="2">
        <v>44789</v>
      </c>
      <c r="Z657" t="s">
        <v>993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871</v>
      </c>
      <c r="D658">
        <v>39</v>
      </c>
      <c r="E658">
        <v>38.15</v>
      </c>
      <c r="F658">
        <v>29</v>
      </c>
      <c r="G658">
        <v>1.31551724137931</v>
      </c>
      <c r="H658">
        <v>0.02096985583224116</v>
      </c>
      <c r="I658">
        <v>-0.05336906842977995</v>
      </c>
      <c r="J658">
        <v>0.04</v>
      </c>
      <c r="K658">
        <v>0.009119570306475033</v>
      </c>
      <c r="L658" t="s">
        <v>586</v>
      </c>
      <c r="M658" t="s">
        <v>637</v>
      </c>
      <c r="N658">
        <v>22.44117647058824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911</v>
      </c>
      <c r="U658">
        <v>0.007760948008516001</v>
      </c>
      <c r="V658" t="s">
        <v>978</v>
      </c>
      <c r="W658" t="s">
        <v>985</v>
      </c>
      <c r="X658">
        <v>1249.389038</v>
      </c>
      <c r="Y658" s="2">
        <v>44862</v>
      </c>
      <c r="Z658" t="s">
        <v>994</v>
      </c>
    </row>
    <row r="659" spans="1:26">
      <c r="A659" s="1" t="s">
        <v>683</v>
      </c>
      <c r="B659">
        <f>HYPERLINK("https://www.suredividend.com/sure-analysis-ETN/","Eaton Corporation plc")</f>
        <v>0</v>
      </c>
      <c r="C659" t="s">
        <v>871</v>
      </c>
      <c r="D659">
        <v>152</v>
      </c>
      <c r="E659">
        <v>158.69</v>
      </c>
      <c r="F659">
        <v>121</v>
      </c>
      <c r="G659">
        <v>1.311487603305785</v>
      </c>
      <c r="H659">
        <v>0.02041716554288235</v>
      </c>
      <c r="I659">
        <v>-0.05278806401436087</v>
      </c>
      <c r="J659">
        <v>0.04</v>
      </c>
      <c r="K659">
        <v>0.00776070561347586</v>
      </c>
      <c r="L659" t="s">
        <v>586</v>
      </c>
      <c r="M659" t="s">
        <v>637</v>
      </c>
      <c r="N659">
        <v>20.99074074074074</v>
      </c>
      <c r="O659">
        <v>7.56</v>
      </c>
      <c r="P659">
        <v>3.24</v>
      </c>
      <c r="Q659">
        <v>0.4285714285714286</v>
      </c>
      <c r="R659">
        <v>13</v>
      </c>
      <c r="S659">
        <v>0.0302166557593837</v>
      </c>
      <c r="T659" t="s">
        <v>913</v>
      </c>
      <c r="U659">
        <v>-0.05767991757891001</v>
      </c>
      <c r="V659" t="s">
        <v>978</v>
      </c>
      <c r="W659" t="s">
        <v>984</v>
      </c>
      <c r="X659">
        <v>63111.013</v>
      </c>
      <c r="Y659" s="2">
        <v>44867</v>
      </c>
      <c r="Z659" t="s">
        <v>993</v>
      </c>
    </row>
    <row r="660" spans="1:26">
      <c r="A660" s="1" t="s">
        <v>684</v>
      </c>
      <c r="B660">
        <f>HYPERLINK("https://www.suredividend.com/sure-analysis-SLB/","SLB")</f>
        <v>0</v>
      </c>
      <c r="C660" t="s">
        <v>871</v>
      </c>
      <c r="D660">
        <v>50</v>
      </c>
      <c r="E660">
        <v>53.1</v>
      </c>
      <c r="F660">
        <v>31</v>
      </c>
      <c r="G660">
        <v>1.712903225806452</v>
      </c>
      <c r="H660">
        <v>0.01318267419962335</v>
      </c>
      <c r="I660">
        <v>-0.1020473539486113</v>
      </c>
      <c r="J660">
        <v>0.09</v>
      </c>
      <c r="K660">
        <v>-0.002731709569024243</v>
      </c>
      <c r="L660" t="s">
        <v>586</v>
      </c>
      <c r="M660" t="s">
        <v>637</v>
      </c>
      <c r="N660">
        <v>24.13636363636364</v>
      </c>
      <c r="O660">
        <v>2.2</v>
      </c>
      <c r="P660">
        <v>0.7</v>
      </c>
      <c r="Q660">
        <v>0.3181818181818181</v>
      </c>
      <c r="R660">
        <v>1</v>
      </c>
      <c r="S660">
        <v>0.09856054330611785</v>
      </c>
      <c r="T660" t="s">
        <v>897</v>
      </c>
      <c r="U660">
        <v>0.613599207482724</v>
      </c>
      <c r="V660" t="s">
        <v>978</v>
      </c>
      <c r="W660" t="s">
        <v>991</v>
      </c>
      <c r="X660">
        <v>75295.469453</v>
      </c>
      <c r="Y660" s="2">
        <v>44858</v>
      </c>
      <c r="Z660" t="s">
        <v>996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871</v>
      </c>
      <c r="D661">
        <v>38</v>
      </c>
      <c r="E661">
        <v>39.62</v>
      </c>
      <c r="F661">
        <v>28</v>
      </c>
      <c r="G661">
        <v>1.415</v>
      </c>
      <c r="H661">
        <v>0.01514386673397274</v>
      </c>
      <c r="I661">
        <v>-0.0670707449203426</v>
      </c>
      <c r="J661">
        <v>0.05</v>
      </c>
      <c r="K661">
        <v>-0.004503357770848093</v>
      </c>
      <c r="L661" t="s">
        <v>586</v>
      </c>
      <c r="M661" t="s">
        <v>637</v>
      </c>
      <c r="N661">
        <v>33.01666666666667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901</v>
      </c>
      <c r="U661">
        <v>-0.429650679035271</v>
      </c>
      <c r="V661" t="s">
        <v>978</v>
      </c>
      <c r="W661" t="s">
        <v>989</v>
      </c>
      <c r="X661">
        <v>1353.457116</v>
      </c>
      <c r="Y661" s="2">
        <v>44780</v>
      </c>
      <c r="Z661" t="s">
        <v>1000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869</v>
      </c>
      <c r="D662">
        <v>14.7</v>
      </c>
      <c r="E662">
        <v>18.79</v>
      </c>
      <c r="F662">
        <v>12.7</v>
      </c>
      <c r="G662">
        <v>1.479527559055118</v>
      </c>
      <c r="H662">
        <v>0.01809473124002129</v>
      </c>
      <c r="I662">
        <v>-0.07535422799029001</v>
      </c>
      <c r="J662">
        <v>0.049</v>
      </c>
      <c r="K662">
        <v>-0.00691321771102571</v>
      </c>
      <c r="L662" t="s">
        <v>586</v>
      </c>
      <c r="M662" t="s">
        <v>637</v>
      </c>
      <c r="N662">
        <v>28.04477611940298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891</v>
      </c>
      <c r="U662">
        <v>0.6998217855818201</v>
      </c>
      <c r="V662" t="s">
        <v>978</v>
      </c>
      <c r="W662" t="s">
        <v>987</v>
      </c>
      <c r="X662">
        <v>287.214977</v>
      </c>
      <c r="Y662" s="2">
        <v>44786</v>
      </c>
      <c r="Z662" t="s">
        <v>999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871</v>
      </c>
      <c r="D663">
        <v>23.5</v>
      </c>
      <c r="E663">
        <v>25.95</v>
      </c>
      <c r="F663">
        <v>18.5</v>
      </c>
      <c r="G663">
        <v>1.402702702702703</v>
      </c>
      <c r="H663">
        <v>0.02774566473988439</v>
      </c>
      <c r="I663">
        <v>-0.06544067925234021</v>
      </c>
      <c r="J663">
        <v>0.03</v>
      </c>
      <c r="K663">
        <v>-0.007061887385245713</v>
      </c>
      <c r="L663" t="s">
        <v>586</v>
      </c>
      <c r="M663" t="s">
        <v>637</v>
      </c>
      <c r="N663">
        <v>18.27464788732394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889</v>
      </c>
      <c r="U663">
        <v>-0.270838016454614</v>
      </c>
      <c r="V663" t="s">
        <v>978</v>
      </c>
      <c r="W663" t="s">
        <v>984</v>
      </c>
      <c r="X663">
        <v>296.26378</v>
      </c>
      <c r="Y663" s="2">
        <v>44781</v>
      </c>
      <c r="Z663" t="s">
        <v>1004</v>
      </c>
    </row>
    <row r="664" spans="1:26">
      <c r="A664" s="1" t="s">
        <v>688</v>
      </c>
      <c r="B664">
        <f>HYPERLINK("https://www.suredividend.com/sure-analysis-COLD/","Americold Realty Trust Inc")</f>
        <v>0</v>
      </c>
      <c r="C664" t="s">
        <v>871</v>
      </c>
      <c r="D664">
        <v>31.35</v>
      </c>
      <c r="E664">
        <v>27.66</v>
      </c>
      <c r="F664">
        <v>18.9</v>
      </c>
      <c r="G664">
        <v>1.463492063492064</v>
      </c>
      <c r="H664">
        <v>0.03181489515545915</v>
      </c>
      <c r="I664">
        <v>-0.0733367804051942</v>
      </c>
      <c r="J664">
        <v>0.03</v>
      </c>
      <c r="K664">
        <v>-0.007306679364494917</v>
      </c>
      <c r="L664" t="s">
        <v>586</v>
      </c>
      <c r="M664" t="s">
        <v>586</v>
      </c>
      <c r="N664">
        <v>26.34285714285714</v>
      </c>
      <c r="O664">
        <v>1.05</v>
      </c>
      <c r="P664">
        <v>0.88</v>
      </c>
      <c r="Q664">
        <v>0.8380952380952381</v>
      </c>
      <c r="R664">
        <v>3</v>
      </c>
      <c r="S664">
        <v>0.02589630491023409</v>
      </c>
      <c r="T664" t="s">
        <v>886</v>
      </c>
      <c r="U664">
        <v>0.01500862353675</v>
      </c>
      <c r="V664" t="s">
        <v>980</v>
      </c>
      <c r="W664" t="s">
        <v>992</v>
      </c>
      <c r="X664">
        <v>7450.654958</v>
      </c>
      <c r="Y664" s="2">
        <v>44778</v>
      </c>
      <c r="Z664" t="s">
        <v>1000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871</v>
      </c>
      <c r="D665">
        <v>154</v>
      </c>
      <c r="E665">
        <v>137.35</v>
      </c>
      <c r="F665">
        <v>95</v>
      </c>
      <c r="G665">
        <v>1.445789473684211</v>
      </c>
      <c r="H665">
        <v>0.0320349472151438</v>
      </c>
      <c r="I665">
        <v>-0.07107855665286056</v>
      </c>
      <c r="J665">
        <v>0.03</v>
      </c>
      <c r="K665">
        <v>-0.007717719752172725</v>
      </c>
      <c r="L665" t="s">
        <v>586</v>
      </c>
      <c r="M665" t="s">
        <v>586</v>
      </c>
      <c r="N665">
        <v>14.45789473684211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886</v>
      </c>
      <c r="U665">
        <v>-0.234037617201725</v>
      </c>
      <c r="V665" t="s">
        <v>978</v>
      </c>
      <c r="W665" t="s">
        <v>983</v>
      </c>
      <c r="X665">
        <v>224086.352763</v>
      </c>
      <c r="Y665" s="2">
        <v>44795</v>
      </c>
      <c r="Z665" t="s">
        <v>994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871</v>
      </c>
      <c r="D666">
        <v>10.4</v>
      </c>
      <c r="E666">
        <v>10.53</v>
      </c>
      <c r="F666">
        <v>7.5</v>
      </c>
      <c r="G666">
        <v>1.404</v>
      </c>
      <c r="H666">
        <v>0.02469135802469136</v>
      </c>
      <c r="I666">
        <v>-0.06561344985540585</v>
      </c>
      <c r="J666">
        <v>0.03</v>
      </c>
      <c r="K666">
        <v>-0.01038328277779332</v>
      </c>
      <c r="L666" t="s">
        <v>586</v>
      </c>
      <c r="M666" t="s">
        <v>637</v>
      </c>
      <c r="N666">
        <v>21.06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913</v>
      </c>
      <c r="U666">
        <v>0.340854683441145</v>
      </c>
      <c r="V666" t="s">
        <v>978</v>
      </c>
      <c r="W666" t="s">
        <v>985</v>
      </c>
      <c r="X666">
        <v>7591.329362</v>
      </c>
      <c r="Y666" s="2">
        <v>44792</v>
      </c>
      <c r="Z666" t="s">
        <v>994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871</v>
      </c>
      <c r="D667">
        <v>38</v>
      </c>
      <c r="E667">
        <v>32.88</v>
      </c>
      <c r="F667">
        <v>22</v>
      </c>
      <c r="G667">
        <v>1.494545454545455</v>
      </c>
      <c r="H667">
        <v>0.03436739659367396</v>
      </c>
      <c r="I667">
        <v>-0.07721999748995578</v>
      </c>
      <c r="J667">
        <v>0.025</v>
      </c>
      <c r="K667">
        <v>-0.01236954187969874</v>
      </c>
      <c r="L667" t="s">
        <v>586</v>
      </c>
      <c r="M667" t="s">
        <v>586</v>
      </c>
      <c r="N667">
        <v>25.6875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887</v>
      </c>
      <c r="U667">
        <v>-0.138423482676756</v>
      </c>
      <c r="V667" t="s">
        <v>980</v>
      </c>
      <c r="W667" t="s">
        <v>992</v>
      </c>
      <c r="X667">
        <v>4810.104831</v>
      </c>
      <c r="Y667" s="2">
        <v>44793</v>
      </c>
      <c r="Z667" t="s">
        <v>997</v>
      </c>
    </row>
    <row r="668" spans="1:26">
      <c r="A668" s="1" t="s">
        <v>692</v>
      </c>
      <c r="B668">
        <f>HYPERLINK("https://www.suredividend.com/sure-analysis-TRN/","Trinity Industries, Inc.")</f>
        <v>0</v>
      </c>
      <c r="C668" t="s">
        <v>871</v>
      </c>
      <c r="D668">
        <v>28</v>
      </c>
      <c r="E668">
        <v>29.73</v>
      </c>
      <c r="F668">
        <v>15</v>
      </c>
      <c r="G668">
        <v>1.982</v>
      </c>
      <c r="H668">
        <v>0.03094517322569795</v>
      </c>
      <c r="I668">
        <v>-0.1278739276857417</v>
      </c>
      <c r="J668">
        <v>0.08</v>
      </c>
      <c r="K668">
        <v>-0.01503125829231511</v>
      </c>
      <c r="L668" t="s">
        <v>586</v>
      </c>
      <c r="M668" t="s">
        <v>586</v>
      </c>
      <c r="N668">
        <v>29.14705882352941</v>
      </c>
      <c r="O668">
        <v>1.02</v>
      </c>
      <c r="P668">
        <v>0.92</v>
      </c>
      <c r="Q668">
        <v>0.9019607843137255</v>
      </c>
      <c r="R668">
        <v>12</v>
      </c>
      <c r="S668">
        <v>0.06151655480544238</v>
      </c>
      <c r="T668" t="s">
        <v>910</v>
      </c>
      <c r="U668">
        <v>0.06687623805012401</v>
      </c>
      <c r="V668" t="s">
        <v>978</v>
      </c>
      <c r="W668" t="s">
        <v>984</v>
      </c>
      <c r="X668">
        <v>2420.12216</v>
      </c>
      <c r="Y668" s="2">
        <v>44865</v>
      </c>
      <c r="Z668" t="s">
        <v>1003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88.73999999999999</v>
      </c>
      <c r="F669">
        <v>49</v>
      </c>
      <c r="G669">
        <v>1.811020408163265</v>
      </c>
      <c r="H669">
        <v>0.01667793554203291</v>
      </c>
      <c r="I669">
        <v>-0.111995163564147</v>
      </c>
      <c r="J669">
        <v>0.07000000000000001</v>
      </c>
      <c r="K669">
        <v>-0.02443791089710556</v>
      </c>
      <c r="L669" t="s">
        <v>586</v>
      </c>
      <c r="M669" t="s">
        <v>637</v>
      </c>
      <c r="N669">
        <v>25.35428571428571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905</v>
      </c>
      <c r="U669">
        <v>-0.205394790921407</v>
      </c>
      <c r="V669" t="s">
        <v>978</v>
      </c>
      <c r="W669" t="s">
        <v>984</v>
      </c>
      <c r="X669">
        <v>5803.045635</v>
      </c>
      <c r="Y669" s="2">
        <v>44867</v>
      </c>
      <c r="Z669" t="s">
        <v>998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84</v>
      </c>
      <c r="F670">
        <v>54</v>
      </c>
      <c r="G670">
        <v>1.555555555555556</v>
      </c>
      <c r="H670">
        <v>0.03666666666666667</v>
      </c>
      <c r="I670">
        <v>-0.08457473433049822</v>
      </c>
      <c r="J670">
        <v>0</v>
      </c>
      <c r="K670">
        <v>-0.03209706344362206</v>
      </c>
      <c r="L670" t="s">
        <v>586</v>
      </c>
      <c r="M670" t="s">
        <v>586</v>
      </c>
      <c r="N670">
        <v>14.11764705882353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956</v>
      </c>
      <c r="U670">
        <v>-0.137623928061409</v>
      </c>
      <c r="V670" t="s">
        <v>978</v>
      </c>
      <c r="W670" t="s">
        <v>989</v>
      </c>
      <c r="X670">
        <v>1339.0125</v>
      </c>
      <c r="Y670" s="2">
        <v>44864</v>
      </c>
      <c r="Z670" t="s">
        <v>1000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871</v>
      </c>
      <c r="D671">
        <v>118</v>
      </c>
      <c r="E671">
        <v>126.62</v>
      </c>
      <c r="F671">
        <v>63</v>
      </c>
      <c r="G671">
        <v>2.00984126984127</v>
      </c>
      <c r="H671">
        <v>0.01500552835255094</v>
      </c>
      <c r="I671">
        <v>-0.1303036486956093</v>
      </c>
      <c r="J671">
        <v>0.08</v>
      </c>
      <c r="K671">
        <v>-0.037486320987836</v>
      </c>
      <c r="L671" t="s">
        <v>586</v>
      </c>
      <c r="M671" t="s">
        <v>637</v>
      </c>
      <c r="N671">
        <v>28.13777777777778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885</v>
      </c>
      <c r="U671">
        <v>0.3634758188177321</v>
      </c>
      <c r="V671" t="s">
        <v>978</v>
      </c>
      <c r="W671" t="s">
        <v>986</v>
      </c>
      <c r="X671">
        <v>74081.526933</v>
      </c>
      <c r="Y671" s="2">
        <v>44848</v>
      </c>
      <c r="Z671" t="s">
        <v>1000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871</v>
      </c>
      <c r="D672">
        <v>113</v>
      </c>
      <c r="E672">
        <v>129.12</v>
      </c>
      <c r="F672">
        <v>61</v>
      </c>
      <c r="G672">
        <v>2.11672131147541</v>
      </c>
      <c r="H672">
        <v>0.02633209417596034</v>
      </c>
      <c r="I672">
        <v>-0.1392693591740712</v>
      </c>
      <c r="J672">
        <v>0.07000000000000001</v>
      </c>
      <c r="K672">
        <v>-0.03999444450948753</v>
      </c>
      <c r="L672" t="s">
        <v>586</v>
      </c>
      <c r="M672" t="s">
        <v>637</v>
      </c>
      <c r="N672">
        <v>22.07179487179488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881</v>
      </c>
      <c r="U672">
        <v>0.133192210883279</v>
      </c>
      <c r="V672" t="s">
        <v>978</v>
      </c>
      <c r="W672" t="s">
        <v>986</v>
      </c>
      <c r="X672">
        <v>34243.860195</v>
      </c>
      <c r="Y672" s="2">
        <v>44777</v>
      </c>
      <c r="Z672" t="s">
        <v>998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128.72</v>
      </c>
      <c r="F673">
        <v>81</v>
      </c>
      <c r="G673">
        <v>1.589135802469136</v>
      </c>
      <c r="H673">
        <v>0.03045369794903667</v>
      </c>
      <c r="I673">
        <v>-0.08847665139048511</v>
      </c>
      <c r="J673">
        <v>0</v>
      </c>
      <c r="K673">
        <v>-0.0481020535114941</v>
      </c>
      <c r="L673" t="s">
        <v>586</v>
      </c>
      <c r="M673" t="s">
        <v>637</v>
      </c>
      <c r="N673">
        <v>17.16266666666667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954</v>
      </c>
      <c r="U673">
        <v>0.7562793946894101</v>
      </c>
      <c r="V673" t="s">
        <v>978</v>
      </c>
      <c r="W673" t="s">
        <v>991</v>
      </c>
      <c r="X673">
        <v>49624.556344</v>
      </c>
      <c r="Y673" s="2">
        <v>44860</v>
      </c>
      <c r="Z673" t="s">
        <v>996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93.22</v>
      </c>
      <c r="F674">
        <v>78</v>
      </c>
      <c r="G674">
        <v>1.195128205128205</v>
      </c>
      <c r="H674">
        <v>0.02274190087963956</v>
      </c>
      <c r="I674">
        <v>-0.03502269190877128</v>
      </c>
      <c r="J674">
        <v>-0.05</v>
      </c>
      <c r="K674">
        <v>-0.05224738092267522</v>
      </c>
      <c r="L674" t="s">
        <v>586</v>
      </c>
      <c r="M674" t="s">
        <v>637</v>
      </c>
      <c r="N674">
        <v>15.53666666666667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889</v>
      </c>
      <c r="U674">
        <v>-0.192659279178629</v>
      </c>
      <c r="V674" t="s">
        <v>978</v>
      </c>
      <c r="W674" t="s">
        <v>986</v>
      </c>
      <c r="X674">
        <v>4647.09372</v>
      </c>
      <c r="Y674" s="2">
        <v>44870</v>
      </c>
      <c r="Z674" t="s">
        <v>1006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48.99</v>
      </c>
      <c r="F675">
        <v>29</v>
      </c>
      <c r="G675">
        <v>1.689310344827586</v>
      </c>
      <c r="H675">
        <v>0.02041232904674423</v>
      </c>
      <c r="I675">
        <v>-0.09955309080429187</v>
      </c>
      <c r="J675">
        <v>0</v>
      </c>
      <c r="K675">
        <v>-0.07044670316005497</v>
      </c>
      <c r="L675" t="s">
        <v>586</v>
      </c>
      <c r="M675" t="s">
        <v>637</v>
      </c>
      <c r="N675">
        <v>24.495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878</v>
      </c>
      <c r="U675">
        <v>0.7122665249972041</v>
      </c>
      <c r="V675" t="s">
        <v>978</v>
      </c>
      <c r="W675" t="s">
        <v>991</v>
      </c>
      <c r="X675">
        <v>15996.717045</v>
      </c>
      <c r="Y675" s="2">
        <v>44796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869</v>
      </c>
      <c r="D676">
        <v>15.9</v>
      </c>
      <c r="E676">
        <v>11.26</v>
      </c>
      <c r="F676">
        <v>22.8</v>
      </c>
      <c r="G676">
        <v>0.493859649122807</v>
      </c>
      <c r="H676">
        <v>0.1030195381882771</v>
      </c>
      <c r="I676">
        <v>0.1515406974595672</v>
      </c>
      <c r="J676">
        <v>0.057</v>
      </c>
      <c r="K676">
        <v>0.2667411460655753</v>
      </c>
      <c r="L676" t="s">
        <v>637</v>
      </c>
      <c r="M676" t="s">
        <v>873</v>
      </c>
      <c r="N676">
        <v>6.186813186813186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883</v>
      </c>
      <c r="U676">
        <v>-0.423208925406468</v>
      </c>
      <c r="V676" t="s">
        <v>980</v>
      </c>
      <c r="W676" t="s">
        <v>992</v>
      </c>
      <c r="X676">
        <v>6744.74</v>
      </c>
      <c r="Y676" s="2">
        <v>44780</v>
      </c>
      <c r="Z676" t="s">
        <v>999</v>
      </c>
    </row>
    <row r="677" spans="1:26">
      <c r="A677" s="1" t="s">
        <v>701</v>
      </c>
      <c r="B677">
        <f>HYPERLINK("https://www.suredividend.com/sure-analysis-AGNC/","AGNC Investment Corp")</f>
        <v>0</v>
      </c>
      <c r="C677" t="s">
        <v>869</v>
      </c>
      <c r="D677">
        <v>12.6</v>
      </c>
      <c r="E677">
        <v>8.35</v>
      </c>
      <c r="F677">
        <v>20.8</v>
      </c>
      <c r="G677">
        <v>0.4014423076923077</v>
      </c>
      <c r="H677">
        <v>0.1724550898203593</v>
      </c>
      <c r="I677">
        <v>0.2002601075158301</v>
      </c>
      <c r="J677">
        <v>-0.008999999999999999</v>
      </c>
      <c r="K677">
        <v>0.2653033930711894</v>
      </c>
      <c r="L677" t="s">
        <v>637</v>
      </c>
      <c r="M677" t="s">
        <v>873</v>
      </c>
      <c r="N677">
        <v>3.211538461538461</v>
      </c>
      <c r="O677">
        <v>2.6</v>
      </c>
      <c r="P677">
        <v>1.44</v>
      </c>
      <c r="Q677">
        <v>0.5538461538461538</v>
      </c>
      <c r="R677">
        <v>0</v>
      </c>
      <c r="S677">
        <v>0</v>
      </c>
      <c r="T677" t="s">
        <v>911</v>
      </c>
      <c r="U677">
        <v>-0.411300215739082</v>
      </c>
      <c r="V677" t="s">
        <v>980</v>
      </c>
      <c r="W677" t="s">
        <v>992</v>
      </c>
      <c r="X677">
        <v>4364.735539</v>
      </c>
      <c r="Y677" s="2">
        <v>44771</v>
      </c>
      <c r="Z677" t="s">
        <v>999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870</v>
      </c>
      <c r="D678">
        <v>9</v>
      </c>
      <c r="E678">
        <v>6.27</v>
      </c>
      <c r="F678">
        <v>11</v>
      </c>
      <c r="G678">
        <v>0.57</v>
      </c>
      <c r="H678">
        <v>0.2105263157894737</v>
      </c>
      <c r="I678">
        <v>0.11898696853861</v>
      </c>
      <c r="J678">
        <v>0.02</v>
      </c>
      <c r="K678">
        <v>0.2448673188477615</v>
      </c>
      <c r="L678" t="s">
        <v>637</v>
      </c>
      <c r="M678" t="s">
        <v>568</v>
      </c>
      <c r="N678">
        <v>4.478571428571429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886</v>
      </c>
      <c r="U678">
        <v>-0.566312061643172</v>
      </c>
      <c r="V678" t="s">
        <v>980</v>
      </c>
      <c r="W678" t="s">
        <v>992</v>
      </c>
      <c r="X678">
        <v>1453.099749</v>
      </c>
      <c r="Y678" s="2">
        <v>44800</v>
      </c>
      <c r="Z678" t="s">
        <v>996</v>
      </c>
    </row>
    <row r="679" spans="1:26">
      <c r="A679" s="1" t="s">
        <v>703</v>
      </c>
      <c r="B679">
        <f>HYPERLINK("https://www.suredividend.com/sure-analysis-LUMN/","Lumen Technologies Inc")</f>
        <v>0</v>
      </c>
      <c r="C679" t="s">
        <v>869</v>
      </c>
      <c r="D679">
        <v>11</v>
      </c>
      <c r="E679">
        <v>5.92</v>
      </c>
      <c r="F679">
        <v>12</v>
      </c>
      <c r="G679">
        <v>0.4933333333333333</v>
      </c>
      <c r="H679">
        <v>0.1689189189189189</v>
      </c>
      <c r="I679">
        <v>0.1517862983700349</v>
      </c>
      <c r="J679">
        <v>0.01</v>
      </c>
      <c r="K679">
        <v>0.2436494690623459</v>
      </c>
      <c r="L679" t="s">
        <v>637</v>
      </c>
      <c r="M679" t="s">
        <v>873</v>
      </c>
      <c r="N679">
        <v>3.794871794871795</v>
      </c>
      <c r="O679">
        <v>1.56</v>
      </c>
      <c r="P679">
        <v>1</v>
      </c>
      <c r="Q679">
        <v>0.641025641025641</v>
      </c>
      <c r="R679">
        <v>0</v>
      </c>
      <c r="S679">
        <v>0</v>
      </c>
      <c r="T679" t="s">
        <v>877</v>
      </c>
      <c r="U679">
        <v>-0.538138667623676</v>
      </c>
      <c r="V679" t="s">
        <v>978</v>
      </c>
      <c r="W679" t="s">
        <v>985</v>
      </c>
      <c r="X679">
        <v>6124.730431</v>
      </c>
      <c r="Y679" s="2">
        <v>44777</v>
      </c>
      <c r="Z679" t="s">
        <v>998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869</v>
      </c>
      <c r="D680">
        <v>13</v>
      </c>
      <c r="E680">
        <v>12.59</v>
      </c>
      <c r="F680">
        <v>19</v>
      </c>
      <c r="G680">
        <v>0.6626315789473685</v>
      </c>
      <c r="H680">
        <v>0.07227958697378872</v>
      </c>
      <c r="I680">
        <v>0.08578934154941265</v>
      </c>
      <c r="J680">
        <v>0.11</v>
      </c>
      <c r="K680">
        <v>0.2394858961335817</v>
      </c>
      <c r="L680" t="s">
        <v>637</v>
      </c>
      <c r="M680" t="s">
        <v>568</v>
      </c>
      <c r="N680">
        <v>11.99047619047619</v>
      </c>
      <c r="O680">
        <v>1.05</v>
      </c>
      <c r="P680">
        <v>0.91</v>
      </c>
      <c r="Q680">
        <v>0.8666666666666667</v>
      </c>
      <c r="R680">
        <v>0</v>
      </c>
      <c r="S680">
        <v>0.01904114973592153</v>
      </c>
      <c r="T680" t="s">
        <v>964</v>
      </c>
      <c r="U680">
        <v>-0.722360049838466</v>
      </c>
      <c r="V680" t="s">
        <v>978</v>
      </c>
      <c r="W680" t="s">
        <v>988</v>
      </c>
      <c r="X680">
        <v>11196.476882</v>
      </c>
      <c r="Y680" s="2">
        <v>44860</v>
      </c>
      <c r="Z680" t="s">
        <v>996</v>
      </c>
    </row>
    <row r="681" spans="1:26">
      <c r="A681" s="1" t="s">
        <v>705</v>
      </c>
      <c r="B681">
        <f>HYPERLINK("https://www.suredividend.com/sure-analysis-IIPR/","Innovative Industrial Properties Inc")</f>
        <v>0</v>
      </c>
      <c r="C681" t="s">
        <v>869</v>
      </c>
      <c r="D681">
        <v>101</v>
      </c>
      <c r="E681">
        <v>112.14</v>
      </c>
      <c r="F681">
        <v>128</v>
      </c>
      <c r="G681">
        <v>0.87609375</v>
      </c>
      <c r="H681">
        <v>0.06420545746388444</v>
      </c>
      <c r="I681">
        <v>0.02680951296612011</v>
      </c>
      <c r="J681">
        <v>0.15</v>
      </c>
      <c r="K681">
        <v>0.2273029832143847</v>
      </c>
      <c r="L681" t="s">
        <v>637</v>
      </c>
      <c r="M681" t="s">
        <v>568</v>
      </c>
      <c r="N681">
        <v>14.0175</v>
      </c>
      <c r="O681">
        <v>8</v>
      </c>
      <c r="P681">
        <v>7.2</v>
      </c>
      <c r="Q681">
        <v>0.9</v>
      </c>
      <c r="R681">
        <v>5</v>
      </c>
      <c r="S681">
        <v>0.1435470336492659</v>
      </c>
      <c r="T681" t="s">
        <v>886</v>
      </c>
      <c r="U681">
        <v>-0.560051205739813</v>
      </c>
      <c r="V681" t="s">
        <v>980</v>
      </c>
      <c r="W681" t="s">
        <v>992</v>
      </c>
      <c r="X681">
        <v>3136.940328</v>
      </c>
      <c r="Y681" s="2">
        <v>44777</v>
      </c>
      <c r="Z681" t="s">
        <v>1000</v>
      </c>
    </row>
    <row r="682" spans="1:26">
      <c r="A682" s="1" t="s">
        <v>706</v>
      </c>
      <c r="B682">
        <f>HYPERLINK("https://www.suredividend.com/sure-analysis-NSA/","National Storage Affiliates Trust")</f>
        <v>0</v>
      </c>
      <c r="C682" t="s">
        <v>869</v>
      </c>
      <c r="D682">
        <v>54</v>
      </c>
      <c r="E682">
        <v>37.91</v>
      </c>
      <c r="F682">
        <v>51</v>
      </c>
      <c r="G682">
        <v>0.7433333333333333</v>
      </c>
      <c r="H682">
        <v>0.05803218148245846</v>
      </c>
      <c r="I682">
        <v>0.06111701460094543</v>
      </c>
      <c r="J682">
        <v>0.12</v>
      </c>
      <c r="K682">
        <v>0.2251614487659914</v>
      </c>
      <c r="L682" t="s">
        <v>637</v>
      </c>
      <c r="M682" t="s">
        <v>568</v>
      </c>
      <c r="N682">
        <v>13.39575971731449</v>
      </c>
      <c r="O682">
        <v>2.83</v>
      </c>
      <c r="P682">
        <v>2.2</v>
      </c>
      <c r="Q682">
        <v>0.7773851590106008</v>
      </c>
      <c r="R682">
        <v>7</v>
      </c>
      <c r="S682">
        <v>0.09980608000232882</v>
      </c>
      <c r="T682" t="s">
        <v>883</v>
      </c>
      <c r="U682">
        <v>-0.373786928979079</v>
      </c>
      <c r="V682" t="s">
        <v>980</v>
      </c>
      <c r="W682" t="s">
        <v>992</v>
      </c>
      <c r="X682">
        <v>3478.682294</v>
      </c>
      <c r="Y682" s="2">
        <v>44777</v>
      </c>
      <c r="Z682" t="s">
        <v>1000</v>
      </c>
    </row>
    <row r="683" spans="1:26">
      <c r="A683" s="1" t="s">
        <v>707</v>
      </c>
      <c r="B683">
        <f>HYPERLINK("https://www.suredividend.com/sure-analysis-BDN/","Brandywine Realty Trust")</f>
        <v>0</v>
      </c>
      <c r="C683" t="s">
        <v>869</v>
      </c>
      <c r="D683">
        <v>6.2</v>
      </c>
      <c r="E683">
        <v>6.68</v>
      </c>
      <c r="F683">
        <v>13</v>
      </c>
      <c r="G683">
        <v>0.5138461538461538</v>
      </c>
      <c r="H683">
        <v>0.1137724550898204</v>
      </c>
      <c r="I683">
        <v>0.1424399405780268</v>
      </c>
      <c r="J683">
        <v>0.02</v>
      </c>
      <c r="K683">
        <v>0.2245043632428778</v>
      </c>
      <c r="L683" t="s">
        <v>637</v>
      </c>
      <c r="M683" t="s">
        <v>873</v>
      </c>
      <c r="N683">
        <v>4.875912408759124</v>
      </c>
      <c r="O683">
        <v>1.37</v>
      </c>
      <c r="P683">
        <v>0.76</v>
      </c>
      <c r="Q683">
        <v>0.5547445255474452</v>
      </c>
      <c r="R683">
        <v>0</v>
      </c>
      <c r="S683">
        <v>0.02021836907521135</v>
      </c>
      <c r="T683" t="s">
        <v>893</v>
      </c>
      <c r="U683">
        <v>-0.4833080659633051</v>
      </c>
      <c r="V683" t="s">
        <v>980</v>
      </c>
      <c r="W683" t="s">
        <v>992</v>
      </c>
      <c r="X683">
        <v>1146.086311</v>
      </c>
      <c r="Y683" s="2">
        <v>44855</v>
      </c>
      <c r="Z683" t="s">
        <v>996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869</v>
      </c>
      <c r="D684">
        <v>12.2</v>
      </c>
      <c r="E684">
        <v>9.4</v>
      </c>
      <c r="F684">
        <v>12.5</v>
      </c>
      <c r="G684">
        <v>0.752</v>
      </c>
      <c r="H684">
        <v>0.1914893617021277</v>
      </c>
      <c r="I684">
        <v>0.05865982377412293</v>
      </c>
      <c r="J684">
        <v>0.038</v>
      </c>
      <c r="K684">
        <v>0.2237047272804884</v>
      </c>
      <c r="L684" t="s">
        <v>637</v>
      </c>
      <c r="M684" t="s">
        <v>568</v>
      </c>
      <c r="N684">
        <v>4.895833333333334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883</v>
      </c>
      <c r="U684">
        <v>-0.487025566864034</v>
      </c>
      <c r="V684" t="s">
        <v>981</v>
      </c>
      <c r="W684" t="s">
        <v>986</v>
      </c>
      <c r="X684">
        <v>71.458405</v>
      </c>
      <c r="Y684" s="2">
        <v>44784</v>
      </c>
      <c r="Z684" t="s">
        <v>999</v>
      </c>
    </row>
    <row r="685" spans="1:26">
      <c r="A685" s="1" t="s">
        <v>709</v>
      </c>
      <c r="B685">
        <f>HYPERLINK("https://www.suredividend.com/sure-analysis-NLY/","Annaly Capital Management Inc")</f>
        <v>0</v>
      </c>
      <c r="C685" t="s">
        <v>869</v>
      </c>
      <c r="D685">
        <v>27.6</v>
      </c>
      <c r="E685">
        <v>18.22</v>
      </c>
      <c r="F685">
        <v>27.6</v>
      </c>
      <c r="G685">
        <v>0.6601449275362318</v>
      </c>
      <c r="H685">
        <v>0.1931942919868277</v>
      </c>
      <c r="I685">
        <v>0.08660610784246048</v>
      </c>
      <c r="J685">
        <v>0.021</v>
      </c>
      <c r="K685">
        <v>0.2219481095328473</v>
      </c>
      <c r="L685" t="s">
        <v>637</v>
      </c>
      <c r="M685" t="s">
        <v>873</v>
      </c>
      <c r="N685">
        <v>4.6010101010101</v>
      </c>
      <c r="O685">
        <v>3.96</v>
      </c>
      <c r="P685">
        <v>3.52</v>
      </c>
      <c r="Q685">
        <v>0.888888888888889</v>
      </c>
      <c r="R685">
        <v>0</v>
      </c>
      <c r="S685">
        <v>0.02589630491023409</v>
      </c>
      <c r="T685" t="s">
        <v>886</v>
      </c>
      <c r="U685">
        <v>-0.385169837552557</v>
      </c>
      <c r="V685" t="s">
        <v>980</v>
      </c>
      <c r="W685" t="s">
        <v>992</v>
      </c>
      <c r="X685">
        <v>7854.2776</v>
      </c>
      <c r="Y685" s="2">
        <v>44773</v>
      </c>
      <c r="Z685" t="s">
        <v>999</v>
      </c>
    </row>
    <row r="686" spans="1:26">
      <c r="A686" s="1" t="s">
        <v>710</v>
      </c>
      <c r="B686">
        <f>HYPERLINK("https://www.suredividend.com/sure-analysis-TWO/","Two Harbors Investment Corp")</f>
        <v>0</v>
      </c>
      <c r="C686" t="s">
        <v>869</v>
      </c>
      <c r="D686">
        <v>20.4</v>
      </c>
      <c r="E686">
        <v>14.27</v>
      </c>
      <c r="F686">
        <v>18.4</v>
      </c>
      <c r="G686">
        <v>0.7755434782608696</v>
      </c>
      <c r="H686">
        <v>0.1906096706377015</v>
      </c>
      <c r="I686">
        <v>0.05215269026970404</v>
      </c>
      <c r="J686">
        <v>0.063</v>
      </c>
      <c r="K686">
        <v>0.2215473335546028</v>
      </c>
      <c r="L686" t="s">
        <v>637</v>
      </c>
      <c r="M686" t="s">
        <v>873</v>
      </c>
      <c r="N686">
        <v>4.633116883116883</v>
      </c>
      <c r="O686">
        <v>3.08</v>
      </c>
      <c r="P686">
        <v>2.72</v>
      </c>
      <c r="Q686">
        <v>0.8831168831168832</v>
      </c>
      <c r="R686">
        <v>1</v>
      </c>
      <c r="S686">
        <v>0.005814345444414393</v>
      </c>
      <c r="T686" t="s">
        <v>891</v>
      </c>
      <c r="U686">
        <v>-0.352887292647312</v>
      </c>
      <c r="V686" t="s">
        <v>980</v>
      </c>
      <c r="W686" t="s">
        <v>992</v>
      </c>
      <c r="X686">
        <v>4915.175011</v>
      </c>
      <c r="Y686" s="2">
        <v>44781</v>
      </c>
      <c r="Z686" t="s">
        <v>999</v>
      </c>
    </row>
    <row r="687" spans="1:26">
      <c r="A687" s="1" t="s">
        <v>711</v>
      </c>
      <c r="B687">
        <f>HYPERLINK("https://www.suredividend.com/sure-analysis-DEI/","Douglas Emmett Inc")</f>
        <v>0</v>
      </c>
      <c r="C687" t="s">
        <v>869</v>
      </c>
      <c r="D687">
        <v>21</v>
      </c>
      <c r="E687">
        <v>17.22</v>
      </c>
      <c r="F687">
        <v>32</v>
      </c>
      <c r="G687">
        <v>0.538125</v>
      </c>
      <c r="H687">
        <v>0.06504065040650407</v>
      </c>
      <c r="I687">
        <v>0.1319398935040823</v>
      </c>
      <c r="J687">
        <v>0.05</v>
      </c>
      <c r="K687">
        <v>0.2213365374342633</v>
      </c>
      <c r="L687" t="s">
        <v>637</v>
      </c>
      <c r="M687" t="s">
        <v>568</v>
      </c>
      <c r="N687">
        <v>8.4</v>
      </c>
      <c r="O687">
        <v>2.05</v>
      </c>
      <c r="P687">
        <v>1.12</v>
      </c>
      <c r="Q687">
        <v>0.5463414634146343</v>
      </c>
      <c r="R687">
        <v>0</v>
      </c>
      <c r="S687">
        <v>0.02056514630321193</v>
      </c>
      <c r="T687" t="s">
        <v>886</v>
      </c>
      <c r="U687">
        <v>-0.4649149519293511</v>
      </c>
      <c r="V687" t="s">
        <v>980</v>
      </c>
      <c r="W687" t="s">
        <v>992</v>
      </c>
      <c r="X687">
        <v>3027.002839</v>
      </c>
      <c r="Y687" s="2">
        <v>44799</v>
      </c>
      <c r="Z687" t="s">
        <v>996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869</v>
      </c>
      <c r="D688">
        <v>7.2</v>
      </c>
      <c r="E688">
        <v>5.4</v>
      </c>
      <c r="F688">
        <v>7.9</v>
      </c>
      <c r="G688">
        <v>0.6835443037974683</v>
      </c>
      <c r="H688">
        <v>0.2222222222222222</v>
      </c>
      <c r="I688">
        <v>0.07906266464161527</v>
      </c>
      <c r="J688">
        <v>0.012</v>
      </c>
      <c r="K688">
        <v>0.2086370577923031</v>
      </c>
      <c r="L688" t="s">
        <v>637</v>
      </c>
      <c r="M688" t="s">
        <v>568</v>
      </c>
      <c r="N688">
        <v>4.778761061946903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914</v>
      </c>
      <c r="U688">
        <v>-0.41166857329629</v>
      </c>
      <c r="V688" t="s">
        <v>980</v>
      </c>
      <c r="W688" t="s">
        <v>992</v>
      </c>
      <c r="X688">
        <v>713.556135</v>
      </c>
      <c r="Y688" s="2">
        <v>44797</v>
      </c>
      <c r="Z688" t="s">
        <v>999</v>
      </c>
    </row>
    <row r="689" spans="1:26">
      <c r="A689" s="1" t="s">
        <v>713</v>
      </c>
      <c r="B689">
        <f>HYPERLINK("https://www.suredividend.com/sure-analysis-SBLK/","Star Bulk Carriers Corp")</f>
        <v>0</v>
      </c>
      <c r="C689" t="s">
        <v>869</v>
      </c>
      <c r="D689">
        <v>43</v>
      </c>
      <c r="E689">
        <v>19.44</v>
      </c>
      <c r="F689">
        <v>43</v>
      </c>
      <c r="G689">
        <v>0.452093023255814</v>
      </c>
      <c r="H689">
        <v>0.3395061728395061</v>
      </c>
      <c r="I689">
        <v>0.1720723992280575</v>
      </c>
      <c r="J689">
        <v>-0.1</v>
      </c>
      <c r="K689">
        <v>0.2066373096968803</v>
      </c>
      <c r="L689" t="s">
        <v>637</v>
      </c>
      <c r="M689" t="s">
        <v>568</v>
      </c>
      <c r="N689">
        <v>2.7</v>
      </c>
      <c r="O689">
        <v>7.2</v>
      </c>
      <c r="P689">
        <v>6.6</v>
      </c>
      <c r="Q689">
        <v>0.9166666666666666</v>
      </c>
      <c r="R689">
        <v>1</v>
      </c>
      <c r="S689">
        <v>-0.09987228410837323</v>
      </c>
      <c r="T689" t="s">
        <v>879</v>
      </c>
      <c r="U689">
        <v>0.282770361669977</v>
      </c>
      <c r="V689" t="s">
        <v>978</v>
      </c>
      <c r="W689" t="s">
        <v>984</v>
      </c>
      <c r="X689">
        <v>1988.610096</v>
      </c>
      <c r="Y689" s="2">
        <v>44787</v>
      </c>
      <c r="Z689" t="s">
        <v>1000</v>
      </c>
    </row>
    <row r="690" spans="1:26">
      <c r="A690" s="1" t="s">
        <v>714</v>
      </c>
      <c r="B690">
        <f>HYPERLINK("https://www.suredividend.com/sure-analysis-CLPR/","Clipper Realty Inc")</f>
        <v>0</v>
      </c>
      <c r="C690" t="s">
        <v>869</v>
      </c>
      <c r="D690">
        <v>9</v>
      </c>
      <c r="E690">
        <v>6.82</v>
      </c>
      <c r="F690">
        <v>12</v>
      </c>
      <c r="G690">
        <v>0.5683333333333334</v>
      </c>
      <c r="H690">
        <v>0.05571847507331378</v>
      </c>
      <c r="I690">
        <v>0.1196424973824073</v>
      </c>
      <c r="J690">
        <v>0.052</v>
      </c>
      <c r="K690">
        <v>0.205485680598813</v>
      </c>
      <c r="L690" t="s">
        <v>637</v>
      </c>
      <c r="M690" t="s">
        <v>586</v>
      </c>
      <c r="N690">
        <v>14.20833333333333</v>
      </c>
      <c r="O690">
        <v>0.48</v>
      </c>
      <c r="P690">
        <v>0.38</v>
      </c>
      <c r="Q690">
        <v>0.7916666666666667</v>
      </c>
      <c r="R690">
        <v>0</v>
      </c>
      <c r="S690">
        <v>0</v>
      </c>
      <c r="T690" t="s">
        <v>895</v>
      </c>
      <c r="U690">
        <v>-0.236093998521472</v>
      </c>
      <c r="V690" t="s">
        <v>980</v>
      </c>
      <c r="W690" t="s">
        <v>992</v>
      </c>
      <c r="X690">
        <v>109.551215</v>
      </c>
      <c r="Y690" s="2">
        <v>44786</v>
      </c>
      <c r="Z690" t="s">
        <v>999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869</v>
      </c>
      <c r="D691">
        <v>21.58</v>
      </c>
      <c r="E691">
        <v>15.7</v>
      </c>
      <c r="F691">
        <v>21.66</v>
      </c>
      <c r="G691">
        <v>0.7248384118190212</v>
      </c>
      <c r="H691">
        <v>0.1687898089171974</v>
      </c>
      <c r="I691">
        <v>0.06647765376837111</v>
      </c>
      <c r="J691">
        <v>0.03</v>
      </c>
      <c r="K691">
        <v>0.2032296123990247</v>
      </c>
      <c r="L691" t="s">
        <v>637</v>
      </c>
      <c r="M691" t="s">
        <v>568</v>
      </c>
      <c r="N691">
        <v>5.508771929824561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934</v>
      </c>
      <c r="U691">
        <v>-0.420476021733994</v>
      </c>
      <c r="V691" t="s">
        <v>981</v>
      </c>
      <c r="W691" t="s">
        <v>986</v>
      </c>
      <c r="X691">
        <v>382.38303</v>
      </c>
      <c r="Y691" s="2">
        <v>44777</v>
      </c>
      <c r="Z691" t="s">
        <v>1000</v>
      </c>
    </row>
    <row r="692" spans="1:26">
      <c r="A692" s="1" t="s">
        <v>716</v>
      </c>
      <c r="B692">
        <f>HYPERLINK("https://www.suredividend.com/sure-analysis-SACH/","Sachem Capital Corp")</f>
        <v>0</v>
      </c>
      <c r="C692" t="s">
        <v>869</v>
      </c>
      <c r="D692">
        <v>5.01</v>
      </c>
      <c r="E692">
        <v>3.63</v>
      </c>
      <c r="F692">
        <v>5.6</v>
      </c>
      <c r="G692">
        <v>0.6482142857142857</v>
      </c>
      <c r="H692">
        <v>0.1542699724517907</v>
      </c>
      <c r="I692">
        <v>0.09057686467474135</v>
      </c>
      <c r="J692">
        <v>0.02</v>
      </c>
      <c r="K692">
        <v>0.1986752237372198</v>
      </c>
      <c r="L692" t="s">
        <v>637</v>
      </c>
      <c r="M692" t="s">
        <v>568</v>
      </c>
      <c r="N692">
        <v>6.482142857142857</v>
      </c>
      <c r="O692">
        <v>0.5600000000000001</v>
      </c>
      <c r="P692">
        <v>0.5600000000000001</v>
      </c>
      <c r="Q692">
        <v>1</v>
      </c>
      <c r="R692">
        <v>1</v>
      </c>
      <c r="S692">
        <v>0</v>
      </c>
      <c r="T692" t="s">
        <v>919</v>
      </c>
      <c r="U692">
        <v>-0.295419254658385</v>
      </c>
      <c r="V692" t="s">
        <v>980</v>
      </c>
      <c r="W692" t="s">
        <v>992</v>
      </c>
      <c r="X692">
        <v>139.851881</v>
      </c>
      <c r="Y692" s="2">
        <v>44780</v>
      </c>
      <c r="Z692" t="s">
        <v>1000</v>
      </c>
    </row>
    <row r="693" spans="1:26">
      <c r="A693" s="1" t="s">
        <v>717</v>
      </c>
      <c r="B693">
        <f>HYPERLINK("https://www.suredividend.com/sure-analysis-OWL/","Blue Owl Capital Inc")</f>
        <v>0</v>
      </c>
      <c r="C693" t="s">
        <v>869</v>
      </c>
      <c r="D693">
        <v>11.9</v>
      </c>
      <c r="E693">
        <v>10.4</v>
      </c>
      <c r="F693">
        <v>6.9</v>
      </c>
      <c r="G693">
        <v>1.507246376811594</v>
      </c>
      <c r="H693">
        <v>0.0423076923076923</v>
      </c>
      <c r="I693">
        <v>-0.07878044075716495</v>
      </c>
      <c r="J693">
        <v>0.249</v>
      </c>
      <c r="K693">
        <v>0.1920678153014013</v>
      </c>
      <c r="L693" t="s">
        <v>637</v>
      </c>
      <c r="M693" t="s">
        <v>586</v>
      </c>
      <c r="N693">
        <v>22.60869565217391</v>
      </c>
      <c r="O693">
        <v>0.46</v>
      </c>
      <c r="P693">
        <v>0.44</v>
      </c>
      <c r="Q693">
        <v>0.9565217391304347</v>
      </c>
      <c r="R693">
        <v>1</v>
      </c>
      <c r="S693">
        <v>0.2118504620509931</v>
      </c>
      <c r="T693" t="s">
        <v>884</v>
      </c>
      <c r="U693">
        <v>-0.371559438995945</v>
      </c>
      <c r="V693" t="s">
        <v>978</v>
      </c>
      <c r="W693" t="s">
        <v>986</v>
      </c>
      <c r="X693">
        <v>4369.065917</v>
      </c>
      <c r="Y693" s="2">
        <v>44793</v>
      </c>
      <c r="Z693" t="s">
        <v>999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9.710000000000001</v>
      </c>
      <c r="F694">
        <v>12.7</v>
      </c>
      <c r="G694">
        <v>0.7645669291338584</v>
      </c>
      <c r="H694">
        <v>0.1307929969104016</v>
      </c>
      <c r="I694">
        <v>0.05515654755957411</v>
      </c>
      <c r="J694">
        <v>0.04</v>
      </c>
      <c r="K694">
        <v>0.18427230601531</v>
      </c>
      <c r="L694" t="s">
        <v>637</v>
      </c>
      <c r="M694" t="s">
        <v>568</v>
      </c>
      <c r="N694">
        <v>7.645669291338583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965</v>
      </c>
      <c r="U694">
        <v>-0.054546162684271</v>
      </c>
      <c r="V694" t="s">
        <v>978</v>
      </c>
      <c r="W694" t="s">
        <v>985</v>
      </c>
      <c r="X694">
        <v>25829.149576</v>
      </c>
      <c r="Y694" s="2">
        <v>44864</v>
      </c>
      <c r="Z694" t="s">
        <v>1004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869</v>
      </c>
      <c r="D695">
        <v>65</v>
      </c>
      <c r="E695">
        <v>62.19</v>
      </c>
      <c r="F695">
        <v>81</v>
      </c>
      <c r="G695">
        <v>0.7677777777777778</v>
      </c>
      <c r="H695">
        <v>0.04502331564560218</v>
      </c>
      <c r="I695">
        <v>0.05427253406159327</v>
      </c>
      <c r="J695">
        <v>0.09</v>
      </c>
      <c r="K695">
        <v>0.177648713738376</v>
      </c>
      <c r="L695" t="s">
        <v>637</v>
      </c>
      <c r="M695" t="s">
        <v>586</v>
      </c>
      <c r="N695">
        <v>13.09263157894737</v>
      </c>
      <c r="O695">
        <v>4.75</v>
      </c>
      <c r="P695">
        <v>2.8</v>
      </c>
      <c r="Q695">
        <v>0.5894736842105263</v>
      </c>
      <c r="R695">
        <v>1</v>
      </c>
      <c r="S695">
        <v>0.04978904632428516</v>
      </c>
      <c r="T695" t="s">
        <v>930</v>
      </c>
      <c r="U695">
        <v>-0.320839280585439</v>
      </c>
      <c r="V695" t="s">
        <v>978</v>
      </c>
      <c r="W695" t="s">
        <v>983</v>
      </c>
      <c r="X695">
        <v>8589.292371</v>
      </c>
      <c r="Y695" s="2">
        <v>44858</v>
      </c>
      <c r="Z695" t="s">
        <v>1001</v>
      </c>
    </row>
    <row r="696" spans="1:26">
      <c r="A696" s="1" t="s">
        <v>720</v>
      </c>
      <c r="B696">
        <f>HYPERLINK("https://www.suredividend.com/sure-analysis-TDS/","Telephone And Data Systems, Inc.")</f>
        <v>0</v>
      </c>
      <c r="C696" t="s">
        <v>869</v>
      </c>
      <c r="D696">
        <v>17</v>
      </c>
      <c r="E696">
        <v>12.28</v>
      </c>
      <c r="F696">
        <v>22</v>
      </c>
      <c r="G696">
        <v>0.5581818181818181</v>
      </c>
      <c r="H696">
        <v>0.05863192182410423</v>
      </c>
      <c r="I696">
        <v>0.1236857225789105</v>
      </c>
      <c r="J696">
        <v>0.015</v>
      </c>
      <c r="K696">
        <v>0.1760278937470481</v>
      </c>
      <c r="L696" t="s">
        <v>637</v>
      </c>
      <c r="M696" t="s">
        <v>568</v>
      </c>
      <c r="N696">
        <v>28.55813953488372</v>
      </c>
      <c r="O696">
        <v>0.43</v>
      </c>
      <c r="P696">
        <v>0.72</v>
      </c>
      <c r="Q696">
        <v>1.674418604651163</v>
      </c>
      <c r="R696">
        <v>48</v>
      </c>
      <c r="S696">
        <v>0.02884302866442456</v>
      </c>
      <c r="T696" t="s">
        <v>883</v>
      </c>
      <c r="U696">
        <v>-0.352600668487257</v>
      </c>
      <c r="V696" t="s">
        <v>978</v>
      </c>
      <c r="W696" t="s">
        <v>985</v>
      </c>
      <c r="X696">
        <v>1308.173664</v>
      </c>
      <c r="Y696" s="2">
        <v>44797</v>
      </c>
      <c r="Z696" t="s">
        <v>998</v>
      </c>
    </row>
    <row r="697" spans="1:26">
      <c r="A697" s="1" t="s">
        <v>721</v>
      </c>
      <c r="B697">
        <f>HYPERLINK("https://www.suredividend.com/sure-analysis-HR/","Healthcare Realty Trust Inc")</f>
        <v>0</v>
      </c>
      <c r="C697" t="s">
        <v>869</v>
      </c>
      <c r="D697">
        <v>25</v>
      </c>
      <c r="E697">
        <v>20.23</v>
      </c>
      <c r="F697">
        <v>32</v>
      </c>
      <c r="G697">
        <v>0.6321875</v>
      </c>
      <c r="H697">
        <v>0.06129510627780524</v>
      </c>
      <c r="I697">
        <v>0.0960511425240087</v>
      </c>
      <c r="J697">
        <v>0.04</v>
      </c>
      <c r="K697">
        <v>0.1750139090130172</v>
      </c>
      <c r="L697" t="s">
        <v>637</v>
      </c>
      <c r="M697" t="s">
        <v>568</v>
      </c>
      <c r="N697">
        <v>11.56</v>
      </c>
      <c r="O697">
        <v>1.75</v>
      </c>
      <c r="P697">
        <v>1.24</v>
      </c>
      <c r="Q697">
        <v>0.7085714285714285</v>
      </c>
      <c r="R697">
        <v>2</v>
      </c>
      <c r="S697">
        <v>0.009495374682843893</v>
      </c>
      <c r="T697" t="s">
        <v>905</v>
      </c>
      <c r="U697">
        <v>-0.25177440055035</v>
      </c>
      <c r="V697" t="s">
        <v>980</v>
      </c>
      <c r="W697" t="s">
        <v>992</v>
      </c>
      <c r="X697">
        <v>7698.510397</v>
      </c>
      <c r="Y697" s="2">
        <v>44785</v>
      </c>
      <c r="Z697" t="s">
        <v>998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869</v>
      </c>
      <c r="D698">
        <v>31</v>
      </c>
      <c r="E698">
        <v>28.16</v>
      </c>
      <c r="F698">
        <v>42</v>
      </c>
      <c r="G698">
        <v>0.6704761904761904</v>
      </c>
      <c r="H698">
        <v>0.08629261363636365</v>
      </c>
      <c r="I698">
        <v>0.08323660652071241</v>
      </c>
      <c r="J698">
        <v>0.03</v>
      </c>
      <c r="K698">
        <v>0.1665694877167803</v>
      </c>
      <c r="L698" t="s">
        <v>637</v>
      </c>
      <c r="M698" t="s">
        <v>873</v>
      </c>
      <c r="N698">
        <v>7.44973544973545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0.004111293756039001</v>
      </c>
      <c r="V698" t="s">
        <v>978</v>
      </c>
      <c r="W698" t="s">
        <v>986</v>
      </c>
      <c r="X698">
        <v>112459.793149</v>
      </c>
      <c r="Y698" s="2">
        <v>44807</v>
      </c>
      <c r="Z698" t="s">
        <v>997</v>
      </c>
    </row>
    <row r="699" spans="1:26">
      <c r="A699" s="1" t="s">
        <v>723</v>
      </c>
      <c r="B699">
        <f>HYPERLINK("https://www.suredividend.com/sure-analysis-GMRE/","Global Medical REIT Inc")</f>
        <v>0</v>
      </c>
      <c r="C699" t="s">
        <v>870</v>
      </c>
      <c r="D699">
        <v>11.75</v>
      </c>
      <c r="E699">
        <v>8.880000000000001</v>
      </c>
      <c r="F699">
        <v>12.5</v>
      </c>
      <c r="G699">
        <v>0.7104</v>
      </c>
      <c r="H699">
        <v>0.09459459459459459</v>
      </c>
      <c r="I699">
        <v>0.07077792546792283</v>
      </c>
      <c r="J699">
        <v>0.03</v>
      </c>
      <c r="K699">
        <v>0.1619729142093072</v>
      </c>
      <c r="L699" t="s">
        <v>637</v>
      </c>
      <c r="M699" t="s">
        <v>568</v>
      </c>
      <c r="N699">
        <v>8.880000000000001</v>
      </c>
      <c r="O699">
        <v>1</v>
      </c>
      <c r="P699">
        <v>0.84</v>
      </c>
      <c r="Q699">
        <v>0.84</v>
      </c>
      <c r="R699">
        <v>2</v>
      </c>
      <c r="S699">
        <v>0.009347419909568888</v>
      </c>
      <c r="T699" t="s">
        <v>899</v>
      </c>
      <c r="U699">
        <v>-0.442659168507732</v>
      </c>
      <c r="V699" t="s">
        <v>980</v>
      </c>
      <c r="W699" t="s">
        <v>992</v>
      </c>
      <c r="X699">
        <v>581.802557</v>
      </c>
      <c r="Y699" s="2">
        <v>44777</v>
      </c>
      <c r="Z699" t="s">
        <v>1000</v>
      </c>
    </row>
    <row r="700" spans="1:26">
      <c r="A700" s="1" t="s">
        <v>724</v>
      </c>
      <c r="B700">
        <f>HYPERLINK("https://www.suredividend.com/sure-analysis-UMH/","UMH Properties Inc")</f>
        <v>0</v>
      </c>
      <c r="C700" t="s">
        <v>869</v>
      </c>
      <c r="D700">
        <v>20.1</v>
      </c>
      <c r="E700">
        <v>17.18</v>
      </c>
      <c r="F700">
        <v>23.7</v>
      </c>
      <c r="G700">
        <v>0.7248945147679325</v>
      </c>
      <c r="H700">
        <v>0.04656577415599535</v>
      </c>
      <c r="I700">
        <v>0.06646114532680381</v>
      </c>
      <c r="J700">
        <v>0.062</v>
      </c>
      <c r="K700">
        <v>0.1614603372544818</v>
      </c>
      <c r="L700" t="s">
        <v>637</v>
      </c>
      <c r="M700" t="s">
        <v>586</v>
      </c>
      <c r="N700">
        <v>20.69879518072289</v>
      </c>
      <c r="O700">
        <v>0.83</v>
      </c>
      <c r="P700">
        <v>0.8</v>
      </c>
      <c r="Q700">
        <v>0.9638554216867471</v>
      </c>
      <c r="R700">
        <v>2</v>
      </c>
      <c r="S700">
        <v>0.02383625553960966</v>
      </c>
      <c r="T700" t="s">
        <v>905</v>
      </c>
      <c r="U700">
        <v>-0.260149262087171</v>
      </c>
      <c r="V700" t="s">
        <v>980</v>
      </c>
      <c r="W700" t="s">
        <v>992</v>
      </c>
      <c r="X700">
        <v>946.013298</v>
      </c>
      <c r="Y700" s="2">
        <v>44781</v>
      </c>
      <c r="Z700" t="s">
        <v>999</v>
      </c>
    </row>
    <row r="701" spans="1:26">
      <c r="A701" s="1" t="s">
        <v>725</v>
      </c>
      <c r="B701">
        <f>HYPERLINK("https://www.suredividend.com/sure-analysis-AQN/","Algonquin Power &amp; Utilities Corp")</f>
        <v>0</v>
      </c>
      <c r="C701" t="s">
        <v>869</v>
      </c>
      <c r="D701">
        <v>14</v>
      </c>
      <c r="E701">
        <v>11.06</v>
      </c>
      <c r="F701">
        <v>14</v>
      </c>
      <c r="G701">
        <v>0.79</v>
      </c>
      <c r="H701">
        <v>0.06509945750452079</v>
      </c>
      <c r="I701">
        <v>0.04827343874993084</v>
      </c>
      <c r="J701">
        <v>0.065</v>
      </c>
      <c r="K701">
        <v>0.1613137820949271</v>
      </c>
      <c r="L701" t="s">
        <v>637</v>
      </c>
      <c r="M701" t="s">
        <v>568</v>
      </c>
      <c r="N701">
        <v>14.94594594594595</v>
      </c>
      <c r="O701">
        <v>0.74</v>
      </c>
      <c r="P701">
        <v>0.72</v>
      </c>
      <c r="Q701">
        <v>0.9729729729729729</v>
      </c>
      <c r="R701">
        <v>10</v>
      </c>
      <c r="S701">
        <v>0.05024607263868264</v>
      </c>
      <c r="T701" t="s">
        <v>950</v>
      </c>
      <c r="U701">
        <v>-0.185056920753048</v>
      </c>
      <c r="V701" t="s">
        <v>978</v>
      </c>
      <c r="W701" t="s">
        <v>987</v>
      </c>
      <c r="X701">
        <v>7450.872763</v>
      </c>
      <c r="Y701" s="2">
        <v>44791</v>
      </c>
      <c r="Z701" t="s">
        <v>1005</v>
      </c>
    </row>
    <row r="702" spans="1:26">
      <c r="A702" s="1" t="s">
        <v>726</v>
      </c>
      <c r="B702">
        <f>HYPERLINK("https://www.suredividend.com/sure-analysis-EPR/","EPR Properties")</f>
        <v>0</v>
      </c>
      <c r="C702" t="s">
        <v>869</v>
      </c>
      <c r="D702">
        <v>47</v>
      </c>
      <c r="E702">
        <v>39.28</v>
      </c>
      <c r="F702">
        <v>58</v>
      </c>
      <c r="G702">
        <v>0.6772413793103449</v>
      </c>
      <c r="H702">
        <v>0.08401221995926679</v>
      </c>
      <c r="I702">
        <v>0.08106374494150903</v>
      </c>
      <c r="J702">
        <v>0.02</v>
      </c>
      <c r="K702">
        <v>0.1588552048815866</v>
      </c>
      <c r="L702" t="s">
        <v>637</v>
      </c>
      <c r="M702" t="s">
        <v>568</v>
      </c>
      <c r="N702">
        <v>8.53913043478261</v>
      </c>
      <c r="O702">
        <v>4.6</v>
      </c>
      <c r="P702">
        <v>3.3</v>
      </c>
      <c r="Q702">
        <v>0.7173913043478261</v>
      </c>
      <c r="R702">
        <v>1</v>
      </c>
      <c r="S702">
        <v>0.03023658180975963</v>
      </c>
      <c r="T702" t="s">
        <v>911</v>
      </c>
      <c r="U702">
        <v>-0.195746135875496</v>
      </c>
      <c r="V702" t="s">
        <v>980</v>
      </c>
      <c r="W702" t="s">
        <v>992</v>
      </c>
      <c r="X702">
        <v>2946.575688</v>
      </c>
      <c r="Y702" s="2">
        <v>44797</v>
      </c>
      <c r="Z702" t="s">
        <v>1001</v>
      </c>
    </row>
    <row r="703" spans="1:26">
      <c r="A703" s="1" t="s">
        <v>727</v>
      </c>
      <c r="B703">
        <f>HYPERLINK("https://www.suredividend.com/sure-analysis-BRMK/","Broadmark Realty Capital Inc")</f>
        <v>0</v>
      </c>
      <c r="C703" t="s">
        <v>869</v>
      </c>
      <c r="D703">
        <v>7.07</v>
      </c>
      <c r="E703">
        <v>5.61</v>
      </c>
      <c r="F703">
        <v>6.2</v>
      </c>
      <c r="G703">
        <v>0.9048387096774194</v>
      </c>
      <c r="H703">
        <v>0.1497326203208556</v>
      </c>
      <c r="I703">
        <v>0.02020104876266937</v>
      </c>
      <c r="J703">
        <v>0.03</v>
      </c>
      <c r="K703">
        <v>0.1521077554601902</v>
      </c>
      <c r="L703" t="s">
        <v>637</v>
      </c>
      <c r="M703" t="s">
        <v>568</v>
      </c>
      <c r="N703">
        <v>9.048387096774194</v>
      </c>
      <c r="O703">
        <v>0.62</v>
      </c>
      <c r="P703">
        <v>0.84</v>
      </c>
      <c r="Q703">
        <v>1.354838709677419</v>
      </c>
      <c r="R703">
        <v>1</v>
      </c>
      <c r="S703">
        <v>0</v>
      </c>
      <c r="T703" t="s">
        <v>911</v>
      </c>
      <c r="U703">
        <v>-0.392284943615742</v>
      </c>
      <c r="V703" t="s">
        <v>980</v>
      </c>
      <c r="W703" t="s">
        <v>992</v>
      </c>
      <c r="X703">
        <v>745.381721</v>
      </c>
      <c r="Y703" s="2">
        <v>44790</v>
      </c>
      <c r="Z703" t="s">
        <v>993</v>
      </c>
    </row>
    <row r="704" spans="1:26">
      <c r="A704" s="1" t="s">
        <v>728</v>
      </c>
      <c r="B704">
        <f>HYPERLINK("https://www.suredividend.com/sure-analysis-VTR/","Ventas Inc")</f>
        <v>0</v>
      </c>
      <c r="C704" t="s">
        <v>870</v>
      </c>
      <c r="D704">
        <v>47</v>
      </c>
      <c r="E704">
        <v>39.49</v>
      </c>
      <c r="F704">
        <v>47</v>
      </c>
      <c r="G704">
        <v>0.8402127659574469</v>
      </c>
      <c r="H704">
        <v>0.04558115978728792</v>
      </c>
      <c r="I704">
        <v>0.03543334020620814</v>
      </c>
      <c r="J704">
        <v>0.08</v>
      </c>
      <c r="K704">
        <v>0.1503970045774057</v>
      </c>
      <c r="L704" t="s">
        <v>637</v>
      </c>
      <c r="M704" t="s">
        <v>586</v>
      </c>
      <c r="N704">
        <v>13.16333333333333</v>
      </c>
      <c r="O704">
        <v>3</v>
      </c>
      <c r="P704">
        <v>1.8</v>
      </c>
      <c r="Q704">
        <v>0.6</v>
      </c>
      <c r="R704">
        <v>0</v>
      </c>
      <c r="S704">
        <v>0.05206626739843068</v>
      </c>
      <c r="T704" t="s">
        <v>891</v>
      </c>
      <c r="U704">
        <v>-0.224390550488266</v>
      </c>
      <c r="V704" t="s">
        <v>980</v>
      </c>
      <c r="W704" t="s">
        <v>992</v>
      </c>
      <c r="X704">
        <v>15784.657011</v>
      </c>
      <c r="Y704" s="2">
        <v>44809</v>
      </c>
      <c r="Z704" t="s">
        <v>996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869</v>
      </c>
      <c r="D705">
        <v>54</v>
      </c>
      <c r="E705">
        <v>53.88</v>
      </c>
      <c r="F705">
        <v>58</v>
      </c>
      <c r="G705">
        <v>0.9289655172413793</v>
      </c>
      <c r="H705">
        <v>0.06792873051224944</v>
      </c>
      <c r="I705">
        <v>0.01484585280299489</v>
      </c>
      <c r="J705">
        <v>0.08</v>
      </c>
      <c r="K705">
        <v>0.1486405430979945</v>
      </c>
      <c r="L705" t="s">
        <v>637</v>
      </c>
      <c r="M705" t="s">
        <v>586</v>
      </c>
      <c r="N705">
        <v>82.8923076923077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-0.26431232044742</v>
      </c>
      <c r="V705" t="s">
        <v>978</v>
      </c>
      <c r="W705" t="s">
        <v>985</v>
      </c>
      <c r="X705">
        <v>2587.015441</v>
      </c>
      <c r="Y705" s="2">
        <v>44869</v>
      </c>
      <c r="Z705" t="s">
        <v>1004</v>
      </c>
    </row>
    <row r="706" spans="1:26">
      <c r="A706" s="1" t="s">
        <v>730</v>
      </c>
      <c r="B706">
        <f>HYPERLINK("https://www.suredividend.com/sure-analysis-EARN/","Ellington Residential Mortgage REIT")</f>
        <v>0</v>
      </c>
      <c r="C706" t="s">
        <v>870</v>
      </c>
      <c r="D706">
        <v>8.51</v>
      </c>
      <c r="E706">
        <v>6.77</v>
      </c>
      <c r="F706">
        <v>8.16</v>
      </c>
      <c r="G706">
        <v>0.829656862745098</v>
      </c>
      <c r="H706">
        <v>0.1418020679468242</v>
      </c>
      <c r="I706">
        <v>0.03805484071865362</v>
      </c>
      <c r="J706">
        <v>0.01</v>
      </c>
      <c r="K706">
        <v>0.1459062542859872</v>
      </c>
      <c r="L706" t="s">
        <v>637</v>
      </c>
      <c r="M706" t="s">
        <v>568</v>
      </c>
      <c r="N706">
        <v>6.637254901960784</v>
      </c>
      <c r="O706">
        <v>1.02</v>
      </c>
      <c r="P706">
        <v>0.96</v>
      </c>
      <c r="Q706">
        <v>0.9411764705882353</v>
      </c>
      <c r="R706">
        <v>1</v>
      </c>
      <c r="S706">
        <v>0</v>
      </c>
      <c r="T706" t="s">
        <v>911</v>
      </c>
      <c r="U706">
        <v>-0.36339273120504</v>
      </c>
      <c r="V706" t="s">
        <v>980</v>
      </c>
      <c r="W706" t="s">
        <v>992</v>
      </c>
      <c r="X706">
        <v>88.54749700000001</v>
      </c>
      <c r="Y706" s="2">
        <v>44798</v>
      </c>
      <c r="Z706" t="s">
        <v>998</v>
      </c>
    </row>
    <row r="707" spans="1:26">
      <c r="A707" s="1" t="s">
        <v>731</v>
      </c>
      <c r="B707">
        <f>HYPERLINK("https://www.suredividend.com/sure-analysis-ALV/","Autoliv Inc.")</f>
        <v>0</v>
      </c>
      <c r="C707" t="s">
        <v>869</v>
      </c>
      <c r="D707">
        <v>80</v>
      </c>
      <c r="E707">
        <v>84.31999999999999</v>
      </c>
      <c r="F707">
        <v>75</v>
      </c>
      <c r="G707">
        <v>1.124266666666667</v>
      </c>
      <c r="H707">
        <v>0.03036053130929792</v>
      </c>
      <c r="I707">
        <v>-0.02315393113624198</v>
      </c>
      <c r="J707">
        <v>0.15</v>
      </c>
      <c r="K707">
        <v>0.145299960632441</v>
      </c>
      <c r="L707" t="s">
        <v>637</v>
      </c>
      <c r="M707" t="s">
        <v>637</v>
      </c>
      <c r="N707">
        <v>19.16363636363636</v>
      </c>
      <c r="O707">
        <v>4.4</v>
      </c>
      <c r="P707">
        <v>2.56</v>
      </c>
      <c r="Q707">
        <v>0.5818181818181818</v>
      </c>
      <c r="R707">
        <v>2</v>
      </c>
      <c r="S707">
        <v>0.06025622492066018</v>
      </c>
      <c r="T707" t="s">
        <v>897</v>
      </c>
      <c r="U707">
        <v>-0.154348456174449</v>
      </c>
      <c r="V707" t="s">
        <v>978</v>
      </c>
      <c r="W707" t="s">
        <v>983</v>
      </c>
      <c r="X707">
        <v>7322.061269</v>
      </c>
      <c r="Y707" s="2">
        <v>44864</v>
      </c>
      <c r="Z707" t="s">
        <v>1001</v>
      </c>
    </row>
    <row r="708" spans="1:26">
      <c r="A708" s="1" t="s">
        <v>732</v>
      </c>
      <c r="B708">
        <f>HYPERLINK("https://www.suredividend.com/sure-analysis-EFC/","Ellington Financial Inc")</f>
        <v>0</v>
      </c>
      <c r="C708" t="s">
        <v>869</v>
      </c>
      <c r="D708">
        <v>15.63</v>
      </c>
      <c r="E708">
        <v>13.22</v>
      </c>
      <c r="F708">
        <v>16.2</v>
      </c>
      <c r="G708">
        <v>0.8160493827160494</v>
      </c>
      <c r="H708">
        <v>0.1361573373676248</v>
      </c>
      <c r="I708">
        <v>0.04149385500572711</v>
      </c>
      <c r="J708">
        <v>0.01</v>
      </c>
      <c r="K708">
        <v>0.1450815175482827</v>
      </c>
      <c r="L708" t="s">
        <v>637</v>
      </c>
      <c r="M708" t="s">
        <v>568</v>
      </c>
      <c r="N708">
        <v>7.344444444444445</v>
      </c>
      <c r="O708">
        <v>1.8</v>
      </c>
      <c r="P708">
        <v>1.8</v>
      </c>
      <c r="Q708">
        <v>1</v>
      </c>
      <c r="R708">
        <v>1</v>
      </c>
      <c r="S708">
        <v>0</v>
      </c>
      <c r="T708" t="s">
        <v>911</v>
      </c>
      <c r="U708">
        <v>-0.187691248940066</v>
      </c>
      <c r="V708" t="s">
        <v>980</v>
      </c>
      <c r="W708" t="s">
        <v>986</v>
      </c>
      <c r="X708">
        <v>793.807631</v>
      </c>
      <c r="Y708" s="2">
        <v>44780</v>
      </c>
      <c r="Z708" t="s">
        <v>1000</v>
      </c>
    </row>
    <row r="709" spans="1:26">
      <c r="A709" s="1" t="s">
        <v>733</v>
      </c>
      <c r="B709">
        <f>HYPERLINK("https://www.suredividend.com/sure-analysis-LSI/","Life Storage Inc")</f>
        <v>0</v>
      </c>
      <c r="C709" t="s">
        <v>870</v>
      </c>
      <c r="D709">
        <v>136</v>
      </c>
      <c r="E709">
        <v>103.4</v>
      </c>
      <c r="F709">
        <v>119</v>
      </c>
      <c r="G709">
        <v>0.8689075630252101</v>
      </c>
      <c r="H709">
        <v>0.04177949709864603</v>
      </c>
      <c r="I709">
        <v>0.02850234096798165</v>
      </c>
      <c r="J709">
        <v>0.08</v>
      </c>
      <c r="K709">
        <v>0.1417950774221672</v>
      </c>
      <c r="L709" t="s">
        <v>637</v>
      </c>
      <c r="M709" t="s">
        <v>586</v>
      </c>
      <c r="N709">
        <v>16.15625</v>
      </c>
      <c r="O709">
        <v>6.4</v>
      </c>
      <c r="P709">
        <v>4.32</v>
      </c>
      <c r="Q709">
        <v>0.675</v>
      </c>
      <c r="R709">
        <v>4</v>
      </c>
      <c r="S709">
        <v>0.05995839365595068</v>
      </c>
      <c r="T709" t="s">
        <v>910</v>
      </c>
      <c r="U709">
        <v>-0.196845794392523</v>
      </c>
      <c r="V709" t="s">
        <v>980</v>
      </c>
      <c r="W709" t="s">
        <v>992</v>
      </c>
      <c r="X709">
        <v>8788.747289999999</v>
      </c>
      <c r="Y709" s="2">
        <v>44795</v>
      </c>
      <c r="Z709" t="s">
        <v>996</v>
      </c>
    </row>
    <row r="710" spans="1:26">
      <c r="A710" s="1" t="s">
        <v>734</v>
      </c>
      <c r="B710">
        <f>HYPERLINK("https://www.suredividend.com/sure-analysis-VNO/","Vornado Realty Trust")</f>
        <v>0</v>
      </c>
      <c r="C710" t="s">
        <v>869</v>
      </c>
      <c r="D710">
        <v>25</v>
      </c>
      <c r="E710">
        <v>23.13</v>
      </c>
      <c r="F710">
        <v>29</v>
      </c>
      <c r="G710">
        <v>0.7975862068965517</v>
      </c>
      <c r="H710">
        <v>0.09165585819282318</v>
      </c>
      <c r="I710">
        <v>0.04627168681846516</v>
      </c>
      <c r="J710">
        <v>0.03</v>
      </c>
      <c r="K710">
        <v>0.1417120703588395</v>
      </c>
      <c r="L710" t="s">
        <v>637</v>
      </c>
      <c r="M710" t="s">
        <v>568</v>
      </c>
      <c r="N710">
        <v>7.485436893203883</v>
      </c>
      <c r="O710">
        <v>3.09</v>
      </c>
      <c r="P710">
        <v>2.12</v>
      </c>
      <c r="Q710">
        <v>0.6860841423948221</v>
      </c>
      <c r="R710">
        <v>0</v>
      </c>
      <c r="S710">
        <v>0.01994322923769842</v>
      </c>
      <c r="T710" t="s">
        <v>919</v>
      </c>
      <c r="U710">
        <v>-0.424101107229734</v>
      </c>
      <c r="V710" t="s">
        <v>980</v>
      </c>
      <c r="W710" t="s">
        <v>992</v>
      </c>
      <c r="X710">
        <v>4436.719901</v>
      </c>
      <c r="Y710" s="2">
        <v>44866</v>
      </c>
      <c r="Z710" t="s">
        <v>1000</v>
      </c>
    </row>
    <row r="711" spans="1:26">
      <c r="A711" s="1" t="s">
        <v>735</v>
      </c>
      <c r="B711">
        <f>HYPERLINK("https://www.suredividend.com/sure-analysis-GRMN/","Garmin Ltd")</f>
        <v>0</v>
      </c>
      <c r="C711" t="s">
        <v>869</v>
      </c>
      <c r="D711">
        <v>98</v>
      </c>
      <c r="E711">
        <v>86.53</v>
      </c>
      <c r="F711">
        <v>93</v>
      </c>
      <c r="G711">
        <v>0.9304301075268817</v>
      </c>
      <c r="H711">
        <v>0.03374552178435224</v>
      </c>
      <c r="I711">
        <v>0.01452615762004061</v>
      </c>
      <c r="J711">
        <v>0.1</v>
      </c>
      <c r="K711">
        <v>0.1401669970825061</v>
      </c>
      <c r="L711" t="s">
        <v>637</v>
      </c>
      <c r="M711" t="s">
        <v>586</v>
      </c>
      <c r="N711">
        <v>17.65918367346939</v>
      </c>
      <c r="O711">
        <v>4.9</v>
      </c>
      <c r="P711">
        <v>2.92</v>
      </c>
      <c r="Q711">
        <v>0.5959183673469387</v>
      </c>
      <c r="R711">
        <v>5</v>
      </c>
      <c r="S711">
        <v>0.05018351330582038</v>
      </c>
      <c r="T711" t="s">
        <v>973</v>
      </c>
      <c r="U711">
        <v>-0.3801775730725011</v>
      </c>
      <c r="V711" t="s">
        <v>978</v>
      </c>
      <c r="W711" t="s">
        <v>982</v>
      </c>
      <c r="X711">
        <v>16584.680122</v>
      </c>
      <c r="Y711" s="2">
        <v>44779</v>
      </c>
      <c r="Z711" t="s">
        <v>1001</v>
      </c>
    </row>
    <row r="712" spans="1:26">
      <c r="A712" s="1" t="s">
        <v>736</v>
      </c>
      <c r="B712">
        <f>HYPERLINK("https://www.suredividend.com/sure-analysis-RITM/","Rithm Capital Corporation")</f>
        <v>0</v>
      </c>
      <c r="C712" t="s">
        <v>870</v>
      </c>
      <c r="D712">
        <v>10.1</v>
      </c>
      <c r="E712">
        <v>8.380000000000001</v>
      </c>
      <c r="F712">
        <v>9.800000000000001</v>
      </c>
      <c r="G712">
        <v>0.8551020408163266</v>
      </c>
      <c r="H712">
        <v>0.1193317422434367</v>
      </c>
      <c r="I712">
        <v>0.03180210942242812</v>
      </c>
      <c r="J712">
        <v>0.025</v>
      </c>
      <c r="K712">
        <v>0.1393326170064828</v>
      </c>
      <c r="L712" t="s">
        <v>637</v>
      </c>
      <c r="M712" t="s">
        <v>873</v>
      </c>
      <c r="N712">
        <v>6.446153846153846</v>
      </c>
      <c r="O712">
        <v>1.3</v>
      </c>
      <c r="P712">
        <v>1</v>
      </c>
      <c r="Q712">
        <v>0.7692307692307692</v>
      </c>
      <c r="R712">
        <v>2</v>
      </c>
      <c r="S712">
        <v>0</v>
      </c>
      <c r="T712" t="s">
        <v>923</v>
      </c>
      <c r="U712">
        <v>-0.210595727043219</v>
      </c>
      <c r="V712" t="s">
        <v>980</v>
      </c>
      <c r="W712" t="s">
        <v>992</v>
      </c>
      <c r="X712">
        <v>3969.732538</v>
      </c>
      <c r="Y712" s="2">
        <v>44791</v>
      </c>
      <c r="Z712" t="s">
        <v>994</v>
      </c>
    </row>
    <row r="713" spans="1:26">
      <c r="A713" s="1" t="s">
        <v>737</v>
      </c>
      <c r="B713">
        <f>HYPERLINK("https://www.suredividend.com/sure-analysis-EQR/","Equity Residential Properties Trust")</f>
        <v>0</v>
      </c>
      <c r="C713" t="s">
        <v>870</v>
      </c>
      <c r="D713">
        <v>78.40000000000001</v>
      </c>
      <c r="E713">
        <v>61.26</v>
      </c>
      <c r="F713">
        <v>76.8</v>
      </c>
      <c r="G713">
        <v>0.79765625</v>
      </c>
      <c r="H713">
        <v>0.04080966372837088</v>
      </c>
      <c r="I713">
        <v>0.04625331131142318</v>
      </c>
      <c r="J713">
        <v>0.061</v>
      </c>
      <c r="K713">
        <v>0.1385933440973908</v>
      </c>
      <c r="L713" t="s">
        <v>637</v>
      </c>
      <c r="M713" t="s">
        <v>586</v>
      </c>
      <c r="N713">
        <v>17.55300859598854</v>
      </c>
      <c r="O713">
        <v>3.49</v>
      </c>
      <c r="P713">
        <v>2.5</v>
      </c>
      <c r="Q713">
        <v>0.7163323782234956</v>
      </c>
      <c r="R713">
        <v>2</v>
      </c>
      <c r="S713">
        <v>0.03713728933664817</v>
      </c>
      <c r="T713" t="s">
        <v>938</v>
      </c>
      <c r="U713">
        <v>-0.243189820248316</v>
      </c>
      <c r="V713" t="s">
        <v>980</v>
      </c>
      <c r="W713" t="s">
        <v>992</v>
      </c>
      <c r="X713">
        <v>23151.313039</v>
      </c>
      <c r="Y713" s="2">
        <v>44773</v>
      </c>
      <c r="Z713" t="s">
        <v>999</v>
      </c>
    </row>
    <row r="714" spans="1:26">
      <c r="A714" s="1" t="s">
        <v>738</v>
      </c>
      <c r="B714">
        <f>HYPERLINK("https://www.suredividend.com/sure-analysis-VIA/","Via Renewables Inc")</f>
        <v>0</v>
      </c>
      <c r="C714" t="s">
        <v>870</v>
      </c>
      <c r="D714">
        <v>8.800000000000001</v>
      </c>
      <c r="E714">
        <v>7.57</v>
      </c>
      <c r="F714">
        <v>8</v>
      </c>
      <c r="G714">
        <v>0.94625</v>
      </c>
      <c r="H714">
        <v>0.0964332892998679</v>
      </c>
      <c r="I714">
        <v>0.01111096820018198</v>
      </c>
      <c r="J714">
        <v>0.06</v>
      </c>
      <c r="K714">
        <v>0.1365442049376677</v>
      </c>
      <c r="L714" t="s">
        <v>637</v>
      </c>
      <c r="M714" t="s">
        <v>568</v>
      </c>
      <c r="N714">
        <v>10.81428571428571</v>
      </c>
      <c r="O714">
        <v>0.7</v>
      </c>
      <c r="P714">
        <v>0.73</v>
      </c>
      <c r="Q714">
        <v>1.042857142857143</v>
      </c>
      <c r="R714">
        <v>0</v>
      </c>
      <c r="S714">
        <v>0</v>
      </c>
      <c r="T714" t="s">
        <v>874</v>
      </c>
      <c r="U714">
        <v>-0.308467391999415</v>
      </c>
      <c r="V714" t="s">
        <v>978</v>
      </c>
      <c r="W714" t="s">
        <v>987</v>
      </c>
      <c r="X714">
        <v>120.043289</v>
      </c>
      <c r="Y714" s="2">
        <v>44798</v>
      </c>
      <c r="Z714" t="s">
        <v>996</v>
      </c>
    </row>
    <row r="715" spans="1:26">
      <c r="A715" s="1" t="s">
        <v>739</v>
      </c>
      <c r="B715">
        <f>HYPERLINK("https://www.suredividend.com/sure-analysis-AKR/","Acadia Realty Trust")</f>
        <v>0</v>
      </c>
      <c r="C715" t="s">
        <v>869</v>
      </c>
      <c r="D715">
        <v>18.9</v>
      </c>
      <c r="E715">
        <v>14.15</v>
      </c>
      <c r="F715">
        <v>18.9</v>
      </c>
      <c r="G715">
        <v>0.7486772486772487</v>
      </c>
      <c r="H715">
        <v>0.05088339222614841</v>
      </c>
      <c r="I715">
        <v>0.05959786085994945</v>
      </c>
      <c r="J715">
        <v>0.03</v>
      </c>
      <c r="K715">
        <v>0.1358020745560446</v>
      </c>
      <c r="L715" t="s">
        <v>637</v>
      </c>
      <c r="M715" t="s">
        <v>568</v>
      </c>
      <c r="N715">
        <v>11.23015873015873</v>
      </c>
      <c r="O715">
        <v>1.26</v>
      </c>
      <c r="P715">
        <v>0.72</v>
      </c>
      <c r="Q715">
        <v>0.5714285714285714</v>
      </c>
      <c r="R715">
        <v>2</v>
      </c>
      <c r="S715">
        <v>0.100082101138866</v>
      </c>
      <c r="T715" t="s">
        <v>886</v>
      </c>
      <c r="U715">
        <v>-0.3426462321782791</v>
      </c>
      <c r="V715" t="s">
        <v>980</v>
      </c>
      <c r="W715" t="s">
        <v>992</v>
      </c>
      <c r="X715">
        <v>1343.283187</v>
      </c>
      <c r="Y715" s="2">
        <v>44776</v>
      </c>
      <c r="Z715" t="s">
        <v>1000</v>
      </c>
    </row>
    <row r="716" spans="1:26">
      <c r="A716" s="1" t="s">
        <v>740</v>
      </c>
      <c r="B716">
        <f>HYPERLINK("https://www.suredividend.com/sure-analysis-ACRE/","Ares Commercial Real Estate Corp")</f>
        <v>0</v>
      </c>
      <c r="C716" t="s">
        <v>869</v>
      </c>
      <c r="D716">
        <v>13.88</v>
      </c>
      <c r="E716">
        <v>11.94</v>
      </c>
      <c r="F716">
        <v>15.95</v>
      </c>
      <c r="G716">
        <v>0.74858934169279</v>
      </c>
      <c r="H716">
        <v>0.1105527638190955</v>
      </c>
      <c r="I716">
        <v>0.05962274544554114</v>
      </c>
      <c r="J716">
        <v>0</v>
      </c>
      <c r="K716">
        <v>0.1356080014432668</v>
      </c>
      <c r="L716" t="s">
        <v>637</v>
      </c>
      <c r="M716" t="s">
        <v>568</v>
      </c>
      <c r="N716">
        <v>8.23448275862069</v>
      </c>
      <c r="O716">
        <v>1.45</v>
      </c>
      <c r="P716">
        <v>1.32</v>
      </c>
      <c r="Q716">
        <v>0.9103448275862069</v>
      </c>
      <c r="R716">
        <v>0</v>
      </c>
      <c r="S716">
        <v>0</v>
      </c>
      <c r="T716" t="s">
        <v>886</v>
      </c>
      <c r="U716">
        <v>-0.192441140862884</v>
      </c>
      <c r="V716" t="s">
        <v>980</v>
      </c>
      <c r="W716" t="s">
        <v>992</v>
      </c>
      <c r="X716">
        <v>650.0452289999999</v>
      </c>
      <c r="Y716" s="2">
        <v>44771</v>
      </c>
      <c r="Z716" t="s">
        <v>1000</v>
      </c>
    </row>
    <row r="717" spans="1:26">
      <c r="A717" s="1" t="s">
        <v>741</v>
      </c>
      <c r="B717">
        <f>HYPERLINK("https://www.suredividend.com/sure-analysis-CSWC/","Capital Southwest Corp.")</f>
        <v>0</v>
      </c>
      <c r="C717" t="s">
        <v>870</v>
      </c>
      <c r="D717">
        <v>20.01</v>
      </c>
      <c r="E717">
        <v>19.3</v>
      </c>
      <c r="F717">
        <v>22</v>
      </c>
      <c r="G717">
        <v>0.8772727272727273</v>
      </c>
      <c r="H717">
        <v>0.1036269430051813</v>
      </c>
      <c r="I717">
        <v>0.02653337617657292</v>
      </c>
      <c r="J717">
        <v>0.03</v>
      </c>
      <c r="K717">
        <v>0.1355760446224521</v>
      </c>
      <c r="L717" t="s">
        <v>637</v>
      </c>
      <c r="M717" t="s">
        <v>568</v>
      </c>
      <c r="N717">
        <v>9.65</v>
      </c>
      <c r="O717">
        <v>2</v>
      </c>
      <c r="P717">
        <v>2</v>
      </c>
      <c r="Q717">
        <v>1</v>
      </c>
      <c r="R717">
        <v>5</v>
      </c>
      <c r="S717">
        <v>0.03012896281839894</v>
      </c>
      <c r="T717" t="s">
        <v>883</v>
      </c>
      <c r="U717">
        <v>-0.214374104467891</v>
      </c>
      <c r="V717" t="s">
        <v>981</v>
      </c>
      <c r="W717" t="s">
        <v>986</v>
      </c>
      <c r="X717">
        <v>569.737274</v>
      </c>
      <c r="Y717" s="2">
        <v>44775</v>
      </c>
      <c r="Z717" t="s">
        <v>1000</v>
      </c>
    </row>
    <row r="718" spans="1:26">
      <c r="A718" s="1" t="s">
        <v>742</v>
      </c>
      <c r="B718">
        <f>HYPERLINK("https://www.suredividend.com/sure-analysis-DX/","Dynex Capital, Inc.")</f>
        <v>0</v>
      </c>
      <c r="C718" t="s">
        <v>870</v>
      </c>
      <c r="D718">
        <v>16.8</v>
      </c>
      <c r="E718">
        <v>11.79</v>
      </c>
      <c r="F718">
        <v>10.9</v>
      </c>
      <c r="G718">
        <v>1.081651376146789</v>
      </c>
      <c r="H718">
        <v>0.1323155216284987</v>
      </c>
      <c r="I718">
        <v>-0.01557521702191811</v>
      </c>
      <c r="J718">
        <v>0.058</v>
      </c>
      <c r="K718">
        <v>0.1354331040756163</v>
      </c>
      <c r="L718" t="s">
        <v>637</v>
      </c>
      <c r="M718" t="s">
        <v>568</v>
      </c>
      <c r="N718">
        <v>8.669117647058822</v>
      </c>
      <c r="O718">
        <v>1.36</v>
      </c>
      <c r="P718">
        <v>1.56</v>
      </c>
      <c r="Q718">
        <v>1.147058823529412</v>
      </c>
      <c r="R718">
        <v>0</v>
      </c>
      <c r="S718">
        <v>0</v>
      </c>
      <c r="T718" t="s">
        <v>878</v>
      </c>
      <c r="U718">
        <v>-0.264802170049574</v>
      </c>
      <c r="V718" t="s">
        <v>980</v>
      </c>
      <c r="W718" t="s">
        <v>992</v>
      </c>
      <c r="X718">
        <v>546.468033</v>
      </c>
      <c r="Y718" s="2">
        <v>44771</v>
      </c>
      <c r="Z718" t="s">
        <v>999</v>
      </c>
    </row>
    <row r="719" spans="1:26">
      <c r="A719" s="1" t="s">
        <v>743</v>
      </c>
      <c r="B719">
        <f>HYPERLINK("https://www.suredividend.com/sure-analysis-NTST/","Netstreit Corp")</f>
        <v>0</v>
      </c>
      <c r="C719" t="s">
        <v>869</v>
      </c>
      <c r="D719">
        <v>19</v>
      </c>
      <c r="E719">
        <v>18.82</v>
      </c>
      <c r="F719">
        <v>23</v>
      </c>
      <c r="G719">
        <v>0.8182608695652174</v>
      </c>
      <c r="H719">
        <v>0.04250797024442083</v>
      </c>
      <c r="I719">
        <v>0.04093028315174396</v>
      </c>
      <c r="J719">
        <v>0.06</v>
      </c>
      <c r="K719">
        <v>0.1348029813715117</v>
      </c>
      <c r="L719" t="s">
        <v>637</v>
      </c>
      <c r="M719" t="s">
        <v>586</v>
      </c>
      <c r="N719">
        <v>16.22413793103448</v>
      </c>
      <c r="O719">
        <v>1.16</v>
      </c>
      <c r="P719">
        <v>0.8</v>
      </c>
      <c r="Q719">
        <v>0.6896551724137931</v>
      </c>
      <c r="R719">
        <v>1</v>
      </c>
      <c r="S719">
        <v>0.04978904632428516</v>
      </c>
      <c r="T719" t="s">
        <v>874</v>
      </c>
      <c r="U719">
        <v>-0.192520734025254</v>
      </c>
      <c r="V719" t="s">
        <v>980</v>
      </c>
      <c r="W719" t="s">
        <v>992</v>
      </c>
      <c r="X719">
        <v>1032.771872</v>
      </c>
      <c r="Y719" s="2">
        <v>44867</v>
      </c>
      <c r="Z719" t="s">
        <v>998</v>
      </c>
    </row>
    <row r="720" spans="1:26">
      <c r="A720" s="1" t="s">
        <v>744</v>
      </c>
      <c r="B720">
        <f>HYPERLINK("https://www.suredividend.com/sure-analysis-IPAR/","Inter Parfums, Inc.")</f>
        <v>0</v>
      </c>
      <c r="C720" t="s">
        <v>869</v>
      </c>
      <c r="D720">
        <v>82</v>
      </c>
      <c r="E720">
        <v>82.48999999999999</v>
      </c>
      <c r="F720">
        <v>107</v>
      </c>
      <c r="G720">
        <v>0.7709345794392523</v>
      </c>
      <c r="H720">
        <v>0.02424536307431204</v>
      </c>
      <c r="I720">
        <v>0.05340771518326193</v>
      </c>
      <c r="J720">
        <v>0.06</v>
      </c>
      <c r="K720">
        <v>0.134139540288831</v>
      </c>
      <c r="L720" t="s">
        <v>637</v>
      </c>
      <c r="M720" t="s">
        <v>637</v>
      </c>
      <c r="N720">
        <v>25.38153846153846</v>
      </c>
      <c r="O720">
        <v>3.25</v>
      </c>
      <c r="P720">
        <v>2</v>
      </c>
      <c r="Q720">
        <v>0.6153846153846154</v>
      </c>
      <c r="R720">
        <v>2</v>
      </c>
      <c r="S720">
        <v>0.04978904632428516</v>
      </c>
      <c r="T720" t="s">
        <v>883</v>
      </c>
      <c r="U720">
        <v>-0.078301366067098</v>
      </c>
      <c r="V720" t="s">
        <v>978</v>
      </c>
      <c r="W720" t="s">
        <v>983</v>
      </c>
      <c r="X720">
        <v>2626.973653</v>
      </c>
      <c r="Y720" s="2">
        <v>44799</v>
      </c>
      <c r="Z720" t="s">
        <v>995</v>
      </c>
    </row>
    <row r="721" spans="1:26">
      <c r="A721" s="1" t="s">
        <v>745</v>
      </c>
      <c r="B721">
        <f>HYPERLINK("https://www.suredividend.com/sure-analysis-MRCC/","Monroe Capital Corp")</f>
        <v>0</v>
      </c>
      <c r="C721" t="s">
        <v>870</v>
      </c>
      <c r="D721">
        <v>9.109999999999999</v>
      </c>
      <c r="E721">
        <v>7.7</v>
      </c>
      <c r="F721">
        <v>9.390000000000001</v>
      </c>
      <c r="G721">
        <v>0.820021299254526</v>
      </c>
      <c r="H721">
        <v>0.1298701298701299</v>
      </c>
      <c r="I721">
        <v>0.040482963013869</v>
      </c>
      <c r="J721">
        <v>0</v>
      </c>
      <c r="K721">
        <v>0.1332194339049122</v>
      </c>
      <c r="L721" t="s">
        <v>637</v>
      </c>
      <c r="M721" t="s">
        <v>568</v>
      </c>
      <c r="N721">
        <v>7.623762376237623</v>
      </c>
      <c r="O721">
        <v>1.01</v>
      </c>
      <c r="P721">
        <v>1</v>
      </c>
      <c r="Q721">
        <v>0.9900990099009901</v>
      </c>
      <c r="R721">
        <v>0</v>
      </c>
      <c r="S721">
        <v>0</v>
      </c>
      <c r="T721" t="s">
        <v>883</v>
      </c>
      <c r="U721">
        <v>-0.161621880580114</v>
      </c>
      <c r="V721" t="s">
        <v>981</v>
      </c>
      <c r="W721" t="s">
        <v>986</v>
      </c>
      <c r="X721">
        <v>166.830818</v>
      </c>
      <c r="Y721" s="2">
        <v>44776</v>
      </c>
      <c r="Z721" t="s">
        <v>1000</v>
      </c>
    </row>
    <row r="722" spans="1:26">
      <c r="A722" s="1" t="s">
        <v>746</v>
      </c>
      <c r="B722">
        <f>HYPERLINK("https://www.suredividend.com/sure-analysis-EXR/","Extra Space Storage Inc.")</f>
        <v>0</v>
      </c>
      <c r="C722" t="s">
        <v>869</v>
      </c>
      <c r="D722">
        <v>159</v>
      </c>
      <c r="E722">
        <v>153.87</v>
      </c>
      <c r="F722">
        <v>159</v>
      </c>
      <c r="G722">
        <v>0.9677358490566038</v>
      </c>
      <c r="H722">
        <v>0.03899395593682979</v>
      </c>
      <c r="I722">
        <v>0.006580781240200562</v>
      </c>
      <c r="J722">
        <v>0.09</v>
      </c>
      <c r="K722">
        <v>0.1320825018986647</v>
      </c>
      <c r="L722" t="s">
        <v>637</v>
      </c>
      <c r="M722" t="s">
        <v>586</v>
      </c>
      <c r="N722">
        <v>18.42754491017964</v>
      </c>
      <c r="O722">
        <v>8.35</v>
      </c>
      <c r="P722">
        <v>6</v>
      </c>
      <c r="Q722">
        <v>0.718562874251497</v>
      </c>
      <c r="R722">
        <v>13</v>
      </c>
      <c r="S722">
        <v>0.1099923381810939</v>
      </c>
      <c r="T722" t="s">
        <v>883</v>
      </c>
      <c r="U722">
        <v>-0.202161169976952</v>
      </c>
      <c r="V722" t="s">
        <v>980</v>
      </c>
      <c r="W722" t="s">
        <v>992</v>
      </c>
      <c r="X722">
        <v>20605.044979</v>
      </c>
      <c r="Y722" s="2">
        <v>44867</v>
      </c>
      <c r="Z722" t="s">
        <v>1000</v>
      </c>
    </row>
    <row r="723" spans="1:26">
      <c r="A723" s="1" t="s">
        <v>747</v>
      </c>
      <c r="B723">
        <f>HYPERLINK("https://www.suredividend.com/sure-analysis-PRT/","PermRock Royalty Trust")</f>
        <v>0</v>
      </c>
      <c r="C723" t="s">
        <v>870</v>
      </c>
      <c r="D723">
        <v>8.869999999999999</v>
      </c>
      <c r="E723">
        <v>7.61</v>
      </c>
      <c r="F723">
        <v>7.48</v>
      </c>
      <c r="G723">
        <v>1.017379679144385</v>
      </c>
      <c r="H723">
        <v>0.1156373193166886</v>
      </c>
      <c r="I723">
        <v>-0.00344014507235979</v>
      </c>
      <c r="J723">
        <v>0.04</v>
      </c>
      <c r="K723">
        <v>0.130560126306738</v>
      </c>
      <c r="L723" t="s">
        <v>637</v>
      </c>
      <c r="M723" t="s">
        <v>568</v>
      </c>
      <c r="N723">
        <v>8.647727272727273</v>
      </c>
      <c r="O723">
        <v>0.88</v>
      </c>
      <c r="P723">
        <v>0.88</v>
      </c>
      <c r="Q723">
        <v>1</v>
      </c>
      <c r="R723">
        <v>2</v>
      </c>
      <c r="S723">
        <v>0.03987280625583534</v>
      </c>
      <c r="T723" t="s">
        <v>911</v>
      </c>
      <c r="U723">
        <v>0.21582975188126</v>
      </c>
      <c r="V723" t="s">
        <v>978</v>
      </c>
      <c r="W723" t="s">
        <v>991</v>
      </c>
      <c r="X723">
        <v>92.581221</v>
      </c>
      <c r="Y723" s="2">
        <v>44806</v>
      </c>
      <c r="Z723" t="s">
        <v>998</v>
      </c>
    </row>
    <row r="724" spans="1:26">
      <c r="A724" s="1" t="s">
        <v>748</v>
      </c>
      <c r="B724">
        <f>HYPERLINK("https://www.suredividend.com/sure-analysis-GNL/","Global Net Lease Inc")</f>
        <v>0</v>
      </c>
      <c r="C724" t="s">
        <v>870</v>
      </c>
      <c r="D724">
        <v>15</v>
      </c>
      <c r="E724">
        <v>12.65</v>
      </c>
      <c r="F724">
        <v>12</v>
      </c>
      <c r="G724">
        <v>1.054166666666667</v>
      </c>
      <c r="H724">
        <v>0.1264822134387352</v>
      </c>
      <c r="I724">
        <v>-0.01049465583221298</v>
      </c>
      <c r="J724">
        <v>0.044</v>
      </c>
      <c r="K724">
        <v>0.1301995654264017</v>
      </c>
      <c r="L724" t="s">
        <v>637</v>
      </c>
      <c r="M724" t="s">
        <v>568</v>
      </c>
      <c r="N724">
        <v>7.3121387283237</v>
      </c>
      <c r="O724">
        <v>1.73</v>
      </c>
      <c r="P724">
        <v>1.6</v>
      </c>
      <c r="Q724">
        <v>0.9248554913294799</v>
      </c>
      <c r="R724">
        <v>0</v>
      </c>
      <c r="S724">
        <v>0.01808400232019891</v>
      </c>
      <c r="T724" t="s">
        <v>953</v>
      </c>
      <c r="U724">
        <v>-0.09710574212197901</v>
      </c>
      <c r="V724" t="s">
        <v>980</v>
      </c>
      <c r="W724" t="s">
        <v>992</v>
      </c>
      <c r="X724">
        <v>1311.649215</v>
      </c>
      <c r="Y724" s="2">
        <v>44786</v>
      </c>
      <c r="Z724" t="s">
        <v>999</v>
      </c>
    </row>
    <row r="725" spans="1:26">
      <c r="A725" s="1" t="s">
        <v>749</v>
      </c>
      <c r="B725">
        <f>HYPERLINK("https://www.suredividend.com/sure-analysis-TPVG/","TriplePoint Venture Growth BDC Corp")</f>
        <v>0</v>
      </c>
      <c r="C725" t="s">
        <v>869</v>
      </c>
      <c r="D725">
        <v>13.5</v>
      </c>
      <c r="E725">
        <v>12.62</v>
      </c>
      <c r="F725">
        <v>14.4</v>
      </c>
      <c r="G725">
        <v>0.8763888888888888</v>
      </c>
      <c r="H725">
        <v>0.1141045958795563</v>
      </c>
      <c r="I725">
        <v>0.02674034452869645</v>
      </c>
      <c r="J725">
        <v>0.02</v>
      </c>
      <c r="K725">
        <v>0.1285112054573276</v>
      </c>
      <c r="L725" t="s">
        <v>637</v>
      </c>
      <c r="M725" t="s">
        <v>568</v>
      </c>
      <c r="N725">
        <v>7.887499999999999</v>
      </c>
      <c r="O725">
        <v>1.6</v>
      </c>
      <c r="P725">
        <v>1.44</v>
      </c>
      <c r="Q725">
        <v>0.8999999999999999</v>
      </c>
      <c r="R725">
        <v>0</v>
      </c>
      <c r="S725">
        <v>0</v>
      </c>
      <c r="T725" t="s">
        <v>883</v>
      </c>
      <c r="U725">
        <v>-0.224582337435714</v>
      </c>
      <c r="V725" t="s">
        <v>981</v>
      </c>
      <c r="W725" t="s">
        <v>986</v>
      </c>
      <c r="X725">
        <v>445.259572</v>
      </c>
      <c r="Y725" s="2">
        <v>44778</v>
      </c>
      <c r="Z725" t="s">
        <v>1000</v>
      </c>
    </row>
    <row r="726" spans="1:26">
      <c r="A726" s="1" t="s">
        <v>750</v>
      </c>
      <c r="B726">
        <f>HYPERLINK("https://www.suredividend.com/sure-analysis-BGS/","B&amp;G Foods, Inc")</f>
        <v>0</v>
      </c>
      <c r="C726" t="s">
        <v>870</v>
      </c>
      <c r="D726">
        <v>23</v>
      </c>
      <c r="E726">
        <v>15.66</v>
      </c>
      <c r="F726">
        <v>15</v>
      </c>
      <c r="G726">
        <v>1.044</v>
      </c>
      <c r="H726">
        <v>0.1213282247765006</v>
      </c>
      <c r="I726">
        <v>-0.008574921720574058</v>
      </c>
      <c r="J726">
        <v>0.05</v>
      </c>
      <c r="K726">
        <v>0.1283635772626652</v>
      </c>
      <c r="L726" t="s">
        <v>637</v>
      </c>
      <c r="M726" t="s">
        <v>568</v>
      </c>
      <c r="N726">
        <v>13.27118644067797</v>
      </c>
      <c r="O726">
        <v>1.18</v>
      </c>
      <c r="P726">
        <v>1.9</v>
      </c>
      <c r="Q726">
        <v>1.610169491525424</v>
      </c>
      <c r="R726">
        <v>0</v>
      </c>
      <c r="S726">
        <v>0</v>
      </c>
      <c r="T726" t="s">
        <v>886</v>
      </c>
      <c r="U726">
        <v>-0.479119892231701</v>
      </c>
      <c r="V726" t="s">
        <v>978</v>
      </c>
      <c r="W726" t="s">
        <v>990</v>
      </c>
      <c r="X726">
        <v>1122.340862</v>
      </c>
      <c r="Y726" s="2">
        <v>44783</v>
      </c>
      <c r="Z726" t="s">
        <v>998</v>
      </c>
    </row>
    <row r="727" spans="1:26">
      <c r="A727" s="1" t="s">
        <v>751</v>
      </c>
      <c r="B727">
        <f>HYPERLINK("https://www.suredividend.com/sure-analysis-KSS/","Kohl`s Corp.")</f>
        <v>0</v>
      </c>
      <c r="C727" t="s">
        <v>869</v>
      </c>
      <c r="D727">
        <v>30</v>
      </c>
      <c r="E727">
        <v>27.1</v>
      </c>
      <c r="F727">
        <v>33</v>
      </c>
      <c r="G727">
        <v>0.8212121212121213</v>
      </c>
      <c r="H727">
        <v>0.07380073800738007</v>
      </c>
      <c r="I727">
        <v>0.04018103145952723</v>
      </c>
      <c r="J727">
        <v>0.03</v>
      </c>
      <c r="K727">
        <v>0.1281042529893246</v>
      </c>
      <c r="L727" t="s">
        <v>637</v>
      </c>
      <c r="M727" t="s">
        <v>568</v>
      </c>
      <c r="N727">
        <v>9.033333333333333</v>
      </c>
      <c r="O727">
        <v>3</v>
      </c>
      <c r="P727">
        <v>2</v>
      </c>
      <c r="Q727">
        <v>0.6666666666666666</v>
      </c>
      <c r="R727">
        <v>2</v>
      </c>
      <c r="S727">
        <v>0.03971726473271953</v>
      </c>
      <c r="T727" t="s">
        <v>897</v>
      </c>
      <c r="U727">
        <v>-0.510844452145786</v>
      </c>
      <c r="V727" t="s">
        <v>978</v>
      </c>
      <c r="W727" t="s">
        <v>983</v>
      </c>
      <c r="X727">
        <v>3160.890342</v>
      </c>
      <c r="Y727" s="2">
        <v>44801</v>
      </c>
      <c r="Z727" t="s">
        <v>1001</v>
      </c>
    </row>
    <row r="728" spans="1:26">
      <c r="A728" s="1" t="s">
        <v>752</v>
      </c>
      <c r="B728">
        <f>HYPERLINK("https://www.suredividend.com/sure-analysis-RTL/","Necessity Retail REIT Inc (The)")</f>
        <v>0</v>
      </c>
      <c r="C728" t="s">
        <v>870</v>
      </c>
      <c r="D728">
        <v>7.86</v>
      </c>
      <c r="E728">
        <v>6.64</v>
      </c>
      <c r="F728">
        <v>7.86</v>
      </c>
      <c r="G728">
        <v>0.8447837150127225</v>
      </c>
      <c r="H728">
        <v>0.1280120481927711</v>
      </c>
      <c r="I728">
        <v>0.03431040427144327</v>
      </c>
      <c r="J728">
        <v>0</v>
      </c>
      <c r="K728">
        <v>0.1277042385352054</v>
      </c>
      <c r="L728" t="s">
        <v>637</v>
      </c>
      <c r="M728" t="s">
        <v>568</v>
      </c>
      <c r="N728">
        <v>6.509803921568627</v>
      </c>
      <c r="O728">
        <v>1.02</v>
      </c>
      <c r="P728">
        <v>0.85</v>
      </c>
      <c r="Q728">
        <v>0.8333333333333333</v>
      </c>
      <c r="R728">
        <v>1</v>
      </c>
      <c r="S728">
        <v>0</v>
      </c>
      <c r="T728" t="s">
        <v>953</v>
      </c>
      <c r="U728">
        <v>-0.202373659110838</v>
      </c>
      <c r="V728" t="s">
        <v>980</v>
      </c>
      <c r="W728" t="s">
        <v>992</v>
      </c>
      <c r="X728">
        <v>891.2494380000001</v>
      </c>
      <c r="Y728" s="2">
        <v>44781</v>
      </c>
      <c r="Z728" t="s">
        <v>1000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869</v>
      </c>
      <c r="D729">
        <v>43</v>
      </c>
      <c r="E729">
        <v>38.21</v>
      </c>
      <c r="F729">
        <v>46</v>
      </c>
      <c r="G729">
        <v>0.8306521739130435</v>
      </c>
      <c r="H729">
        <v>0.06673645642501962</v>
      </c>
      <c r="I729">
        <v>0.03780595600790826</v>
      </c>
      <c r="J729">
        <v>0.04</v>
      </c>
      <c r="K729">
        <v>0.127146859168723</v>
      </c>
      <c r="L729" t="s">
        <v>637</v>
      </c>
      <c r="M729" t="s">
        <v>568</v>
      </c>
      <c r="N729">
        <v>10.76338028169014</v>
      </c>
      <c r="O729">
        <v>3.55</v>
      </c>
      <c r="P729">
        <v>2.55</v>
      </c>
      <c r="Q729">
        <v>0.7183098591549295</v>
      </c>
      <c r="R729">
        <v>1</v>
      </c>
      <c r="S729">
        <v>0.02033265364950054</v>
      </c>
      <c r="T729" t="s">
        <v>886</v>
      </c>
      <c r="U729">
        <v>-0.165999131294567</v>
      </c>
      <c r="V729" t="s">
        <v>980</v>
      </c>
      <c r="W729" t="s">
        <v>992</v>
      </c>
      <c r="X729">
        <v>5209.615784</v>
      </c>
      <c r="Y729" s="2">
        <v>44781</v>
      </c>
      <c r="Z729" t="s">
        <v>1000</v>
      </c>
    </row>
    <row r="730" spans="1:26">
      <c r="A730" s="1" t="s">
        <v>754</v>
      </c>
      <c r="B730">
        <f>HYPERLINK("https://www.suredividend.com/sure-analysis-SFL/","SFL Corporation Ltd")</f>
        <v>0</v>
      </c>
      <c r="C730" t="s">
        <v>869</v>
      </c>
      <c r="D730">
        <v>11.14</v>
      </c>
      <c r="E730">
        <v>10.44</v>
      </c>
      <c r="F730">
        <v>12</v>
      </c>
      <c r="G730">
        <v>0.87</v>
      </c>
      <c r="H730">
        <v>0.08812260536398468</v>
      </c>
      <c r="I730">
        <v>0.02824391826709793</v>
      </c>
      <c r="J730">
        <v>0.03</v>
      </c>
      <c r="K730">
        <v>0.1266576351543136</v>
      </c>
      <c r="L730" t="s">
        <v>637</v>
      </c>
      <c r="M730" t="s">
        <v>568</v>
      </c>
      <c r="N730">
        <v>8.699999999999999</v>
      </c>
      <c r="O730">
        <v>1.2</v>
      </c>
      <c r="P730">
        <v>0.92</v>
      </c>
      <c r="Q730">
        <v>0.7666666666666667</v>
      </c>
      <c r="R730">
        <v>1</v>
      </c>
      <c r="S730">
        <v>0.03066894385040531</v>
      </c>
      <c r="T730" t="s">
        <v>883</v>
      </c>
      <c r="U730">
        <v>0.4344994366429411</v>
      </c>
      <c r="V730" t="s">
        <v>978</v>
      </c>
      <c r="W730" t="s">
        <v>984</v>
      </c>
      <c r="X730">
        <v>1446.47648</v>
      </c>
      <c r="Y730" s="2">
        <v>44794</v>
      </c>
      <c r="Z730" t="s">
        <v>1000</v>
      </c>
    </row>
    <row r="731" spans="1:26">
      <c r="A731" s="1" t="s">
        <v>755</v>
      </c>
      <c r="B731">
        <f>HYPERLINK("https://www.suredividend.com/sure-analysis-EPRT/","Essential Properties Realty Trust Inc")</f>
        <v>0</v>
      </c>
      <c r="C731" t="s">
        <v>869</v>
      </c>
      <c r="D731">
        <v>22</v>
      </c>
      <c r="E731">
        <v>21.41</v>
      </c>
      <c r="F731">
        <v>23</v>
      </c>
      <c r="G731">
        <v>0.9308695652173913</v>
      </c>
      <c r="H731">
        <v>0.050443717888837</v>
      </c>
      <c r="I731">
        <v>0.01443034923737008</v>
      </c>
      <c r="J731">
        <v>0.07000000000000001</v>
      </c>
      <c r="K731">
        <v>0.1246953592860114</v>
      </c>
      <c r="L731" t="s">
        <v>637</v>
      </c>
      <c r="M731" t="s">
        <v>586</v>
      </c>
      <c r="N731">
        <v>13.99346405228758</v>
      </c>
      <c r="O731">
        <v>1.53</v>
      </c>
      <c r="P731">
        <v>1.08</v>
      </c>
      <c r="Q731">
        <v>0.7058823529411765</v>
      </c>
      <c r="R731">
        <v>4</v>
      </c>
      <c r="S731">
        <v>0.05024607263868264</v>
      </c>
      <c r="T731" t="s">
        <v>886</v>
      </c>
      <c r="U731">
        <v>-0.255806516646158</v>
      </c>
      <c r="V731" t="s">
        <v>980</v>
      </c>
      <c r="W731" t="s">
        <v>992</v>
      </c>
      <c r="X731">
        <v>3048.296173</v>
      </c>
      <c r="Y731" s="2">
        <v>44867</v>
      </c>
      <c r="Z731" t="s">
        <v>998</v>
      </c>
    </row>
    <row r="732" spans="1:26">
      <c r="A732" s="1" t="s">
        <v>756</v>
      </c>
      <c r="B732">
        <f>HYPERLINK("https://www.suredividend.com/sure-analysis-UDR/","UDR Inc")</f>
        <v>0</v>
      </c>
      <c r="C732" t="s">
        <v>869</v>
      </c>
      <c r="D732">
        <v>40</v>
      </c>
      <c r="E732">
        <v>38.44</v>
      </c>
      <c r="F732">
        <v>47</v>
      </c>
      <c r="G732">
        <v>0.8178723404255319</v>
      </c>
      <c r="H732">
        <v>0.03954214360041623</v>
      </c>
      <c r="I732">
        <v>0.04102916286668146</v>
      </c>
      <c r="J732">
        <v>0.055</v>
      </c>
      <c r="K732">
        <v>0.1242095632024351</v>
      </c>
      <c r="L732" t="s">
        <v>637</v>
      </c>
      <c r="M732" t="s">
        <v>586</v>
      </c>
      <c r="N732">
        <v>18.13207547169811</v>
      </c>
      <c r="O732">
        <v>2.12</v>
      </c>
      <c r="P732">
        <v>1.52</v>
      </c>
      <c r="Q732">
        <v>0.7169811320754716</v>
      </c>
      <c r="R732">
        <v>11</v>
      </c>
      <c r="S732">
        <v>0</v>
      </c>
      <c r="T732" t="s">
        <v>902</v>
      </c>
      <c r="U732">
        <v>-0.268102282896365</v>
      </c>
      <c r="V732" t="s">
        <v>980</v>
      </c>
      <c r="W732" t="s">
        <v>992</v>
      </c>
      <c r="X732">
        <v>12513.826023</v>
      </c>
      <c r="Y732" s="2">
        <v>44867</v>
      </c>
      <c r="Z732" t="s">
        <v>998</v>
      </c>
    </row>
    <row r="733" spans="1:26">
      <c r="A733" s="1" t="s">
        <v>757</v>
      </c>
      <c r="B733">
        <f>HYPERLINK("https://www.suredividend.com/sure-analysis-NEM/","Newmont Corp")</f>
        <v>0</v>
      </c>
      <c r="C733" t="s">
        <v>869</v>
      </c>
      <c r="D733">
        <v>44</v>
      </c>
      <c r="E733">
        <v>40.99</v>
      </c>
      <c r="F733">
        <v>54</v>
      </c>
      <c r="G733">
        <v>0.7590740740740741</v>
      </c>
      <c r="H733">
        <v>0.05367162722615272</v>
      </c>
      <c r="I733">
        <v>0.05667922331048225</v>
      </c>
      <c r="J733">
        <v>0.03</v>
      </c>
      <c r="K733">
        <v>0.1241931205828677</v>
      </c>
      <c r="L733" t="s">
        <v>637</v>
      </c>
      <c r="M733" t="s">
        <v>586</v>
      </c>
      <c r="N733">
        <v>13.66333333333333</v>
      </c>
      <c r="O733">
        <v>3</v>
      </c>
      <c r="P733">
        <v>2.2</v>
      </c>
      <c r="Q733">
        <v>0.7333333333333334</v>
      </c>
      <c r="R733">
        <v>6</v>
      </c>
      <c r="S733">
        <v>0</v>
      </c>
      <c r="T733" t="s">
        <v>925</v>
      </c>
      <c r="U733">
        <v>-0.223491880668944</v>
      </c>
      <c r="V733" t="s">
        <v>978</v>
      </c>
      <c r="W733" t="s">
        <v>989</v>
      </c>
      <c r="X733">
        <v>32535.350584</v>
      </c>
      <c r="Y733" s="2">
        <v>44767</v>
      </c>
      <c r="Z733" t="s">
        <v>994</v>
      </c>
    </row>
    <row r="734" spans="1:26">
      <c r="A734" s="1" t="s">
        <v>758</v>
      </c>
      <c r="B734">
        <f>HYPERLINK("https://www.suredividend.com/sure-analysis-TRP/","TC Energy Corporation")</f>
        <v>0</v>
      </c>
      <c r="C734" t="s">
        <v>870</v>
      </c>
      <c r="D734">
        <v>49</v>
      </c>
      <c r="E734">
        <v>44.56</v>
      </c>
      <c r="F734">
        <v>53</v>
      </c>
      <c r="G734">
        <v>0.8407547169811321</v>
      </c>
      <c r="H734">
        <v>0.06373429084380609</v>
      </c>
      <c r="I734">
        <v>0.0352998175767274</v>
      </c>
      <c r="J734">
        <v>0.04</v>
      </c>
      <c r="K734">
        <v>0.1241794075764262</v>
      </c>
      <c r="L734" t="s">
        <v>637</v>
      </c>
      <c r="M734" t="s">
        <v>568</v>
      </c>
      <c r="N734">
        <v>13.5030303030303</v>
      </c>
      <c r="O734">
        <v>3.3</v>
      </c>
      <c r="P734">
        <v>2.84</v>
      </c>
      <c r="Q734">
        <v>0.8606060606060606</v>
      </c>
      <c r="R734">
        <v>7</v>
      </c>
      <c r="S734">
        <v>0.02985364768622523</v>
      </c>
      <c r="T734" t="s">
        <v>886</v>
      </c>
      <c r="U734">
        <v>-0.119720744444422</v>
      </c>
      <c r="V734" t="s">
        <v>978</v>
      </c>
      <c r="W734" t="s">
        <v>991</v>
      </c>
      <c r="X734">
        <v>45092.834577</v>
      </c>
      <c r="Y734" s="2">
        <v>44795</v>
      </c>
      <c r="Z734" t="s">
        <v>996</v>
      </c>
    </row>
    <row r="735" spans="1:26">
      <c r="A735" s="1" t="s">
        <v>759</v>
      </c>
      <c r="B735">
        <f>HYPERLINK("https://www.suredividend.com/sure-analysis-KNOP/","KNOT Offshore Partners LP")</f>
        <v>0</v>
      </c>
      <c r="C735" t="s">
        <v>870</v>
      </c>
      <c r="D735">
        <v>16.78</v>
      </c>
      <c r="E735">
        <v>14.42</v>
      </c>
      <c r="F735">
        <v>15.4</v>
      </c>
      <c r="G735">
        <v>0.9363636363636363</v>
      </c>
      <c r="H735">
        <v>0.144244105409154</v>
      </c>
      <c r="I735">
        <v>0.0132371206471984</v>
      </c>
      <c r="J735">
        <v>0</v>
      </c>
      <c r="K735">
        <v>0.1233908678038849</v>
      </c>
      <c r="L735" t="s">
        <v>637</v>
      </c>
      <c r="M735" t="s">
        <v>568</v>
      </c>
      <c r="N735">
        <v>6.554545454545454</v>
      </c>
      <c r="O735">
        <v>2.2</v>
      </c>
      <c r="P735">
        <v>2.08</v>
      </c>
      <c r="Q735">
        <v>0.9454545454545454</v>
      </c>
      <c r="R735">
        <v>0</v>
      </c>
      <c r="S735">
        <v>0</v>
      </c>
      <c r="T735" t="s">
        <v>945</v>
      </c>
      <c r="U735">
        <v>-0.09967283534377201</v>
      </c>
      <c r="V735" t="s">
        <v>979</v>
      </c>
      <c r="W735" t="s">
        <v>984</v>
      </c>
      <c r="X735">
        <v>489.716841</v>
      </c>
      <c r="Y735" s="2">
        <v>44800</v>
      </c>
      <c r="Z735" t="s">
        <v>1000</v>
      </c>
    </row>
    <row r="736" spans="1:26">
      <c r="A736" s="1" t="s">
        <v>760</v>
      </c>
      <c r="B736">
        <f>HYPERLINK("https://www.suredividend.com/sure-analysis-PEAK/","Healthpeak Properties Inc")</f>
        <v>0</v>
      </c>
      <c r="C736" t="s">
        <v>870</v>
      </c>
      <c r="D736">
        <v>24</v>
      </c>
      <c r="E736">
        <v>24.01</v>
      </c>
      <c r="F736">
        <v>27</v>
      </c>
      <c r="G736">
        <v>0.8892592592592593</v>
      </c>
      <c r="H736">
        <v>0.04997917534360682</v>
      </c>
      <c r="I736">
        <v>0.02375095717505471</v>
      </c>
      <c r="J736">
        <v>0.06</v>
      </c>
      <c r="K736">
        <v>0.1233404831000262</v>
      </c>
      <c r="L736" t="s">
        <v>637</v>
      </c>
      <c r="M736" t="s">
        <v>586</v>
      </c>
      <c r="N736">
        <v>13.87861271676301</v>
      </c>
      <c r="O736">
        <v>1.73</v>
      </c>
      <c r="P736">
        <v>1.2</v>
      </c>
      <c r="Q736">
        <v>0.6936416184971098</v>
      </c>
      <c r="R736">
        <v>0</v>
      </c>
      <c r="S736">
        <v>0.04283618904063879</v>
      </c>
      <c r="T736" t="s">
        <v>919</v>
      </c>
      <c r="U736">
        <v>-0.263017667931292</v>
      </c>
      <c r="V736" t="s">
        <v>980</v>
      </c>
      <c r="W736" t="s">
        <v>992</v>
      </c>
      <c r="X736">
        <v>12906.338857</v>
      </c>
      <c r="Y736" s="2">
        <v>44870</v>
      </c>
      <c r="Z736" t="s">
        <v>996</v>
      </c>
    </row>
    <row r="737" spans="1:26">
      <c r="A737" s="1" t="s">
        <v>761</v>
      </c>
      <c r="B737">
        <f>HYPERLINK("https://www.suredividend.com/sure-analysis-DREUF/","Dream Industrial Real Estate Investment Trust")</f>
        <v>0</v>
      </c>
      <c r="C737" t="s">
        <v>870</v>
      </c>
      <c r="D737">
        <v>10</v>
      </c>
      <c r="E737">
        <v>8.2394</v>
      </c>
      <c r="F737">
        <v>10</v>
      </c>
      <c r="G737">
        <v>0.82394</v>
      </c>
      <c r="H737">
        <v>0.06675243342961867</v>
      </c>
      <c r="I737">
        <v>0.03949135673442594</v>
      </c>
      <c r="J737">
        <v>0.035</v>
      </c>
      <c r="K737">
        <v>0.1230010723291919</v>
      </c>
      <c r="L737" t="s">
        <v>637</v>
      </c>
      <c r="M737" t="s">
        <v>568</v>
      </c>
      <c r="N737">
        <v>11.60478873239437</v>
      </c>
      <c r="O737">
        <v>0.71</v>
      </c>
      <c r="P737">
        <v>0.55</v>
      </c>
      <c r="Q737">
        <v>0.7746478873239437</v>
      </c>
      <c r="R737">
        <v>0</v>
      </c>
      <c r="S737">
        <v>0.01067857840444453</v>
      </c>
      <c r="T737" t="s">
        <v>911</v>
      </c>
      <c r="U737">
        <v>-0.412143264840182</v>
      </c>
      <c r="V737" t="s">
        <v>980</v>
      </c>
      <c r="W737" t="s">
        <v>992</v>
      </c>
      <c r="X737">
        <v>2105.173011</v>
      </c>
      <c r="Y737" s="2">
        <v>44782</v>
      </c>
      <c r="Z737" t="s">
        <v>998</v>
      </c>
    </row>
    <row r="738" spans="1:26">
      <c r="A738" s="1" t="s">
        <v>762</v>
      </c>
      <c r="B738">
        <f>HYPERLINK("https://www.suredividend.com/sure-analysis-CHCT/","Community Healthcare Trust Inc")</f>
        <v>0</v>
      </c>
      <c r="C738" t="s">
        <v>870</v>
      </c>
      <c r="D738">
        <v>41</v>
      </c>
      <c r="E738">
        <v>35.29</v>
      </c>
      <c r="F738">
        <v>42</v>
      </c>
      <c r="G738">
        <v>0.8402380952380952</v>
      </c>
      <c r="H738">
        <v>0.0501558515160102</v>
      </c>
      <c r="I738">
        <v>0.0354270974285793</v>
      </c>
      <c r="J738">
        <v>0.05</v>
      </c>
      <c r="K738">
        <v>0.1228445908495381</v>
      </c>
      <c r="L738" t="s">
        <v>637</v>
      </c>
      <c r="M738" t="s">
        <v>586</v>
      </c>
      <c r="N738">
        <v>15.41048034934498</v>
      </c>
      <c r="O738">
        <v>2.29</v>
      </c>
      <c r="P738">
        <v>1.77</v>
      </c>
      <c r="Q738">
        <v>0.7729257641921398</v>
      </c>
      <c r="R738">
        <v>6</v>
      </c>
      <c r="S738">
        <v>0.01955878011628309</v>
      </c>
      <c r="T738" t="s">
        <v>913</v>
      </c>
      <c r="U738">
        <v>-0.207836781604035</v>
      </c>
      <c r="V738" t="s">
        <v>980</v>
      </c>
      <c r="W738" t="s">
        <v>992</v>
      </c>
      <c r="X738">
        <v>892.807286</v>
      </c>
      <c r="Y738" s="2">
        <v>44782</v>
      </c>
      <c r="Z738" t="s">
        <v>998</v>
      </c>
    </row>
    <row r="739" spans="1:26">
      <c r="A739" s="1" t="s">
        <v>763</v>
      </c>
      <c r="B739">
        <f>HYPERLINK("https://www.suredividend.com/sure-analysis-CORR/","CorEnergy Infrastructure Trust Inc")</f>
        <v>0</v>
      </c>
      <c r="C739" t="s">
        <v>870</v>
      </c>
      <c r="D739">
        <v>2.27</v>
      </c>
      <c r="E739">
        <v>2.05</v>
      </c>
      <c r="F739">
        <v>2.64</v>
      </c>
      <c r="G739">
        <v>0.7765151515151514</v>
      </c>
      <c r="H739">
        <v>0.09756097560975611</v>
      </c>
      <c r="I739">
        <v>0.05188924126230798</v>
      </c>
      <c r="J739">
        <v>0</v>
      </c>
      <c r="K739">
        <v>0.1216813642653602</v>
      </c>
      <c r="L739" t="s">
        <v>637</v>
      </c>
      <c r="M739" t="s">
        <v>568</v>
      </c>
      <c r="N739">
        <v>-1.722689075630252</v>
      </c>
      <c r="O739">
        <v>-1.19</v>
      </c>
      <c r="P739">
        <v>0.2</v>
      </c>
      <c r="Q739">
        <v>9.99</v>
      </c>
      <c r="R739">
        <v>0</v>
      </c>
      <c r="S739">
        <v>0</v>
      </c>
      <c r="T739" t="s">
        <v>900</v>
      </c>
      <c r="U739">
        <v>-0.5518635916493601</v>
      </c>
      <c r="V739" t="s">
        <v>980</v>
      </c>
      <c r="W739" t="s">
        <v>992</v>
      </c>
      <c r="X739">
        <v>30.874757</v>
      </c>
      <c r="Y739" s="2">
        <v>44792</v>
      </c>
      <c r="Z739" t="s">
        <v>993</v>
      </c>
    </row>
    <row r="740" spans="1:26">
      <c r="A740" s="1" t="s">
        <v>764</v>
      </c>
      <c r="B740">
        <f>HYPERLINK("https://www.suredividend.com/sure-analysis-BX/","Blackstone Inc")</f>
        <v>0</v>
      </c>
      <c r="C740" t="s">
        <v>869</v>
      </c>
      <c r="D740">
        <v>84</v>
      </c>
      <c r="E740">
        <v>90.04000000000001</v>
      </c>
      <c r="F740">
        <v>86</v>
      </c>
      <c r="G740">
        <v>1.046976744186047</v>
      </c>
      <c r="H740">
        <v>0.05775211017325633</v>
      </c>
      <c r="I740">
        <v>-0.009139324116445469</v>
      </c>
      <c r="J740">
        <v>0.08</v>
      </c>
      <c r="K740">
        <v>0.1208828893784089</v>
      </c>
      <c r="L740" t="s">
        <v>637</v>
      </c>
      <c r="M740" t="s">
        <v>586</v>
      </c>
      <c r="N740">
        <v>25.01111111111111</v>
      </c>
      <c r="O740">
        <v>3.6</v>
      </c>
      <c r="P740">
        <v>5.2</v>
      </c>
      <c r="Q740">
        <v>1.444444444444444</v>
      </c>
      <c r="R740">
        <v>0</v>
      </c>
      <c r="S740">
        <v>0.07998569482738827</v>
      </c>
      <c r="T740" t="s">
        <v>911</v>
      </c>
      <c r="U740">
        <v>-0.34815501227096</v>
      </c>
      <c r="V740" t="s">
        <v>978</v>
      </c>
      <c r="W740" t="s">
        <v>986</v>
      </c>
      <c r="X740">
        <v>63178.671765</v>
      </c>
      <c r="Y740" s="2">
        <v>44855</v>
      </c>
      <c r="Z740" t="s">
        <v>1000</v>
      </c>
    </row>
    <row r="741" spans="1:26">
      <c r="A741" s="1" t="s">
        <v>765</v>
      </c>
      <c r="B741">
        <f>HYPERLINK("https://www.suredividend.com/sure-analysis-APAM/","Artisan Partners Asset Management Inc")</f>
        <v>0</v>
      </c>
      <c r="C741" t="s">
        <v>870</v>
      </c>
      <c r="D741">
        <v>39</v>
      </c>
      <c r="E741">
        <v>29.41</v>
      </c>
      <c r="F741">
        <v>35</v>
      </c>
      <c r="G741">
        <v>0.8402857142857143</v>
      </c>
      <c r="H741">
        <v>0.08160489629377762</v>
      </c>
      <c r="I741">
        <v>0.03541536161797842</v>
      </c>
      <c r="J741">
        <v>0.02</v>
      </c>
      <c r="K741">
        <v>0.1180590787076001</v>
      </c>
      <c r="L741" t="s">
        <v>637</v>
      </c>
      <c r="M741" t="s">
        <v>568</v>
      </c>
      <c r="N741">
        <v>9.190624999999999</v>
      </c>
      <c r="O741">
        <v>3.2</v>
      </c>
      <c r="P741">
        <v>2.4</v>
      </c>
      <c r="Q741">
        <v>0.7499999999999999</v>
      </c>
      <c r="R741">
        <v>2</v>
      </c>
      <c r="S741">
        <v>0.02001586442069092</v>
      </c>
      <c r="T741" t="s">
        <v>900</v>
      </c>
      <c r="U741">
        <v>-0.365173244459026</v>
      </c>
      <c r="V741" t="s">
        <v>978</v>
      </c>
      <c r="W741" t="s">
        <v>986</v>
      </c>
      <c r="X741">
        <v>1997.264186</v>
      </c>
      <c r="Y741" s="2">
        <v>44786</v>
      </c>
      <c r="Z741" t="s">
        <v>1001</v>
      </c>
    </row>
    <row r="742" spans="1:26">
      <c r="A742" s="1" t="s">
        <v>766</v>
      </c>
      <c r="B742">
        <f>HYPERLINK("https://www.suredividend.com/sure-analysis-SBRA/","Sabra Healthcare REIT Inc")</f>
        <v>0</v>
      </c>
      <c r="C742" t="s">
        <v>870</v>
      </c>
      <c r="D742">
        <v>15.8</v>
      </c>
      <c r="E742">
        <v>13.71</v>
      </c>
      <c r="F742">
        <v>14.1</v>
      </c>
      <c r="G742">
        <v>0.972340425531915</v>
      </c>
      <c r="H742">
        <v>0.08752735229759299</v>
      </c>
      <c r="I742">
        <v>0.005625625496399556</v>
      </c>
      <c r="J742">
        <v>0.044</v>
      </c>
      <c r="K742">
        <v>0.116476737648969</v>
      </c>
      <c r="L742" t="s">
        <v>637</v>
      </c>
      <c r="M742" t="s">
        <v>568</v>
      </c>
      <c r="N742">
        <v>8.96078431372549</v>
      </c>
      <c r="O742">
        <v>1.53</v>
      </c>
      <c r="P742">
        <v>1.2</v>
      </c>
      <c r="Q742">
        <v>0.7843137254901961</v>
      </c>
      <c r="R742">
        <v>0</v>
      </c>
      <c r="S742">
        <v>0.01613736474159566</v>
      </c>
      <c r="T742" t="s">
        <v>900</v>
      </c>
      <c r="U742">
        <v>0.03781868830618301</v>
      </c>
      <c r="V742" t="s">
        <v>980</v>
      </c>
      <c r="W742" t="s">
        <v>992</v>
      </c>
      <c r="X742">
        <v>3166.583235</v>
      </c>
      <c r="Y742" s="2">
        <v>44781</v>
      </c>
      <c r="Z742" t="s">
        <v>999</v>
      </c>
    </row>
    <row r="743" spans="1:26">
      <c r="A743" s="1" t="s">
        <v>767</v>
      </c>
      <c r="B743">
        <f>HYPERLINK("https://www.suredividend.com/sure-analysis-IEP/","Icahn Enterprises L P")</f>
        <v>0</v>
      </c>
      <c r="C743" t="s">
        <v>869</v>
      </c>
      <c r="D743">
        <v>54</v>
      </c>
      <c r="E743">
        <v>54.27</v>
      </c>
      <c r="F743">
        <v>54</v>
      </c>
      <c r="G743">
        <v>1.005</v>
      </c>
      <c r="H743">
        <v>0.1474110926847245</v>
      </c>
      <c r="I743">
        <v>-0.0009970109561839857</v>
      </c>
      <c r="J743">
        <v>0</v>
      </c>
      <c r="K743">
        <v>0.1161269799893074</v>
      </c>
      <c r="L743" t="s">
        <v>637</v>
      </c>
      <c r="M743" t="s">
        <v>568</v>
      </c>
      <c r="N743">
        <v>6.78375</v>
      </c>
      <c r="O743">
        <v>8</v>
      </c>
      <c r="P743">
        <v>8</v>
      </c>
      <c r="Q743">
        <v>1</v>
      </c>
      <c r="R743">
        <v>0</v>
      </c>
      <c r="S743">
        <v>0</v>
      </c>
      <c r="T743" t="s">
        <v>890</v>
      </c>
      <c r="U743">
        <v>0.099455438323528</v>
      </c>
      <c r="V743" t="s">
        <v>979</v>
      </c>
      <c r="W743" t="s">
        <v>984</v>
      </c>
      <c r="X743">
        <v>17515.992759</v>
      </c>
      <c r="Y743" s="2">
        <v>44780</v>
      </c>
      <c r="Z743" t="s">
        <v>1000</v>
      </c>
    </row>
    <row r="744" spans="1:26">
      <c r="A744" s="1" t="s">
        <v>768</v>
      </c>
      <c r="B744">
        <f>HYPERLINK("https://www.suredividend.com/sure-analysis-VGR/","Vector Group Ltd")</f>
        <v>0</v>
      </c>
      <c r="C744" t="s">
        <v>870</v>
      </c>
      <c r="D744">
        <v>11</v>
      </c>
      <c r="E744">
        <v>10.5</v>
      </c>
      <c r="F744">
        <v>12</v>
      </c>
      <c r="G744">
        <v>0.875</v>
      </c>
      <c r="H744">
        <v>0.0761904761904762</v>
      </c>
      <c r="I744">
        <v>0.02706608708935176</v>
      </c>
      <c r="J744">
        <v>0.03</v>
      </c>
      <c r="K744">
        <v>0.1127241347972141</v>
      </c>
      <c r="L744" t="s">
        <v>637</v>
      </c>
      <c r="M744" t="s">
        <v>568</v>
      </c>
      <c r="N744">
        <v>10.09615384615384</v>
      </c>
      <c r="O744">
        <v>1.04</v>
      </c>
      <c r="P744">
        <v>0.8</v>
      </c>
      <c r="Q744">
        <v>0.7692307692307693</v>
      </c>
      <c r="R744">
        <v>0</v>
      </c>
      <c r="S744">
        <v>0</v>
      </c>
      <c r="T744" t="s">
        <v>883</v>
      </c>
      <c r="U744">
        <v>-0.184826911580892</v>
      </c>
      <c r="V744" t="s">
        <v>978</v>
      </c>
      <c r="W744" t="s">
        <v>990</v>
      </c>
      <c r="X744">
        <v>1625.356971</v>
      </c>
      <c r="Y744" s="2">
        <v>44794</v>
      </c>
      <c r="Z744" t="s">
        <v>1007</v>
      </c>
    </row>
    <row r="745" spans="1:26">
      <c r="A745" s="1" t="s">
        <v>769</v>
      </c>
      <c r="B745">
        <f>HYPERLINK("https://www.suredividend.com/sure-analysis-KREF/","KKR Real Estate Finance Trust Inc")</f>
        <v>0</v>
      </c>
      <c r="C745" t="s">
        <v>869</v>
      </c>
      <c r="D745">
        <v>16.53</v>
      </c>
      <c r="E745">
        <v>17.11</v>
      </c>
      <c r="F745">
        <v>18.7</v>
      </c>
      <c r="G745">
        <v>0.9149732620320856</v>
      </c>
      <c r="H745">
        <v>0.1005260081823495</v>
      </c>
      <c r="I745">
        <v>0.01793095044796433</v>
      </c>
      <c r="J745">
        <v>0.015</v>
      </c>
      <c r="K745">
        <v>0.1113980947577664</v>
      </c>
      <c r="L745" t="s">
        <v>637</v>
      </c>
      <c r="M745" t="s">
        <v>568</v>
      </c>
      <c r="N745">
        <v>9.149732620320854</v>
      </c>
      <c r="O745">
        <v>1.87</v>
      </c>
      <c r="P745">
        <v>1.72</v>
      </c>
      <c r="Q745">
        <v>0.9197860962566844</v>
      </c>
      <c r="R745">
        <v>0</v>
      </c>
      <c r="S745">
        <v>0.01025271344829148</v>
      </c>
      <c r="T745" t="s">
        <v>886</v>
      </c>
      <c r="U745">
        <v>-0.133302265267252</v>
      </c>
      <c r="V745" t="s">
        <v>980</v>
      </c>
      <c r="W745" t="s">
        <v>992</v>
      </c>
      <c r="X745">
        <v>1182.215638</v>
      </c>
      <c r="Y745" s="2">
        <v>44859</v>
      </c>
      <c r="Z745" t="s">
        <v>1000</v>
      </c>
    </row>
    <row r="746" spans="1:26">
      <c r="A746" s="1" t="s">
        <v>770</v>
      </c>
      <c r="B746">
        <f>HYPERLINK("https://www.suredividend.com/sure-analysis-GSBD/","Goldman Sachs BDC Inc")</f>
        <v>0</v>
      </c>
      <c r="C746" t="s">
        <v>870</v>
      </c>
      <c r="D746">
        <v>17.42</v>
      </c>
      <c r="E746">
        <v>15.65</v>
      </c>
      <c r="F746">
        <v>17.4</v>
      </c>
      <c r="G746">
        <v>0.8994252873563219</v>
      </c>
      <c r="H746">
        <v>0.1150159744408946</v>
      </c>
      <c r="I746">
        <v>0.02142617127471524</v>
      </c>
      <c r="J746">
        <v>0</v>
      </c>
      <c r="K746">
        <v>0.11024267619691</v>
      </c>
      <c r="L746" t="s">
        <v>637</v>
      </c>
      <c r="M746" t="s">
        <v>568</v>
      </c>
      <c r="N746">
        <v>7.825</v>
      </c>
      <c r="O746">
        <v>2</v>
      </c>
      <c r="P746">
        <v>1.8</v>
      </c>
      <c r="Q746">
        <v>0.9</v>
      </c>
      <c r="R746">
        <v>0</v>
      </c>
      <c r="S746">
        <v>0</v>
      </c>
      <c r="T746" t="s">
        <v>886</v>
      </c>
      <c r="U746">
        <v>-0.07366302642871901</v>
      </c>
      <c r="V746" t="s">
        <v>981</v>
      </c>
      <c r="W746" t="s">
        <v>986</v>
      </c>
      <c r="X746">
        <v>1598.826943</v>
      </c>
      <c r="Y746" s="2">
        <v>44778</v>
      </c>
      <c r="Z746" t="s">
        <v>1000</v>
      </c>
    </row>
    <row r="747" spans="1:26">
      <c r="A747" s="1" t="s">
        <v>771</v>
      </c>
      <c r="B747">
        <f>HYPERLINK("https://www.suredividend.com/sure-analysis-RIO/","Rio Tinto plc")</f>
        <v>0</v>
      </c>
      <c r="C747" t="s">
        <v>870</v>
      </c>
      <c r="D747">
        <v>61</v>
      </c>
      <c r="E747">
        <v>58.34</v>
      </c>
      <c r="F747">
        <v>73</v>
      </c>
      <c r="G747">
        <v>0.7991780821917809</v>
      </c>
      <c r="H747">
        <v>0.1172437435721632</v>
      </c>
      <c r="I747">
        <v>0.04585454257982557</v>
      </c>
      <c r="J747">
        <v>0</v>
      </c>
      <c r="K747">
        <v>0.1101036423366182</v>
      </c>
      <c r="L747" t="s">
        <v>637</v>
      </c>
      <c r="M747" t="s">
        <v>568</v>
      </c>
      <c r="N747">
        <v>7.20246913580247</v>
      </c>
      <c r="O747">
        <v>8.1</v>
      </c>
      <c r="P747">
        <v>6.84</v>
      </c>
      <c r="Q747">
        <v>0.8444444444444444</v>
      </c>
      <c r="R747">
        <v>5</v>
      </c>
      <c r="S747">
        <v>-0.09817802796017316</v>
      </c>
      <c r="T747" t="s">
        <v>913</v>
      </c>
      <c r="U747">
        <v>0.010001333049411</v>
      </c>
      <c r="V747" t="s">
        <v>978</v>
      </c>
      <c r="W747" t="s">
        <v>989</v>
      </c>
      <c r="X747">
        <v>72879.24598000001</v>
      </c>
      <c r="Y747" s="2">
        <v>44797</v>
      </c>
      <c r="Z747" t="s">
        <v>996</v>
      </c>
    </row>
    <row r="748" spans="1:26">
      <c r="A748" s="1" t="s">
        <v>772</v>
      </c>
      <c r="B748">
        <f>HYPERLINK("https://www.suredividend.com/sure-analysis-MAIN/","Main Street Capital Corporation")</f>
        <v>0</v>
      </c>
      <c r="C748" t="s">
        <v>870</v>
      </c>
      <c r="D748">
        <v>44</v>
      </c>
      <c r="E748">
        <v>39</v>
      </c>
      <c r="F748">
        <v>47</v>
      </c>
      <c r="G748">
        <v>0.8297872340425532</v>
      </c>
      <c r="H748">
        <v>0.06769230769230769</v>
      </c>
      <c r="I748">
        <v>0.03802222005236078</v>
      </c>
      <c r="J748">
        <v>0.02</v>
      </c>
      <c r="K748">
        <v>0.1091949456468009</v>
      </c>
      <c r="L748" t="s">
        <v>637</v>
      </c>
      <c r="M748" t="s">
        <v>568</v>
      </c>
      <c r="N748">
        <v>13.44827586206897</v>
      </c>
      <c r="O748">
        <v>2.9</v>
      </c>
      <c r="P748">
        <v>2.64</v>
      </c>
      <c r="Q748">
        <v>0.9103448275862069</v>
      </c>
      <c r="R748">
        <v>7</v>
      </c>
      <c r="S748">
        <v>0.009660040479525511</v>
      </c>
      <c r="T748" t="s">
        <v>885</v>
      </c>
      <c r="U748">
        <v>-0.05380685043840201</v>
      </c>
      <c r="V748" t="s">
        <v>981</v>
      </c>
      <c r="W748" t="s">
        <v>986</v>
      </c>
      <c r="X748">
        <v>2846.183379</v>
      </c>
      <c r="Y748" s="2">
        <v>44785</v>
      </c>
      <c r="Z748" t="s">
        <v>998</v>
      </c>
    </row>
    <row r="749" spans="1:26">
      <c r="A749" s="1" t="s">
        <v>773</v>
      </c>
      <c r="B749">
        <f>HYPERLINK("https://www.suredividend.com/sure-analysis-CTRE/","CareTrust REIT Inc")</f>
        <v>0</v>
      </c>
      <c r="C749" t="s">
        <v>870</v>
      </c>
      <c r="D749">
        <v>22</v>
      </c>
      <c r="E749">
        <v>19.03</v>
      </c>
      <c r="F749">
        <v>21</v>
      </c>
      <c r="G749">
        <v>0.9061904761904762</v>
      </c>
      <c r="H749">
        <v>0.05780346820809248</v>
      </c>
      <c r="I749">
        <v>0.01989649971811791</v>
      </c>
      <c r="J749">
        <v>0.04</v>
      </c>
      <c r="K749">
        <v>0.1089883847772701</v>
      </c>
      <c r="L749" t="s">
        <v>637</v>
      </c>
      <c r="M749" t="s">
        <v>568</v>
      </c>
      <c r="N749">
        <v>12.60264900662252</v>
      </c>
      <c r="O749">
        <v>1.51</v>
      </c>
      <c r="P749">
        <v>1.1</v>
      </c>
      <c r="Q749">
        <v>0.728476821192053</v>
      </c>
      <c r="R749">
        <v>8</v>
      </c>
      <c r="S749">
        <v>0.04941452284458392</v>
      </c>
      <c r="T749" t="s">
        <v>940</v>
      </c>
      <c r="U749">
        <v>0.013020750157036</v>
      </c>
      <c r="V749" t="s">
        <v>980</v>
      </c>
      <c r="W749" t="s">
        <v>992</v>
      </c>
      <c r="X749">
        <v>1846.45696</v>
      </c>
      <c r="Y749" s="2">
        <v>44782</v>
      </c>
      <c r="Z749" t="s">
        <v>998</v>
      </c>
    </row>
    <row r="750" spans="1:26">
      <c r="A750" s="1" t="s">
        <v>774</v>
      </c>
      <c r="B750">
        <f>HYPERLINK("https://www.suredividend.com/sure-analysis-QSR/","Restaurant Brands International Inc")</f>
        <v>0</v>
      </c>
      <c r="C750" t="s">
        <v>869</v>
      </c>
      <c r="D750">
        <v>60</v>
      </c>
      <c r="E750">
        <v>60.76</v>
      </c>
      <c r="F750">
        <v>58</v>
      </c>
      <c r="G750">
        <v>1.047586206896552</v>
      </c>
      <c r="H750">
        <v>0.03554970375246874</v>
      </c>
      <c r="I750">
        <v>-0.009254643163404852</v>
      </c>
      <c r="J750">
        <v>0.09</v>
      </c>
      <c r="K750">
        <v>0.1071971532714007</v>
      </c>
      <c r="L750" t="s">
        <v>637</v>
      </c>
      <c r="M750" t="s">
        <v>586</v>
      </c>
      <c r="N750">
        <v>19.92131147540984</v>
      </c>
      <c r="O750">
        <v>3.05</v>
      </c>
      <c r="P750">
        <v>2.16</v>
      </c>
      <c r="Q750">
        <v>0.7081967213114755</v>
      </c>
      <c r="R750">
        <v>10</v>
      </c>
      <c r="S750">
        <v>0.03131030647754507</v>
      </c>
      <c r="T750" t="s">
        <v>939</v>
      </c>
      <c r="U750">
        <v>0.08414816929555301</v>
      </c>
      <c r="V750" t="s">
        <v>978</v>
      </c>
      <c r="W750" t="s">
        <v>983</v>
      </c>
      <c r="X750">
        <v>18603.380991</v>
      </c>
      <c r="Y750" s="2">
        <v>44791</v>
      </c>
      <c r="Z750" t="s">
        <v>996</v>
      </c>
    </row>
    <row r="751" spans="1:26">
      <c r="A751" s="1" t="s">
        <v>775</v>
      </c>
      <c r="B751">
        <f>HYPERLINK("https://www.suredividend.com/sure-analysis-BFS/","Saul Centers, Inc.")</f>
        <v>0</v>
      </c>
      <c r="C751" t="s">
        <v>870</v>
      </c>
      <c r="D751">
        <v>50</v>
      </c>
      <c r="E751">
        <v>41.21</v>
      </c>
      <c r="F751">
        <v>48</v>
      </c>
      <c r="G751">
        <v>0.8585416666666666</v>
      </c>
      <c r="H751">
        <v>0.05726765348216452</v>
      </c>
      <c r="I751">
        <v>0.03097402745413569</v>
      </c>
      <c r="J751">
        <v>0.03</v>
      </c>
      <c r="K751">
        <v>0.1071762717528177</v>
      </c>
      <c r="L751" t="s">
        <v>637</v>
      </c>
      <c r="M751" t="s">
        <v>586</v>
      </c>
      <c r="N751">
        <v>12.95911949685535</v>
      </c>
      <c r="O751">
        <v>3.18</v>
      </c>
      <c r="P751">
        <v>2.36</v>
      </c>
      <c r="Q751">
        <v>0.7421383647798742</v>
      </c>
      <c r="R751">
        <v>2</v>
      </c>
      <c r="S751">
        <v>0.0303095182681723</v>
      </c>
      <c r="T751" t="s">
        <v>914</v>
      </c>
      <c r="U751">
        <v>-0.11929577856091</v>
      </c>
      <c r="V751" t="s">
        <v>980</v>
      </c>
      <c r="W751" t="s">
        <v>992</v>
      </c>
      <c r="X751">
        <v>984.125955</v>
      </c>
      <c r="Y751" s="2">
        <v>44780</v>
      </c>
      <c r="Z751" t="s">
        <v>1000</v>
      </c>
    </row>
    <row r="752" spans="1:26">
      <c r="A752" s="1" t="s">
        <v>776</v>
      </c>
      <c r="B752">
        <f>HYPERLINK("https://www.suredividend.com/sure-analysis-AM/","Antero Midstream Corp")</f>
        <v>0</v>
      </c>
      <c r="C752" t="s">
        <v>869</v>
      </c>
      <c r="D752">
        <v>10.5</v>
      </c>
      <c r="E752">
        <v>10.89</v>
      </c>
      <c r="F752">
        <v>9.6</v>
      </c>
      <c r="G752">
        <v>1.134375</v>
      </c>
      <c r="H752">
        <v>0.08264462809917356</v>
      </c>
      <c r="I752">
        <v>-0.02490109070056856</v>
      </c>
      <c r="J752">
        <v>0.07199999999999999</v>
      </c>
      <c r="K752">
        <v>0.1068429401158451</v>
      </c>
      <c r="L752" t="s">
        <v>637</v>
      </c>
      <c r="M752" t="s">
        <v>568</v>
      </c>
      <c r="N752">
        <v>7.948905109489051</v>
      </c>
      <c r="O752">
        <v>1.37</v>
      </c>
      <c r="P752">
        <v>0.9</v>
      </c>
      <c r="Q752">
        <v>0.656934306569343</v>
      </c>
      <c r="R752">
        <v>0</v>
      </c>
      <c r="S752">
        <v>0</v>
      </c>
      <c r="T752" t="s">
        <v>928</v>
      </c>
      <c r="U752">
        <v>0.125278994792097</v>
      </c>
      <c r="V752" t="s">
        <v>978</v>
      </c>
      <c r="W752" t="s">
        <v>991</v>
      </c>
      <c r="X752">
        <v>5210.696902</v>
      </c>
      <c r="Y752" s="2">
        <v>44866</v>
      </c>
      <c r="Z752" t="s">
        <v>999</v>
      </c>
    </row>
    <row r="753" spans="1:26">
      <c r="A753" s="1" t="s">
        <v>777</v>
      </c>
      <c r="B753">
        <f>HYPERLINK("https://www.suredividend.com/sure-analysis-LWSCF/","Sienna Senior Living Inc")</f>
        <v>0</v>
      </c>
      <c r="C753" t="s">
        <v>870</v>
      </c>
      <c r="D753">
        <v>10.72</v>
      </c>
      <c r="E753">
        <v>8.6</v>
      </c>
      <c r="F753">
        <v>10.63</v>
      </c>
      <c r="G753">
        <v>0.8090310442144872</v>
      </c>
      <c r="H753">
        <v>0.08488372093023255</v>
      </c>
      <c r="I753">
        <v>0.04329460753749137</v>
      </c>
      <c r="J753">
        <v>0</v>
      </c>
      <c r="K753">
        <v>0.1067408783150772</v>
      </c>
      <c r="L753" t="s">
        <v>637</v>
      </c>
      <c r="M753" t="s">
        <v>568</v>
      </c>
      <c r="N753">
        <v>10.11764705882353</v>
      </c>
      <c r="O753">
        <v>0.85</v>
      </c>
      <c r="P753">
        <v>0.73</v>
      </c>
      <c r="Q753">
        <v>0.8588235294117647</v>
      </c>
      <c r="R753">
        <v>0</v>
      </c>
      <c r="S753">
        <v>0</v>
      </c>
      <c r="T753" t="s">
        <v>911</v>
      </c>
      <c r="U753">
        <v>-0.251314552355747</v>
      </c>
      <c r="V753" t="s">
        <v>978</v>
      </c>
      <c r="W753" t="s">
        <v>988</v>
      </c>
      <c r="X753">
        <v>626.935777</v>
      </c>
      <c r="Y753" s="2">
        <v>44787</v>
      </c>
      <c r="Z753" t="s">
        <v>1000</v>
      </c>
    </row>
    <row r="754" spans="1:26">
      <c r="A754" s="1" t="s">
        <v>778</v>
      </c>
      <c r="B754">
        <f>HYPERLINK("https://www.suredividend.com/sure-analysis-BXMT/","Blackstone Mortgage Trust Inc")</f>
        <v>0</v>
      </c>
      <c r="C754" t="s">
        <v>870</v>
      </c>
      <c r="D754">
        <v>31</v>
      </c>
      <c r="E754">
        <v>24.21</v>
      </c>
      <c r="F754">
        <v>26</v>
      </c>
      <c r="G754">
        <v>0.9311538461538462</v>
      </c>
      <c r="H754">
        <v>0.1024370095002065</v>
      </c>
      <c r="I754">
        <v>0.01436840062713585</v>
      </c>
      <c r="J754">
        <v>0.013</v>
      </c>
      <c r="K754">
        <v>0.1063808391041194</v>
      </c>
      <c r="L754" t="s">
        <v>637</v>
      </c>
      <c r="M754" t="s">
        <v>568</v>
      </c>
      <c r="N754">
        <v>9.240458015267176</v>
      </c>
      <c r="O754">
        <v>2.62</v>
      </c>
      <c r="P754">
        <v>2.48</v>
      </c>
      <c r="Q754">
        <v>0.9465648854961831</v>
      </c>
      <c r="R754">
        <v>0</v>
      </c>
      <c r="S754">
        <v>0</v>
      </c>
      <c r="T754" t="s">
        <v>886</v>
      </c>
      <c r="U754">
        <v>-0.204369559001863</v>
      </c>
      <c r="V754" t="s">
        <v>980</v>
      </c>
      <c r="W754" t="s">
        <v>992</v>
      </c>
      <c r="X754">
        <v>4137.466969</v>
      </c>
      <c r="Y754" s="2">
        <v>44775</v>
      </c>
      <c r="Z754" t="s">
        <v>999</v>
      </c>
    </row>
    <row r="755" spans="1:26">
      <c r="A755" s="1" t="s">
        <v>779</v>
      </c>
      <c r="B755">
        <f>HYPERLINK("https://www.suredividend.com/sure-analysis-ORCC/","Owl Rock Capital Corp")</f>
        <v>0</v>
      </c>
      <c r="C755" t="s">
        <v>870</v>
      </c>
      <c r="D755">
        <v>12.79</v>
      </c>
      <c r="E755">
        <v>12.78</v>
      </c>
      <c r="F755">
        <v>13.5</v>
      </c>
      <c r="G755">
        <v>0.9466666666666667</v>
      </c>
      <c r="H755">
        <v>0.09702660406885759</v>
      </c>
      <c r="I755">
        <v>0.01102194627872799</v>
      </c>
      <c r="J755">
        <v>0.02</v>
      </c>
      <c r="K755">
        <v>0.105531889280444</v>
      </c>
      <c r="L755" t="s">
        <v>637</v>
      </c>
      <c r="M755" t="s">
        <v>568</v>
      </c>
      <c r="N755">
        <v>10.224</v>
      </c>
      <c r="O755">
        <v>1.25</v>
      </c>
      <c r="P755">
        <v>1.24</v>
      </c>
      <c r="Q755">
        <v>0.992</v>
      </c>
      <c r="R755">
        <v>0</v>
      </c>
      <c r="S755">
        <v>0</v>
      </c>
      <c r="T755" t="s">
        <v>886</v>
      </c>
      <c r="U755">
        <v>-0.031465987631866</v>
      </c>
      <c r="V755" t="s">
        <v>981</v>
      </c>
      <c r="W755" t="s">
        <v>986</v>
      </c>
      <c r="X755">
        <v>5033.058106</v>
      </c>
      <c r="Y755" s="2">
        <v>44777</v>
      </c>
      <c r="Z755" t="s">
        <v>1000</v>
      </c>
    </row>
    <row r="756" spans="1:26">
      <c r="A756" s="1" t="s">
        <v>780</v>
      </c>
      <c r="B756">
        <f>HYPERLINK("https://www.suredividend.com/sure-analysis-STAG/","STAG Industrial Inc")</f>
        <v>0</v>
      </c>
      <c r="C756" t="s">
        <v>870</v>
      </c>
      <c r="D756">
        <v>32</v>
      </c>
      <c r="E756">
        <v>31.67</v>
      </c>
      <c r="F756">
        <v>35</v>
      </c>
      <c r="G756">
        <v>0.9048571428571429</v>
      </c>
      <c r="H756">
        <v>0.04610041048310703</v>
      </c>
      <c r="I756">
        <v>0.02019689215017562</v>
      </c>
      <c r="J756">
        <v>0.05</v>
      </c>
      <c r="K756">
        <v>0.1047649931584642</v>
      </c>
      <c r="L756" t="s">
        <v>637</v>
      </c>
      <c r="M756" t="s">
        <v>586</v>
      </c>
      <c r="N756">
        <v>14.39545454545454</v>
      </c>
      <c r="O756">
        <v>2.2</v>
      </c>
      <c r="P756">
        <v>1.46</v>
      </c>
      <c r="Q756">
        <v>0.6636363636363636</v>
      </c>
      <c r="R756">
        <v>11</v>
      </c>
      <c r="S756">
        <v>0.006757371724215311</v>
      </c>
      <c r="T756" t="s">
        <v>911</v>
      </c>
      <c r="U756">
        <v>-0.219308495165973</v>
      </c>
      <c r="V756" t="s">
        <v>980</v>
      </c>
      <c r="W756" t="s">
        <v>992</v>
      </c>
      <c r="X756">
        <v>5675.784528</v>
      </c>
      <c r="Y756" s="2">
        <v>44867</v>
      </c>
      <c r="Z756" t="s">
        <v>996</v>
      </c>
    </row>
    <row r="757" spans="1:26">
      <c r="A757" s="1" t="s">
        <v>781</v>
      </c>
      <c r="B757">
        <f>HYPERLINK("https://www.suredividend.com/sure-analysis-BCE/","BCE Inc")</f>
        <v>0</v>
      </c>
      <c r="C757" t="s">
        <v>870</v>
      </c>
      <c r="D757">
        <v>50</v>
      </c>
      <c r="E757">
        <v>45.86</v>
      </c>
      <c r="F757">
        <v>48</v>
      </c>
      <c r="G757">
        <v>0.9554166666666667</v>
      </c>
      <c r="H757">
        <v>0.06236371565634539</v>
      </c>
      <c r="I757">
        <v>0.009163274781080144</v>
      </c>
      <c r="J757">
        <v>0.045</v>
      </c>
      <c r="K757">
        <v>0.1047582558096405</v>
      </c>
      <c r="L757" t="s">
        <v>637</v>
      </c>
      <c r="M757" t="s">
        <v>586</v>
      </c>
      <c r="N757">
        <v>17.2406015037594</v>
      </c>
      <c r="O757">
        <v>2.66</v>
      </c>
      <c r="P757">
        <v>2.86</v>
      </c>
      <c r="Q757">
        <v>1.075187969924812</v>
      </c>
      <c r="R757">
        <v>13</v>
      </c>
      <c r="S757">
        <v>0.03027796175855402</v>
      </c>
      <c r="T757" t="s">
        <v>883</v>
      </c>
      <c r="U757">
        <v>-0.062031501506353</v>
      </c>
      <c r="V757" t="s">
        <v>978</v>
      </c>
      <c r="W757" t="s">
        <v>985</v>
      </c>
      <c r="X757">
        <v>41821.689012</v>
      </c>
      <c r="Y757" s="2">
        <v>44785</v>
      </c>
      <c r="Z757" t="s">
        <v>1005</v>
      </c>
    </row>
    <row r="758" spans="1:26">
      <c r="A758" s="1" t="s">
        <v>782</v>
      </c>
      <c r="B758">
        <f>HYPERLINK("https://www.suredividend.com/sure-analysis-SPG/","Simon Property Group, Inc.")</f>
        <v>0</v>
      </c>
      <c r="C758" t="s">
        <v>869</v>
      </c>
      <c r="D758">
        <v>113</v>
      </c>
      <c r="E758">
        <v>115.57</v>
      </c>
      <c r="F758">
        <v>130</v>
      </c>
      <c r="G758">
        <v>0.8889999999999999</v>
      </c>
      <c r="H758">
        <v>0.06229990481958986</v>
      </c>
      <c r="I758">
        <v>0.02381066155273825</v>
      </c>
      <c r="J758">
        <v>0.03</v>
      </c>
      <c r="K758">
        <v>0.1046423409851089</v>
      </c>
      <c r="L758" t="s">
        <v>637</v>
      </c>
      <c r="M758" t="s">
        <v>568</v>
      </c>
      <c r="N758">
        <v>9.744519392917368</v>
      </c>
      <c r="O758">
        <v>11.86</v>
      </c>
      <c r="P758">
        <v>7.2</v>
      </c>
      <c r="Q758">
        <v>0.6070826306913997</v>
      </c>
      <c r="R758">
        <v>1</v>
      </c>
      <c r="S758">
        <v>0.03007962241378426</v>
      </c>
      <c r="T758" t="s">
        <v>901</v>
      </c>
      <c r="U758">
        <v>-0.262784222293808</v>
      </c>
      <c r="V758" t="s">
        <v>980</v>
      </c>
      <c r="W758" t="s">
        <v>992</v>
      </c>
      <c r="X758">
        <v>37785.125066</v>
      </c>
      <c r="Y758" s="2">
        <v>44866</v>
      </c>
      <c r="Z758" t="s">
        <v>1000</v>
      </c>
    </row>
    <row r="759" spans="1:26">
      <c r="A759" s="1" t="s">
        <v>783</v>
      </c>
      <c r="B759">
        <f>HYPERLINK("https://www.suredividend.com/sure-analysis-STWD/","Starwood Property Trust Inc")</f>
        <v>0</v>
      </c>
      <c r="C759" t="s">
        <v>870</v>
      </c>
      <c r="D759">
        <v>23.62</v>
      </c>
      <c r="E759">
        <v>20.23</v>
      </c>
      <c r="F759">
        <v>23.66</v>
      </c>
      <c r="G759">
        <v>0.8550295857988166</v>
      </c>
      <c r="H759">
        <v>0.09490855165595649</v>
      </c>
      <c r="I759">
        <v>0.03181959576611559</v>
      </c>
      <c r="J759">
        <v>0</v>
      </c>
      <c r="K759">
        <v>0.1045497264151143</v>
      </c>
      <c r="L759" t="s">
        <v>637</v>
      </c>
      <c r="M759" t="s">
        <v>568</v>
      </c>
      <c r="N759">
        <v>8.719827586206897</v>
      </c>
      <c r="O759">
        <v>2.32</v>
      </c>
      <c r="P759">
        <v>1.92</v>
      </c>
      <c r="Q759">
        <v>0.8275862068965517</v>
      </c>
      <c r="R759">
        <v>0</v>
      </c>
      <c r="S759">
        <v>0</v>
      </c>
      <c r="T759" t="s">
        <v>886</v>
      </c>
      <c r="U759">
        <v>-0.14423979898307</v>
      </c>
      <c r="V759" t="s">
        <v>980</v>
      </c>
      <c r="W759" t="s">
        <v>992</v>
      </c>
      <c r="X759">
        <v>6255.546373</v>
      </c>
      <c r="Y759" s="2">
        <v>44777</v>
      </c>
      <c r="Z759" t="s">
        <v>1000</v>
      </c>
    </row>
    <row r="760" spans="1:26">
      <c r="A760" s="1" t="s">
        <v>784</v>
      </c>
      <c r="B760">
        <f>HYPERLINK("https://www.suredividend.com/sure-analysis-CTO/","CTO Realty Growth Inc")</f>
        <v>0</v>
      </c>
      <c r="C760" t="s">
        <v>870</v>
      </c>
      <c r="D760">
        <v>21</v>
      </c>
      <c r="E760">
        <v>20.42</v>
      </c>
      <c r="F760">
        <v>22</v>
      </c>
      <c r="G760">
        <v>0.9281818181818182</v>
      </c>
      <c r="H760">
        <v>0.07443682664054847</v>
      </c>
      <c r="I760">
        <v>0.01501716951028387</v>
      </c>
      <c r="J760">
        <v>0.03</v>
      </c>
      <c r="K760">
        <v>0.1041989063775586</v>
      </c>
      <c r="L760" t="s">
        <v>637</v>
      </c>
      <c r="M760" t="s">
        <v>586</v>
      </c>
      <c r="N760">
        <v>2042</v>
      </c>
      <c r="O760">
        <v>0.01</v>
      </c>
      <c r="P760">
        <v>1.52</v>
      </c>
      <c r="Q760">
        <v>152</v>
      </c>
      <c r="R760">
        <v>9</v>
      </c>
      <c r="S760">
        <v>0.01777762730161792</v>
      </c>
      <c r="T760" t="s">
        <v>933</v>
      </c>
      <c r="U760">
        <v>0.212704294944888</v>
      </c>
      <c r="V760" t="s">
        <v>980</v>
      </c>
      <c r="W760" t="s">
        <v>992</v>
      </c>
      <c r="X760">
        <v>383.896204</v>
      </c>
      <c r="Y760" s="2">
        <v>44776</v>
      </c>
      <c r="Z760" t="s">
        <v>998</v>
      </c>
    </row>
    <row r="761" spans="1:26">
      <c r="A761" s="1" t="s">
        <v>785</v>
      </c>
      <c r="B761">
        <f>HYPERLINK("https://www.suredividend.com/sure-analysis-BEP/","Brookfield Renewable Partners LP")</f>
        <v>0</v>
      </c>
      <c r="C761" t="s">
        <v>870</v>
      </c>
      <c r="D761">
        <v>39</v>
      </c>
      <c r="E761">
        <v>29.84</v>
      </c>
      <c r="F761">
        <v>31</v>
      </c>
      <c r="G761">
        <v>0.9625806451612903</v>
      </c>
      <c r="H761">
        <v>0.04289544235924933</v>
      </c>
      <c r="I761">
        <v>0.007656649200538101</v>
      </c>
      <c r="J761">
        <v>0.06</v>
      </c>
      <c r="K761">
        <v>0.1038348853232773</v>
      </c>
      <c r="L761" t="s">
        <v>637</v>
      </c>
      <c r="M761" t="s">
        <v>586</v>
      </c>
      <c r="N761">
        <v>16.57777777777778</v>
      </c>
      <c r="O761">
        <v>1.8</v>
      </c>
      <c r="P761">
        <v>1.28</v>
      </c>
      <c r="Q761">
        <v>0.7111111111111111</v>
      </c>
      <c r="R761">
        <v>1</v>
      </c>
      <c r="S761">
        <v>0.04953161886656288</v>
      </c>
      <c r="T761" t="s">
        <v>881</v>
      </c>
      <c r="U761">
        <v>-0.225500349095854</v>
      </c>
      <c r="V761" t="s">
        <v>979</v>
      </c>
      <c r="W761" t="s">
        <v>987</v>
      </c>
      <c r="X761">
        <v>8214.554203</v>
      </c>
      <c r="Y761" s="2">
        <v>44797</v>
      </c>
      <c r="Z761" t="s">
        <v>996</v>
      </c>
    </row>
    <row r="762" spans="1:26">
      <c r="A762" s="1" t="s">
        <v>786</v>
      </c>
      <c r="B762">
        <f>HYPERLINK("https://www.suredividend.com/sure-analysis-CBRL/","Cracker Barrel Old Country Store Inc")</f>
        <v>0</v>
      </c>
      <c r="C762" t="s">
        <v>869</v>
      </c>
      <c r="D762">
        <v>92.59999999999999</v>
      </c>
      <c r="E762">
        <v>111.41</v>
      </c>
      <c r="F762">
        <v>97</v>
      </c>
      <c r="G762">
        <v>1.148556701030928</v>
      </c>
      <c r="H762">
        <v>0.04667444574095683</v>
      </c>
      <c r="I762">
        <v>-0.0273210618462506</v>
      </c>
      <c r="J762">
        <v>0.096</v>
      </c>
      <c r="K762">
        <v>0.1028385115514239</v>
      </c>
      <c r="L762" t="s">
        <v>637</v>
      </c>
      <c r="M762" t="s">
        <v>586</v>
      </c>
      <c r="N762">
        <v>17.1929012345679</v>
      </c>
      <c r="O762">
        <v>6.48</v>
      </c>
      <c r="P762">
        <v>5.2</v>
      </c>
      <c r="Q762">
        <v>0.8024691358024691</v>
      </c>
      <c r="R762">
        <v>1</v>
      </c>
      <c r="S762">
        <v>0.02903366107118788</v>
      </c>
      <c r="T762" t="s">
        <v>878</v>
      </c>
      <c r="U762">
        <v>-0.177722865814055</v>
      </c>
      <c r="V762" t="s">
        <v>978</v>
      </c>
      <c r="W762" t="s">
        <v>983</v>
      </c>
      <c r="X762">
        <v>2469.699335</v>
      </c>
      <c r="Y762" s="2">
        <v>44838</v>
      </c>
      <c r="Z762" t="s">
        <v>999</v>
      </c>
    </row>
    <row r="763" spans="1:26">
      <c r="A763" s="1" t="s">
        <v>787</v>
      </c>
      <c r="B763">
        <f>HYPERLINK("https://www.suredividend.com/sure-analysis-OLP/","One Liberty Properties, Inc.")</f>
        <v>0</v>
      </c>
      <c r="C763" t="s">
        <v>870</v>
      </c>
      <c r="D763">
        <v>26</v>
      </c>
      <c r="E763">
        <v>23.53</v>
      </c>
      <c r="F763">
        <v>25</v>
      </c>
      <c r="G763">
        <v>0.9412</v>
      </c>
      <c r="H763">
        <v>0.0764980875478113</v>
      </c>
      <c r="I763">
        <v>0.0121936683322097</v>
      </c>
      <c r="J763">
        <v>0.03</v>
      </c>
      <c r="K763">
        <v>0.1020520817929633</v>
      </c>
      <c r="L763" t="s">
        <v>637</v>
      </c>
      <c r="M763" t="s">
        <v>568</v>
      </c>
      <c r="N763">
        <v>12.00510204081633</v>
      </c>
      <c r="O763">
        <v>1.96</v>
      </c>
      <c r="P763">
        <v>1.8</v>
      </c>
      <c r="Q763">
        <v>0.9183673469387755</v>
      </c>
      <c r="R763">
        <v>0</v>
      </c>
      <c r="S763">
        <v>0.009805797673485328</v>
      </c>
      <c r="T763" t="s">
        <v>959</v>
      </c>
      <c r="U763">
        <v>-0.225454341965364</v>
      </c>
      <c r="V763" t="s">
        <v>980</v>
      </c>
      <c r="W763" t="s">
        <v>992</v>
      </c>
      <c r="X763">
        <v>496.411422</v>
      </c>
      <c r="Y763" s="2">
        <v>44782</v>
      </c>
      <c r="Z763" t="s">
        <v>998</v>
      </c>
    </row>
    <row r="764" spans="1:26">
      <c r="A764" s="1" t="s">
        <v>788</v>
      </c>
      <c r="B764">
        <f>HYPERLINK("https://www.suredividend.com/sure-analysis-DANOY/","Danone")</f>
        <v>0</v>
      </c>
      <c r="C764" t="s">
        <v>869</v>
      </c>
      <c r="D764">
        <v>10.02</v>
      </c>
      <c r="E764">
        <v>10.01</v>
      </c>
      <c r="F764">
        <v>12.6</v>
      </c>
      <c r="G764">
        <v>0.7944444444444444</v>
      </c>
      <c r="H764">
        <v>0.04395604395604396</v>
      </c>
      <c r="I764">
        <v>0.04709791189073953</v>
      </c>
      <c r="J764">
        <v>0.02</v>
      </c>
      <c r="K764">
        <v>0.1018776431213899</v>
      </c>
      <c r="L764" t="s">
        <v>637</v>
      </c>
      <c r="M764" t="s">
        <v>586</v>
      </c>
      <c r="N764">
        <v>14.3</v>
      </c>
      <c r="O764">
        <v>0.7</v>
      </c>
      <c r="P764">
        <v>0.44</v>
      </c>
      <c r="Q764">
        <v>0.6285714285714287</v>
      </c>
      <c r="R764">
        <v>0</v>
      </c>
      <c r="S764">
        <v>0.02175949146424117</v>
      </c>
      <c r="T764" t="s">
        <v>974</v>
      </c>
      <c r="U764">
        <v>-0.214630931458699</v>
      </c>
      <c r="V764" t="s">
        <v>978</v>
      </c>
      <c r="W764" t="s">
        <v>990</v>
      </c>
      <c r="X764">
        <v>33823.16938</v>
      </c>
      <c r="Y764" s="2">
        <v>44864</v>
      </c>
      <c r="Z764" t="s">
        <v>1004</v>
      </c>
    </row>
    <row r="765" spans="1:26">
      <c r="A765" s="1" t="s">
        <v>789</v>
      </c>
      <c r="B765">
        <f>HYPERLINK("https://www.suredividend.com/sure-analysis-FCPT/","Four Corners Property Trust Inc")</f>
        <v>0</v>
      </c>
      <c r="C765" t="s">
        <v>869</v>
      </c>
      <c r="D765">
        <v>26</v>
      </c>
      <c r="E765">
        <v>26.51</v>
      </c>
      <c r="F765">
        <v>28</v>
      </c>
      <c r="G765">
        <v>0.9467857142857143</v>
      </c>
      <c r="H765">
        <v>0.05016974726518295</v>
      </c>
      <c r="I765">
        <v>0.01099652007981033</v>
      </c>
      <c r="J765">
        <v>0.05</v>
      </c>
      <c r="K765">
        <v>0.1015874104950305</v>
      </c>
      <c r="L765" t="s">
        <v>637</v>
      </c>
      <c r="M765" t="s">
        <v>586</v>
      </c>
      <c r="N765">
        <v>16.3641975308642</v>
      </c>
      <c r="O765">
        <v>1.62</v>
      </c>
      <c r="P765">
        <v>1.33</v>
      </c>
      <c r="Q765">
        <v>0.8209876543209876</v>
      </c>
      <c r="R765">
        <v>7</v>
      </c>
      <c r="S765">
        <v>0.02975477857041309</v>
      </c>
      <c r="T765" t="s">
        <v>886</v>
      </c>
      <c r="U765">
        <v>-0.033726622271307</v>
      </c>
      <c r="V765" t="s">
        <v>980</v>
      </c>
      <c r="W765" t="s">
        <v>992</v>
      </c>
      <c r="X765">
        <v>2223.852137</v>
      </c>
      <c r="Y765" s="2">
        <v>44867</v>
      </c>
      <c r="Z765" t="s">
        <v>997</v>
      </c>
    </row>
    <row r="766" spans="1:26">
      <c r="A766" s="1" t="s">
        <v>790</v>
      </c>
      <c r="B766">
        <f>HYPERLINK("https://www.suredividend.com/sure-analysis-ARI/","Apollo Commercial Real Estate Finance Inc")</f>
        <v>0</v>
      </c>
      <c r="C766" t="s">
        <v>870</v>
      </c>
      <c r="D766">
        <v>12.8</v>
      </c>
      <c r="E766">
        <v>11.11</v>
      </c>
      <c r="F766">
        <v>11.3</v>
      </c>
      <c r="G766">
        <v>0.9831858407079644</v>
      </c>
      <c r="H766">
        <v>0.126012601260126</v>
      </c>
      <c r="I766">
        <v>0.003397181799867477</v>
      </c>
      <c r="J766">
        <v>-0.001</v>
      </c>
      <c r="K766">
        <v>0.1005881118027339</v>
      </c>
      <c r="L766" t="s">
        <v>637</v>
      </c>
      <c r="M766" t="s">
        <v>568</v>
      </c>
      <c r="N766">
        <v>7.879432624113475</v>
      </c>
      <c r="O766">
        <v>1.41</v>
      </c>
      <c r="P766">
        <v>1.4</v>
      </c>
      <c r="Q766">
        <v>0.9929078014184397</v>
      </c>
      <c r="R766">
        <v>1</v>
      </c>
      <c r="S766">
        <v>-0.01471229526229867</v>
      </c>
      <c r="T766" t="s">
        <v>886</v>
      </c>
      <c r="U766">
        <v>-0.172839965752149</v>
      </c>
      <c r="V766" t="s">
        <v>980</v>
      </c>
      <c r="W766" t="s">
        <v>992</v>
      </c>
      <c r="X766">
        <v>1562.021504</v>
      </c>
      <c r="Y766" s="2">
        <v>44773</v>
      </c>
      <c r="Z766" t="s">
        <v>999</v>
      </c>
    </row>
    <row r="767" spans="1:26">
      <c r="A767" s="1" t="s">
        <v>791</v>
      </c>
      <c r="B767">
        <f>HYPERLINK("https://www.suredividend.com/sure-analysis-AB/","AllianceBernstein Holding Lp")</f>
        <v>0</v>
      </c>
      <c r="C767" t="s">
        <v>870</v>
      </c>
      <c r="D767">
        <v>45.3</v>
      </c>
      <c r="E767">
        <v>36.6</v>
      </c>
      <c r="F767">
        <v>30.2</v>
      </c>
      <c r="G767">
        <v>1.211920529801324</v>
      </c>
      <c r="H767">
        <v>0.07759562841530054</v>
      </c>
      <c r="I767">
        <v>-0.03771177519419922</v>
      </c>
      <c r="J767">
        <v>0.066</v>
      </c>
      <c r="K767">
        <v>0.1005517521629595</v>
      </c>
      <c r="L767" t="s">
        <v>637</v>
      </c>
      <c r="M767" t="s">
        <v>568</v>
      </c>
      <c r="N767">
        <v>12.11920529801325</v>
      </c>
      <c r="O767">
        <v>3.02</v>
      </c>
      <c r="P767">
        <v>2.84</v>
      </c>
      <c r="Q767">
        <v>0.9403973509933774</v>
      </c>
      <c r="R767">
        <v>2</v>
      </c>
      <c r="S767">
        <v>0.07089854932200002</v>
      </c>
      <c r="T767" t="s">
        <v>919</v>
      </c>
      <c r="U767">
        <v>-0.288773503509494</v>
      </c>
      <c r="V767" t="s">
        <v>979</v>
      </c>
      <c r="W767" t="s">
        <v>986</v>
      </c>
      <c r="X767">
        <v>3674.67821</v>
      </c>
      <c r="Y767" s="2">
        <v>44776</v>
      </c>
      <c r="Z767" t="s">
        <v>999</v>
      </c>
    </row>
    <row r="768" spans="1:26">
      <c r="A768" s="1" t="s">
        <v>792</v>
      </c>
      <c r="B768">
        <f>HYPERLINK("https://www.suredividend.com/sure-analysis-HRZN/","Horizon Technology Finance Corp")</f>
        <v>0</v>
      </c>
      <c r="C768" t="s">
        <v>869</v>
      </c>
      <c r="D768">
        <v>12.77</v>
      </c>
      <c r="E768">
        <v>13.14</v>
      </c>
      <c r="F768">
        <v>13.23</v>
      </c>
      <c r="G768">
        <v>0.9931972789115646</v>
      </c>
      <c r="H768">
        <v>0.1004566210045662</v>
      </c>
      <c r="I768">
        <v>0.00136612531427116</v>
      </c>
      <c r="J768">
        <v>0.02</v>
      </c>
      <c r="K768">
        <v>0.100466253778156</v>
      </c>
      <c r="L768" t="s">
        <v>637</v>
      </c>
      <c r="M768" t="s">
        <v>568</v>
      </c>
      <c r="N768">
        <v>9.733333333333333</v>
      </c>
      <c r="O768">
        <v>1.35</v>
      </c>
      <c r="P768">
        <v>1.32</v>
      </c>
      <c r="Q768">
        <v>0.9777777777777777</v>
      </c>
      <c r="R768">
        <v>1</v>
      </c>
      <c r="S768">
        <v>0</v>
      </c>
      <c r="T768" t="s">
        <v>921</v>
      </c>
      <c r="U768">
        <v>-0.180639649807631</v>
      </c>
      <c r="V768" t="s">
        <v>981</v>
      </c>
      <c r="W768" t="s">
        <v>986</v>
      </c>
      <c r="X768">
        <v>346.915395</v>
      </c>
      <c r="Y768" s="2">
        <v>44868</v>
      </c>
      <c r="Z768" t="s">
        <v>1000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870</v>
      </c>
      <c r="D769">
        <v>12</v>
      </c>
      <c r="E769">
        <v>11.16</v>
      </c>
      <c r="F769">
        <v>12</v>
      </c>
      <c r="G769">
        <v>0.93</v>
      </c>
      <c r="H769">
        <v>0.04390681003584229</v>
      </c>
      <c r="I769">
        <v>0.01461998012252352</v>
      </c>
      <c r="J769">
        <v>0.05</v>
      </c>
      <c r="K769">
        <v>0.0992663639742779</v>
      </c>
      <c r="L769" t="s">
        <v>637</v>
      </c>
      <c r="M769" t="s">
        <v>586</v>
      </c>
      <c r="N769">
        <v>13.60975609756098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925</v>
      </c>
      <c r="U769">
        <v>-0.054757972303392</v>
      </c>
      <c r="V769" t="s">
        <v>978</v>
      </c>
      <c r="W769" t="s">
        <v>989</v>
      </c>
      <c r="X769">
        <v>16617.458245</v>
      </c>
      <c r="Y769" s="2">
        <v>44776</v>
      </c>
      <c r="Z769" t="s">
        <v>997</v>
      </c>
    </row>
    <row r="770" spans="1:26">
      <c r="A770" s="1" t="s">
        <v>794</v>
      </c>
      <c r="B770">
        <f>HYPERLINK("https://www.suredividend.com/sure-analysis-PFLT/","PennantPark Floating Rate Capital Ltd")</f>
        <v>0</v>
      </c>
      <c r="C770" t="s">
        <v>870</v>
      </c>
      <c r="D770">
        <v>13.2</v>
      </c>
      <c r="E770">
        <v>11.3</v>
      </c>
      <c r="F770">
        <v>11.6</v>
      </c>
      <c r="G770">
        <v>0.9741379310344829</v>
      </c>
      <c r="H770">
        <v>0.1008849557522124</v>
      </c>
      <c r="I770">
        <v>0.005254229782795994</v>
      </c>
      <c r="J770">
        <v>0.013</v>
      </c>
      <c r="K770">
        <v>0.0984859247812746</v>
      </c>
      <c r="L770" t="s">
        <v>637</v>
      </c>
      <c r="M770" t="s">
        <v>568</v>
      </c>
      <c r="N770">
        <v>9.416666666666668</v>
      </c>
      <c r="O770">
        <v>1.2</v>
      </c>
      <c r="P770">
        <v>1.14</v>
      </c>
      <c r="Q770">
        <v>0.95</v>
      </c>
      <c r="R770">
        <v>0</v>
      </c>
      <c r="S770">
        <v>0</v>
      </c>
      <c r="T770" t="s">
        <v>975</v>
      </c>
      <c r="U770">
        <v>-0.080201541679893</v>
      </c>
      <c r="V770" t="s">
        <v>981</v>
      </c>
      <c r="W770" t="s">
        <v>986</v>
      </c>
      <c r="X770">
        <v>512.405709</v>
      </c>
      <c r="Y770" s="2">
        <v>44781</v>
      </c>
      <c r="Z770" t="s">
        <v>999</v>
      </c>
    </row>
    <row r="771" spans="1:26">
      <c r="A771" s="1" t="s">
        <v>795</v>
      </c>
      <c r="B771">
        <f>HYPERLINK("https://www.suredividend.com/sure-analysis-STOR/","Store Capital Corp")</f>
        <v>0</v>
      </c>
      <c r="C771" t="s">
        <v>869</v>
      </c>
      <c r="D771">
        <v>29</v>
      </c>
      <c r="E771">
        <v>31.67</v>
      </c>
      <c r="F771">
        <v>34</v>
      </c>
      <c r="G771">
        <v>0.9314705882352942</v>
      </c>
      <c r="H771">
        <v>0.051784022734449</v>
      </c>
      <c r="I771">
        <v>0.01429940502529448</v>
      </c>
      <c r="J771">
        <v>0.04</v>
      </c>
      <c r="K771">
        <v>0.09820100753008587</v>
      </c>
      <c r="L771" t="s">
        <v>637</v>
      </c>
      <c r="M771" t="s">
        <v>586</v>
      </c>
      <c r="N771">
        <v>14.01327433628319</v>
      </c>
      <c r="O771">
        <v>2.26</v>
      </c>
      <c r="P771">
        <v>1.64</v>
      </c>
      <c r="Q771">
        <v>0.7256637168141593</v>
      </c>
      <c r="R771">
        <v>9</v>
      </c>
      <c r="S771">
        <v>0.03944579259460279</v>
      </c>
      <c r="T771" t="s">
        <v>886</v>
      </c>
      <c r="U771">
        <v>-0.05018969214389601</v>
      </c>
      <c r="V771" t="s">
        <v>980</v>
      </c>
      <c r="W771" t="s">
        <v>992</v>
      </c>
      <c r="X771">
        <v>8952.722468</v>
      </c>
      <c r="Y771" s="2">
        <v>44784</v>
      </c>
      <c r="Z771" t="s">
        <v>1007</v>
      </c>
    </row>
    <row r="772" spans="1:26">
      <c r="A772" s="1" t="s">
        <v>796</v>
      </c>
      <c r="B772">
        <f>HYPERLINK("https://www.suredividend.com/sure-analysis-WEN/","Wendy`s Co")</f>
        <v>0</v>
      </c>
      <c r="C772" t="s">
        <v>869</v>
      </c>
      <c r="D772">
        <v>21</v>
      </c>
      <c r="E772">
        <v>20.43</v>
      </c>
      <c r="F772">
        <v>22</v>
      </c>
      <c r="G772">
        <v>0.9286363636363636</v>
      </c>
      <c r="H772">
        <v>0.02447381302006853</v>
      </c>
      <c r="I772">
        <v>0.01491778468809901</v>
      </c>
      <c r="J772">
        <v>0.06</v>
      </c>
      <c r="K772">
        <v>0.09682827495351365</v>
      </c>
      <c r="L772" t="s">
        <v>637</v>
      </c>
      <c r="M772" t="s">
        <v>637</v>
      </c>
      <c r="N772">
        <v>23.75581395348837</v>
      </c>
      <c r="O772">
        <v>0.86</v>
      </c>
      <c r="P772">
        <v>0.5</v>
      </c>
      <c r="Q772">
        <v>0.5813953488372093</v>
      </c>
      <c r="R772">
        <v>2</v>
      </c>
      <c r="S772">
        <v>0.0602809527753625</v>
      </c>
      <c r="T772" t="s">
        <v>874</v>
      </c>
      <c r="U772">
        <v>-0.07934819835247001</v>
      </c>
      <c r="V772" t="s">
        <v>978</v>
      </c>
      <c r="W772" t="s">
        <v>983</v>
      </c>
      <c r="X772">
        <v>4347.584678</v>
      </c>
      <c r="Y772" s="2">
        <v>44785</v>
      </c>
      <c r="Z772" t="s">
        <v>998</v>
      </c>
    </row>
    <row r="773" spans="1:26">
      <c r="A773" s="1" t="s">
        <v>797</v>
      </c>
      <c r="B773">
        <f>HYPERLINK("https://www.suredividend.com/sure-analysis-NWBI/","Northwest Bancshares Inc")</f>
        <v>0</v>
      </c>
      <c r="C773" t="s">
        <v>870</v>
      </c>
      <c r="D773">
        <v>15</v>
      </c>
      <c r="E773">
        <v>14.98</v>
      </c>
      <c r="F773">
        <v>15</v>
      </c>
      <c r="G773">
        <v>0.9986666666666667</v>
      </c>
      <c r="H773">
        <v>0.0534045393858478</v>
      </c>
      <c r="I773">
        <v>0.0002668802088152677</v>
      </c>
      <c r="J773">
        <v>0.05</v>
      </c>
      <c r="K773">
        <v>0.09633672056401221</v>
      </c>
      <c r="L773" t="s">
        <v>637</v>
      </c>
      <c r="M773" t="s">
        <v>568</v>
      </c>
      <c r="N773">
        <v>13.74311926605504</v>
      </c>
      <c r="O773">
        <v>1.09</v>
      </c>
      <c r="P773">
        <v>0.8</v>
      </c>
      <c r="Q773">
        <v>0.7339449541284404</v>
      </c>
      <c r="R773">
        <v>12</v>
      </c>
      <c r="S773">
        <v>0.04563955259127317</v>
      </c>
      <c r="T773" t="s">
        <v>920</v>
      </c>
      <c r="U773">
        <v>0.142647922562338</v>
      </c>
      <c r="V773" t="s">
        <v>978</v>
      </c>
      <c r="W773" t="s">
        <v>986</v>
      </c>
      <c r="X773">
        <v>1900.603019</v>
      </c>
      <c r="Y773" s="2">
        <v>44867</v>
      </c>
      <c r="Z773" t="s">
        <v>997</v>
      </c>
    </row>
    <row r="774" spans="1:26">
      <c r="A774" s="1" t="s">
        <v>798</v>
      </c>
      <c r="B774">
        <f>HYPERLINK("https://www.suredividend.com/sure-analysis-GOOD/","Gladstone Commercial Corp")</f>
        <v>0</v>
      </c>
      <c r="C774" t="s">
        <v>870</v>
      </c>
      <c r="D774">
        <v>20</v>
      </c>
      <c r="E774">
        <v>17.3</v>
      </c>
      <c r="F774">
        <v>18</v>
      </c>
      <c r="G774">
        <v>0.9611111111111111</v>
      </c>
      <c r="H774">
        <v>0.08670520231213873</v>
      </c>
      <c r="I774">
        <v>0.007964601303919849</v>
      </c>
      <c r="J774">
        <v>0.02</v>
      </c>
      <c r="K774">
        <v>0.09611646369285887</v>
      </c>
      <c r="L774" t="s">
        <v>637</v>
      </c>
      <c r="M774" t="s">
        <v>568</v>
      </c>
      <c r="N774">
        <v>11.16129032258065</v>
      </c>
      <c r="O774">
        <v>1.55</v>
      </c>
      <c r="P774">
        <v>1.5</v>
      </c>
      <c r="Q774">
        <v>0.9677419354838709</v>
      </c>
      <c r="R774">
        <v>3</v>
      </c>
      <c r="S774">
        <v>0</v>
      </c>
      <c r="T774" t="s">
        <v>878</v>
      </c>
      <c r="U774">
        <v>-0.166244969758307</v>
      </c>
      <c r="V774" t="s">
        <v>980</v>
      </c>
      <c r="W774" t="s">
        <v>992</v>
      </c>
      <c r="X774">
        <v>683.91225</v>
      </c>
      <c r="Y774" s="2">
        <v>44796</v>
      </c>
      <c r="Z774" t="s">
        <v>1001</v>
      </c>
    </row>
    <row r="775" spans="1:26">
      <c r="A775" s="1" t="s">
        <v>799</v>
      </c>
      <c r="B775">
        <f>HYPERLINK("https://www.suredividend.com/sure-analysis-OXSQ/","Oxford Square Capital Corp")</f>
        <v>0</v>
      </c>
      <c r="C775" t="s">
        <v>871</v>
      </c>
      <c r="D775">
        <v>3.64</v>
      </c>
      <c r="E775">
        <v>3.01</v>
      </c>
      <c r="F775">
        <v>2.97</v>
      </c>
      <c r="G775">
        <v>1.013468013468013</v>
      </c>
      <c r="H775">
        <v>0.1395348837209302</v>
      </c>
      <c r="I775">
        <v>-0.002672048894477697</v>
      </c>
      <c r="J775">
        <v>0</v>
      </c>
      <c r="K775">
        <v>0.0944541200453668</v>
      </c>
      <c r="L775" t="s">
        <v>637</v>
      </c>
      <c r="M775" t="s">
        <v>568</v>
      </c>
      <c r="N775">
        <v>9.121212121212119</v>
      </c>
      <c r="O775">
        <v>0.33</v>
      </c>
      <c r="P775">
        <v>0.42</v>
      </c>
      <c r="Q775">
        <v>1.272727272727273</v>
      </c>
      <c r="R775">
        <v>0</v>
      </c>
      <c r="S775">
        <v>-0.05892880441130122</v>
      </c>
      <c r="T775" t="s">
        <v>914</v>
      </c>
      <c r="U775">
        <v>-0.215164789319983</v>
      </c>
      <c r="V775" t="s">
        <v>981</v>
      </c>
      <c r="W775" t="s">
        <v>986</v>
      </c>
      <c r="X775">
        <v>149.781694</v>
      </c>
      <c r="Y775" s="2">
        <v>44769</v>
      </c>
      <c r="Z775" t="s">
        <v>1000</v>
      </c>
    </row>
    <row r="776" spans="1:26">
      <c r="A776" s="1" t="s">
        <v>800</v>
      </c>
      <c r="B776">
        <f>HYPERLINK("https://www.suredividend.com/sure-analysis-FE/","Firstenergy Corp.")</f>
        <v>0</v>
      </c>
      <c r="C776" t="s">
        <v>870</v>
      </c>
      <c r="D776">
        <v>37</v>
      </c>
      <c r="E776">
        <v>37.9</v>
      </c>
      <c r="F776">
        <v>37</v>
      </c>
      <c r="G776">
        <v>1.024324324324324</v>
      </c>
      <c r="H776">
        <v>0.04116094986807388</v>
      </c>
      <c r="I776">
        <v>-0.004795106481698452</v>
      </c>
      <c r="J776">
        <v>0.065</v>
      </c>
      <c r="K776">
        <v>0.0943486579187558</v>
      </c>
      <c r="L776" t="s">
        <v>637</v>
      </c>
      <c r="M776" t="s">
        <v>586</v>
      </c>
      <c r="N776">
        <v>15.79166666666667</v>
      </c>
      <c r="O776">
        <v>2.4</v>
      </c>
      <c r="P776">
        <v>1.56</v>
      </c>
      <c r="Q776">
        <v>0.65</v>
      </c>
      <c r="R776">
        <v>0</v>
      </c>
      <c r="S776">
        <v>0.04022143939343281</v>
      </c>
      <c r="T776" t="s">
        <v>919</v>
      </c>
      <c r="U776">
        <v>0.012151155027373</v>
      </c>
      <c r="V776" t="s">
        <v>978</v>
      </c>
      <c r="W776" t="s">
        <v>987</v>
      </c>
      <c r="X776">
        <v>21669.446091</v>
      </c>
      <c r="Y776" s="2">
        <v>44862</v>
      </c>
      <c r="Z776" t="s">
        <v>1000</v>
      </c>
    </row>
    <row r="777" spans="1:26">
      <c r="A777" s="1" t="s">
        <v>801</v>
      </c>
      <c r="B777">
        <f>HYPERLINK("https://www.suredividend.com/sure-analysis-EGP/","Eastgroup Properties, Inc.")</f>
        <v>0</v>
      </c>
      <c r="C777" t="s">
        <v>870</v>
      </c>
      <c r="D777">
        <v>153</v>
      </c>
      <c r="E777">
        <v>154.13</v>
      </c>
      <c r="F777">
        <v>146</v>
      </c>
      <c r="G777">
        <v>1.055684931506849</v>
      </c>
      <c r="H777">
        <v>0.03244014792707455</v>
      </c>
      <c r="I777">
        <v>-0.01077943704370365</v>
      </c>
      <c r="J777">
        <v>0.075</v>
      </c>
      <c r="K777">
        <v>0.0941993725509318</v>
      </c>
      <c r="L777" t="s">
        <v>637</v>
      </c>
      <c r="M777" t="s">
        <v>586</v>
      </c>
      <c r="N777">
        <v>22.17697841726618</v>
      </c>
      <c r="O777">
        <v>6.95</v>
      </c>
      <c r="P777">
        <v>5</v>
      </c>
      <c r="Q777">
        <v>0.7194244604316546</v>
      </c>
      <c r="R777">
        <v>12</v>
      </c>
      <c r="S777">
        <v>0.08504954018366795</v>
      </c>
      <c r="T777" t="s">
        <v>886</v>
      </c>
      <c r="U777">
        <v>-0.201031355359357</v>
      </c>
      <c r="V777" t="s">
        <v>980</v>
      </c>
      <c r="W777" t="s">
        <v>992</v>
      </c>
      <c r="X777">
        <v>6716.066631</v>
      </c>
      <c r="Y777" s="2">
        <v>44862</v>
      </c>
      <c r="Z777" t="s">
        <v>1000</v>
      </c>
    </row>
    <row r="778" spans="1:26">
      <c r="A778" s="1" t="s">
        <v>802</v>
      </c>
      <c r="B778">
        <f>HYPERLINK("https://www.suredividend.com/sure-analysis-GBDC/","Golub Capital BDC Inc")</f>
        <v>0</v>
      </c>
      <c r="C778" t="s">
        <v>870</v>
      </c>
      <c r="D778">
        <v>14.11</v>
      </c>
      <c r="E778">
        <v>12.9</v>
      </c>
      <c r="F778">
        <v>14.11</v>
      </c>
      <c r="G778">
        <v>0.9142452161587528</v>
      </c>
      <c r="H778">
        <v>0.09302325581395349</v>
      </c>
      <c r="I778">
        <v>0.0180930217307298</v>
      </c>
      <c r="J778">
        <v>0</v>
      </c>
      <c r="K778">
        <v>0.09285985281863929</v>
      </c>
      <c r="L778" t="s">
        <v>637</v>
      </c>
      <c r="M778" t="s">
        <v>568</v>
      </c>
      <c r="N778">
        <v>10.75</v>
      </c>
      <c r="O778">
        <v>1.2</v>
      </c>
      <c r="P778">
        <v>1.2</v>
      </c>
      <c r="Q778">
        <v>1</v>
      </c>
      <c r="R778">
        <v>0</v>
      </c>
      <c r="S778">
        <v>0</v>
      </c>
      <c r="T778" t="s">
        <v>889</v>
      </c>
      <c r="U778">
        <v>-0.103388357949609</v>
      </c>
      <c r="V778" t="s">
        <v>981</v>
      </c>
      <c r="W778" t="s">
        <v>986</v>
      </c>
      <c r="X778">
        <v>2204.554143</v>
      </c>
      <c r="Y778" s="2">
        <v>44787</v>
      </c>
      <c r="Z778" t="s">
        <v>1000</v>
      </c>
    </row>
    <row r="779" spans="1:26">
      <c r="A779" s="1" t="s">
        <v>803</v>
      </c>
      <c r="B779">
        <f>HYPERLINK("https://www.suredividend.com/sure-analysis-DRETF/","Dream Office Real Estate Investment Trust")</f>
        <v>0</v>
      </c>
      <c r="C779" t="s">
        <v>871</v>
      </c>
      <c r="D779">
        <v>15.6</v>
      </c>
      <c r="E779">
        <v>11.26</v>
      </c>
      <c r="F779">
        <v>11.1</v>
      </c>
      <c r="G779">
        <v>1.014414414414414</v>
      </c>
      <c r="H779">
        <v>0.06927175843694494</v>
      </c>
      <c r="I779">
        <v>-0.002858210395340066</v>
      </c>
      <c r="J779">
        <v>0.04</v>
      </c>
      <c r="K779">
        <v>0.09175269521280383</v>
      </c>
      <c r="L779" t="s">
        <v>637</v>
      </c>
      <c r="M779" t="s">
        <v>568</v>
      </c>
      <c r="N779">
        <v>9.154471544715447</v>
      </c>
      <c r="O779">
        <v>1.23</v>
      </c>
      <c r="P779">
        <v>0.78</v>
      </c>
      <c r="Q779">
        <v>0.6341463414634146</v>
      </c>
      <c r="R779">
        <v>0</v>
      </c>
      <c r="S779">
        <v>0.005076403090295889</v>
      </c>
      <c r="T779" t="s">
        <v>911</v>
      </c>
      <c r="U779">
        <v>-0.403355199711745</v>
      </c>
      <c r="V779" t="s">
        <v>978</v>
      </c>
      <c r="W779" t="s">
        <v>986</v>
      </c>
      <c r="X779">
        <v>528.834705</v>
      </c>
      <c r="Y779" s="2">
        <v>44786</v>
      </c>
      <c r="Z779" t="s">
        <v>999</v>
      </c>
    </row>
    <row r="780" spans="1:26">
      <c r="A780" s="1" t="s">
        <v>804</v>
      </c>
      <c r="B780">
        <f>HYPERLINK("https://www.suredividend.com/sure-analysis-EIFZF/","Exchange Income Corp")</f>
        <v>0</v>
      </c>
      <c r="C780" t="s">
        <v>870</v>
      </c>
      <c r="D780">
        <v>37</v>
      </c>
      <c r="E780">
        <v>32.0665</v>
      </c>
      <c r="F780">
        <v>34</v>
      </c>
      <c r="G780">
        <v>0.9431323529411764</v>
      </c>
      <c r="H780">
        <v>0.05862816334804235</v>
      </c>
      <c r="I780">
        <v>0.01177855790922488</v>
      </c>
      <c r="J780">
        <v>0.03</v>
      </c>
      <c r="K780">
        <v>0.09030447145031339</v>
      </c>
      <c r="L780" t="s">
        <v>637</v>
      </c>
      <c r="M780" t="s">
        <v>586</v>
      </c>
      <c r="N780">
        <v>15.2697619047619</v>
      </c>
      <c r="O780">
        <v>2.1</v>
      </c>
      <c r="P780">
        <v>1.88</v>
      </c>
      <c r="Q780">
        <v>0.8952380952380952</v>
      </c>
      <c r="R780">
        <v>1</v>
      </c>
      <c r="S780">
        <v>0.0204250165236175</v>
      </c>
      <c r="T780" t="s">
        <v>911</v>
      </c>
      <c r="U780">
        <v>-0.08039862345856001</v>
      </c>
      <c r="V780" t="s">
        <v>978</v>
      </c>
      <c r="W780" t="s">
        <v>984</v>
      </c>
      <c r="X780">
        <v>1357.648889</v>
      </c>
      <c r="Y780" s="2">
        <v>44787</v>
      </c>
      <c r="Z780" t="s">
        <v>1000</v>
      </c>
    </row>
    <row r="781" spans="1:26">
      <c r="A781" s="1" t="s">
        <v>805</v>
      </c>
      <c r="B781">
        <f>HYPERLINK("https://www.suredividend.com/sure-analysis-SLRC/","SLR Investment Corp")</f>
        <v>0</v>
      </c>
      <c r="C781" t="s">
        <v>870</v>
      </c>
      <c r="D781">
        <v>15.09</v>
      </c>
      <c r="E781">
        <v>13.48</v>
      </c>
      <c r="F781">
        <v>14.5</v>
      </c>
      <c r="G781">
        <v>0.9296551724137931</v>
      </c>
      <c r="H781">
        <v>0.1216617210682493</v>
      </c>
      <c r="I781">
        <v>0.01469523750208768</v>
      </c>
      <c r="J781">
        <v>-0.022</v>
      </c>
      <c r="K781">
        <v>0.08911104449961416</v>
      </c>
      <c r="L781" t="s">
        <v>637</v>
      </c>
      <c r="M781" t="s">
        <v>568</v>
      </c>
      <c r="N781">
        <v>9.296551724137931</v>
      </c>
      <c r="O781">
        <v>1.45</v>
      </c>
      <c r="P781">
        <v>1.64</v>
      </c>
      <c r="Q781">
        <v>1.131034482758621</v>
      </c>
      <c r="R781">
        <v>0</v>
      </c>
      <c r="S781">
        <v>-0.02164899078357707</v>
      </c>
      <c r="T781" t="s">
        <v>924</v>
      </c>
      <c r="U781">
        <v>-0.22056145017202</v>
      </c>
      <c r="V781" t="s">
        <v>981</v>
      </c>
      <c r="W781" t="s">
        <v>986</v>
      </c>
      <c r="X781">
        <v>738.335335</v>
      </c>
      <c r="Y781" s="2">
        <v>44781</v>
      </c>
      <c r="Z781" t="s">
        <v>1000</v>
      </c>
    </row>
    <row r="782" spans="1:26">
      <c r="A782" s="1" t="s">
        <v>806</v>
      </c>
      <c r="B782">
        <f>HYPERLINK("https://www.suredividend.com/sure-analysis-VICI/","VICI Properties Inc")</f>
        <v>0</v>
      </c>
      <c r="C782" t="s">
        <v>870</v>
      </c>
      <c r="D782">
        <v>32</v>
      </c>
      <c r="E782">
        <v>31.43</v>
      </c>
      <c r="F782">
        <v>29</v>
      </c>
      <c r="G782">
        <v>1.083793103448276</v>
      </c>
      <c r="H782">
        <v>0.04963410754056634</v>
      </c>
      <c r="I782">
        <v>-0.01596459724210908</v>
      </c>
      <c r="J782">
        <v>0.06</v>
      </c>
      <c r="K782">
        <v>0.08836388430869691</v>
      </c>
      <c r="L782" t="s">
        <v>637</v>
      </c>
      <c r="M782" t="s">
        <v>586</v>
      </c>
      <c r="N782">
        <v>16.5421052631579</v>
      </c>
      <c r="O782">
        <v>1.9</v>
      </c>
      <c r="P782">
        <v>1.56</v>
      </c>
      <c r="Q782">
        <v>0.8210526315789475</v>
      </c>
      <c r="R782">
        <v>4</v>
      </c>
      <c r="S782">
        <v>0.05511819868320456</v>
      </c>
      <c r="T782" t="s">
        <v>943</v>
      </c>
      <c r="U782">
        <v>0.132906555935233</v>
      </c>
      <c r="V782" t="s">
        <v>980</v>
      </c>
      <c r="W782" t="s">
        <v>992</v>
      </c>
      <c r="X782">
        <v>30270.165363</v>
      </c>
      <c r="Y782" s="2">
        <v>44866</v>
      </c>
      <c r="Z782" t="s">
        <v>996</v>
      </c>
    </row>
    <row r="783" spans="1:26">
      <c r="A783" s="1" t="s">
        <v>807</v>
      </c>
      <c r="B783">
        <f>HYPERLINK("https://www.suredividend.com/sure-analysis-FTCO/","Fortitude Gold Corp")</f>
        <v>0</v>
      </c>
      <c r="C783" t="s">
        <v>870</v>
      </c>
      <c r="D783">
        <v>6.22</v>
      </c>
      <c r="E783">
        <v>5.55</v>
      </c>
      <c r="F783">
        <v>6.05</v>
      </c>
      <c r="G783">
        <v>0.9173553719008264</v>
      </c>
      <c r="H783">
        <v>0.08648648648648649</v>
      </c>
      <c r="I783">
        <v>0.01740174530068694</v>
      </c>
      <c r="J783">
        <v>0</v>
      </c>
      <c r="K783">
        <v>0.08770905797310879</v>
      </c>
      <c r="L783" t="s">
        <v>637</v>
      </c>
      <c r="M783" t="s">
        <v>568</v>
      </c>
      <c r="N783">
        <v>10.09090909090909</v>
      </c>
      <c r="O783">
        <v>0.55</v>
      </c>
      <c r="P783">
        <v>0.48</v>
      </c>
      <c r="Q783">
        <v>0.8727272727272726</v>
      </c>
      <c r="R783">
        <v>1</v>
      </c>
      <c r="S783">
        <v>0</v>
      </c>
      <c r="T783" t="s">
        <v>880</v>
      </c>
      <c r="U783">
        <v>-0.208273894436519</v>
      </c>
      <c r="V783" t="s">
        <v>978</v>
      </c>
      <c r="W783" t="s">
        <v>989</v>
      </c>
      <c r="X783">
        <v>133.336208</v>
      </c>
      <c r="Y783" s="2">
        <v>44776</v>
      </c>
      <c r="Z783" t="s">
        <v>1000</v>
      </c>
    </row>
    <row r="784" spans="1:26">
      <c r="A784" s="1" t="s">
        <v>808</v>
      </c>
      <c r="B784">
        <f>HYPERLINK("https://www.suredividend.com/sure-analysis-OHI/","Omega Healthcare Investors, Inc.")</f>
        <v>0</v>
      </c>
      <c r="C784" t="s">
        <v>870</v>
      </c>
      <c r="D784">
        <v>33</v>
      </c>
      <c r="E784">
        <v>32.37</v>
      </c>
      <c r="F784">
        <v>32</v>
      </c>
      <c r="G784">
        <v>1.0115625</v>
      </c>
      <c r="H784">
        <v>0.08279270929873341</v>
      </c>
      <c r="I784">
        <v>-0.002296591816068894</v>
      </c>
      <c r="J784">
        <v>0.02</v>
      </c>
      <c r="K784">
        <v>0.08710667022793595</v>
      </c>
      <c r="L784" t="s">
        <v>637</v>
      </c>
      <c r="M784" t="s">
        <v>568</v>
      </c>
      <c r="N784">
        <v>10.9728813559322</v>
      </c>
      <c r="O784">
        <v>2.95</v>
      </c>
      <c r="P784">
        <v>2.68</v>
      </c>
      <c r="Q784">
        <v>0.9084745762711864</v>
      </c>
      <c r="R784">
        <v>0</v>
      </c>
      <c r="S784">
        <v>0.01023605168466424</v>
      </c>
      <c r="T784" t="s">
        <v>930</v>
      </c>
      <c r="U784">
        <v>0.233683327934142</v>
      </c>
      <c r="V784" t="s">
        <v>980</v>
      </c>
      <c r="W784" t="s">
        <v>992</v>
      </c>
      <c r="X784">
        <v>7578.159604</v>
      </c>
      <c r="Y784" s="2">
        <v>44781</v>
      </c>
      <c r="Z784" t="s">
        <v>1001</v>
      </c>
    </row>
    <row r="785" spans="1:26">
      <c r="A785" s="1" t="s">
        <v>809</v>
      </c>
      <c r="B785">
        <f>HYPERLINK("https://www.suredividend.com/sure-analysis-ADC/","Agree Realty Corp.")</f>
        <v>0</v>
      </c>
      <c r="C785" t="s">
        <v>870</v>
      </c>
      <c r="D785">
        <v>79</v>
      </c>
      <c r="E785">
        <v>68.29000000000001</v>
      </c>
      <c r="F785">
        <v>70</v>
      </c>
      <c r="G785">
        <v>0.9755714285714286</v>
      </c>
      <c r="H785">
        <v>0.04217308537121101</v>
      </c>
      <c r="I785">
        <v>0.004958633347120989</v>
      </c>
      <c r="J785">
        <v>0.045</v>
      </c>
      <c r="K785">
        <v>0.08701865099520667</v>
      </c>
      <c r="L785" t="s">
        <v>637</v>
      </c>
      <c r="M785" t="s">
        <v>586</v>
      </c>
      <c r="N785">
        <v>17.46547314578005</v>
      </c>
      <c r="O785">
        <v>3.91</v>
      </c>
      <c r="P785">
        <v>2.88</v>
      </c>
      <c r="Q785">
        <v>0.7365728900255754</v>
      </c>
      <c r="R785">
        <v>11</v>
      </c>
      <c r="S785">
        <v>0.0438909816789399</v>
      </c>
      <c r="T785" t="s">
        <v>911</v>
      </c>
      <c r="U785">
        <v>0.014853508296119</v>
      </c>
      <c r="V785" t="s">
        <v>980</v>
      </c>
      <c r="W785" t="s">
        <v>992</v>
      </c>
      <c r="X785">
        <v>6048.667106</v>
      </c>
      <c r="Y785" s="2">
        <v>44792</v>
      </c>
      <c r="Z785" t="s">
        <v>997</v>
      </c>
    </row>
    <row r="786" spans="1:26">
      <c r="A786" s="1" t="s">
        <v>810</v>
      </c>
      <c r="B786">
        <f>HYPERLINK("https://www.suredividend.com/sure-analysis-WELL/","Welltower Inc.")</f>
        <v>0</v>
      </c>
      <c r="C786" t="s">
        <v>871</v>
      </c>
      <c r="D786">
        <v>82</v>
      </c>
      <c r="E786">
        <v>60.95</v>
      </c>
      <c r="F786">
        <v>55</v>
      </c>
      <c r="G786">
        <v>1.108181818181818</v>
      </c>
      <c r="H786">
        <v>0.04003281378178835</v>
      </c>
      <c r="I786">
        <v>-0.02033454117109945</v>
      </c>
      <c r="J786">
        <v>0.07000000000000001</v>
      </c>
      <c r="K786">
        <v>0.08618218773244468</v>
      </c>
      <c r="L786" t="s">
        <v>637</v>
      </c>
      <c r="M786" t="s">
        <v>586</v>
      </c>
      <c r="N786">
        <v>17.71802325581395</v>
      </c>
      <c r="O786">
        <v>3.44</v>
      </c>
      <c r="P786">
        <v>2.44</v>
      </c>
      <c r="Q786">
        <v>0.7093023255813954</v>
      </c>
      <c r="R786">
        <v>0</v>
      </c>
      <c r="S786">
        <v>0.06986075271311409</v>
      </c>
      <c r="T786" t="s">
        <v>916</v>
      </c>
      <c r="U786">
        <v>-0.366755220503208</v>
      </c>
      <c r="V786" t="s">
        <v>980</v>
      </c>
      <c r="W786" t="s">
        <v>992</v>
      </c>
      <c r="X786">
        <v>27669.335825</v>
      </c>
      <c r="Y786" s="2">
        <v>44790</v>
      </c>
      <c r="Z786" t="s">
        <v>1005</v>
      </c>
    </row>
    <row r="787" spans="1:26">
      <c r="A787" s="1" t="s">
        <v>811</v>
      </c>
      <c r="B787">
        <f>HYPERLINK("https://www.suredividend.com/sure-analysis-LTC/","LTC Properties, Inc.")</f>
        <v>0</v>
      </c>
      <c r="C787" t="s">
        <v>870</v>
      </c>
      <c r="D787">
        <v>38</v>
      </c>
      <c r="E787">
        <v>38.93</v>
      </c>
      <c r="F787">
        <v>37</v>
      </c>
      <c r="G787">
        <v>1.052162162162162</v>
      </c>
      <c r="H787">
        <v>0.05856665810428974</v>
      </c>
      <c r="I787">
        <v>-0.01011791577985921</v>
      </c>
      <c r="J787">
        <v>0.05</v>
      </c>
      <c r="K787">
        <v>0.08531514785110539</v>
      </c>
      <c r="L787" t="s">
        <v>637</v>
      </c>
      <c r="M787" t="s">
        <v>586</v>
      </c>
      <c r="N787">
        <v>15.572</v>
      </c>
      <c r="O787">
        <v>2.5</v>
      </c>
      <c r="P787">
        <v>2.28</v>
      </c>
      <c r="Q787">
        <v>0.9119999999999999</v>
      </c>
      <c r="R787">
        <v>0</v>
      </c>
      <c r="S787">
        <v>0</v>
      </c>
      <c r="T787" t="s">
        <v>878</v>
      </c>
      <c r="U787">
        <v>0.268640179362844</v>
      </c>
      <c r="V787" t="s">
        <v>980</v>
      </c>
      <c r="W787" t="s">
        <v>992</v>
      </c>
      <c r="X787">
        <v>1576.851514</v>
      </c>
      <c r="Y787" s="2">
        <v>44867</v>
      </c>
      <c r="Z787" t="s">
        <v>996</v>
      </c>
    </row>
    <row r="788" spans="1:26">
      <c r="A788" s="1" t="s">
        <v>812</v>
      </c>
      <c r="B788">
        <f>HYPERLINK("https://www.suredividend.com/sure-analysis-GLPI/","Gaming and Leisure Properties Inc")</f>
        <v>0</v>
      </c>
      <c r="C788" t="s">
        <v>870</v>
      </c>
      <c r="D788">
        <v>51.6</v>
      </c>
      <c r="E788">
        <v>49.99</v>
      </c>
      <c r="F788">
        <v>49.6</v>
      </c>
      <c r="G788">
        <v>1.007862903225806</v>
      </c>
      <c r="H788">
        <v>0.05641128225645128</v>
      </c>
      <c r="I788">
        <v>-0.001565204127258024</v>
      </c>
      <c r="J788">
        <v>0.037</v>
      </c>
      <c r="K788">
        <v>0.08448753315951629</v>
      </c>
      <c r="L788" t="s">
        <v>637</v>
      </c>
      <c r="M788" t="s">
        <v>586</v>
      </c>
      <c r="N788">
        <v>14.12146892655367</v>
      </c>
      <c r="O788">
        <v>3.54</v>
      </c>
      <c r="P788">
        <v>2.82</v>
      </c>
      <c r="Q788">
        <v>0.7966101694915254</v>
      </c>
      <c r="R788">
        <v>2</v>
      </c>
      <c r="S788">
        <v>0.03193648198855326</v>
      </c>
      <c r="T788" t="s">
        <v>887</v>
      </c>
      <c r="U788">
        <v>0.108128417874583</v>
      </c>
      <c r="V788" t="s">
        <v>980</v>
      </c>
      <c r="W788" t="s">
        <v>992</v>
      </c>
      <c r="X788">
        <v>12771.412357</v>
      </c>
      <c r="Y788" s="2">
        <v>44776</v>
      </c>
      <c r="Z788" t="s">
        <v>999</v>
      </c>
    </row>
    <row r="789" spans="1:26">
      <c r="A789" s="1" t="s">
        <v>813</v>
      </c>
      <c r="B789">
        <f>HYPERLINK("https://www.suredividend.com/sure-analysis-USAC/","USA Compression Partners LP")</f>
        <v>0</v>
      </c>
      <c r="C789" t="s">
        <v>869</v>
      </c>
      <c r="D789">
        <v>17.5</v>
      </c>
      <c r="E789">
        <v>18.27</v>
      </c>
      <c r="F789">
        <v>16</v>
      </c>
      <c r="G789">
        <v>1.141875</v>
      </c>
      <c r="H789">
        <v>0.1149425287356322</v>
      </c>
      <c r="I789">
        <v>-0.02618538743366738</v>
      </c>
      <c r="J789">
        <v>0.01</v>
      </c>
      <c r="K789">
        <v>0.08376774803564691</v>
      </c>
      <c r="L789" t="s">
        <v>637</v>
      </c>
      <c r="M789" t="s">
        <v>568</v>
      </c>
      <c r="N789">
        <v>8.013157894736842</v>
      </c>
      <c r="O789">
        <v>2.28</v>
      </c>
      <c r="P789">
        <v>2.1</v>
      </c>
      <c r="Q789">
        <v>0.9210526315789475</v>
      </c>
      <c r="R789">
        <v>0</v>
      </c>
      <c r="S789">
        <v>0</v>
      </c>
      <c r="T789" t="s">
        <v>926</v>
      </c>
      <c r="U789">
        <v>0.282222237818186</v>
      </c>
      <c r="V789" t="s">
        <v>979</v>
      </c>
      <c r="W789" t="s">
        <v>991</v>
      </c>
      <c r="X789">
        <v>1790.37097</v>
      </c>
      <c r="Y789" s="2">
        <v>44777</v>
      </c>
      <c r="Z789" t="s">
        <v>998</v>
      </c>
    </row>
    <row r="790" spans="1:26">
      <c r="A790" s="1" t="s">
        <v>814</v>
      </c>
      <c r="B790">
        <f>HYPERLINK("https://www.suredividend.com/sure-analysis-ABEV/","Ambev S.A.")</f>
        <v>0</v>
      </c>
      <c r="C790" t="s">
        <v>869</v>
      </c>
      <c r="D790">
        <v>2.96</v>
      </c>
      <c r="E790">
        <v>3.24</v>
      </c>
      <c r="F790">
        <v>3.63</v>
      </c>
      <c r="G790">
        <v>0.8925619834710745</v>
      </c>
      <c r="H790">
        <v>0.03395061728395062</v>
      </c>
      <c r="I790">
        <v>0.02299220141941549</v>
      </c>
      <c r="J790">
        <v>0.03</v>
      </c>
      <c r="K790">
        <v>0.08253823779349778</v>
      </c>
      <c r="L790" t="s">
        <v>637</v>
      </c>
      <c r="M790" t="s">
        <v>586</v>
      </c>
      <c r="N790">
        <v>19.05882352941176</v>
      </c>
      <c r="O790">
        <v>0.17</v>
      </c>
      <c r="P790">
        <v>0.11</v>
      </c>
      <c r="Q790">
        <v>0.6470588235294117</v>
      </c>
      <c r="R790">
        <v>0</v>
      </c>
      <c r="S790">
        <v>0.03397522653195018</v>
      </c>
      <c r="T790" t="s">
        <v>976</v>
      </c>
      <c r="U790">
        <v>0.063620248178058</v>
      </c>
      <c r="V790" t="s">
        <v>978</v>
      </c>
      <c r="W790" t="s">
        <v>990</v>
      </c>
      <c r="X790">
        <v>51030.702597</v>
      </c>
      <c r="Y790" s="2">
        <v>44786</v>
      </c>
      <c r="Z790" t="s">
        <v>1007</v>
      </c>
    </row>
    <row r="791" spans="1:26">
      <c r="A791" s="1" t="s">
        <v>815</v>
      </c>
      <c r="B791">
        <f>HYPERLINK("https://www.suredividend.com/sure-analysis-INVH/","Invitation Homes Inc")</f>
        <v>0</v>
      </c>
      <c r="C791" t="s">
        <v>870</v>
      </c>
      <c r="D791">
        <v>31</v>
      </c>
      <c r="E791">
        <v>31.03</v>
      </c>
      <c r="F791">
        <v>28</v>
      </c>
      <c r="G791">
        <v>1.108214285714286</v>
      </c>
      <c r="H791">
        <v>0.02835965194972607</v>
      </c>
      <c r="I791">
        <v>-0.02034028152172551</v>
      </c>
      <c r="J791">
        <v>0.075</v>
      </c>
      <c r="K791">
        <v>0.08119694494344976</v>
      </c>
      <c r="L791" t="s">
        <v>637</v>
      </c>
      <c r="M791" t="s">
        <v>637</v>
      </c>
      <c r="N791">
        <v>22.16428571428572</v>
      </c>
      <c r="O791">
        <v>1.4</v>
      </c>
      <c r="P791">
        <v>0.88</v>
      </c>
      <c r="Q791">
        <v>0.6285714285714287</v>
      </c>
      <c r="R791">
        <v>5</v>
      </c>
      <c r="S791">
        <v>0.08447177119769855</v>
      </c>
      <c r="T791" t="s">
        <v>946</v>
      </c>
      <c r="U791">
        <v>-0.221388603116452</v>
      </c>
      <c r="V791" t="s">
        <v>980</v>
      </c>
      <c r="W791" t="s">
        <v>992</v>
      </c>
      <c r="X791">
        <v>18972.049476</v>
      </c>
      <c r="Y791" s="2">
        <v>44862</v>
      </c>
      <c r="Z791" t="s">
        <v>1000</v>
      </c>
    </row>
    <row r="792" spans="1:26">
      <c r="A792" s="1" t="s">
        <v>816</v>
      </c>
      <c r="B792">
        <f>HYPERLINK("https://www.suredividend.com/sure-analysis-NMFC/","New Mountain Finance Corp")</f>
        <v>0</v>
      </c>
      <c r="C792" t="s">
        <v>870</v>
      </c>
      <c r="D792">
        <v>13.33</v>
      </c>
      <c r="E792">
        <v>12.34</v>
      </c>
      <c r="F792">
        <v>12.2</v>
      </c>
      <c r="G792">
        <v>1.011475409836066</v>
      </c>
      <c r="H792">
        <v>0.0972447325769854</v>
      </c>
      <c r="I792">
        <v>-0.002279411534647169</v>
      </c>
      <c r="J792">
        <v>0</v>
      </c>
      <c r="K792">
        <v>0.08081470703985771</v>
      </c>
      <c r="L792" t="s">
        <v>637</v>
      </c>
      <c r="M792" t="s">
        <v>568</v>
      </c>
      <c r="N792">
        <v>10.11475409836066</v>
      </c>
      <c r="O792">
        <v>1.22</v>
      </c>
      <c r="P792">
        <v>1.2</v>
      </c>
      <c r="Q792">
        <v>0.9836065573770492</v>
      </c>
      <c r="R792">
        <v>0</v>
      </c>
      <c r="S792">
        <v>0</v>
      </c>
      <c r="T792" t="s">
        <v>887</v>
      </c>
      <c r="U792">
        <v>-0.018383435021597</v>
      </c>
      <c r="V792" t="s">
        <v>981</v>
      </c>
      <c r="W792" t="s">
        <v>986</v>
      </c>
      <c r="X792">
        <v>1242.846892</v>
      </c>
      <c r="Y792" s="2">
        <v>44787</v>
      </c>
      <c r="Z792" t="s">
        <v>1000</v>
      </c>
    </row>
    <row r="793" spans="1:26">
      <c r="A793" s="1" t="s">
        <v>817</v>
      </c>
      <c r="B793">
        <f>HYPERLINK("https://www.suredividend.com/sure-analysis-VOD/","Vodafone Group plc")</f>
        <v>0</v>
      </c>
      <c r="C793" t="s">
        <v>870</v>
      </c>
      <c r="D793">
        <v>12</v>
      </c>
      <c r="E793">
        <v>12.08</v>
      </c>
      <c r="F793">
        <v>12</v>
      </c>
      <c r="G793">
        <v>1.006666666666667</v>
      </c>
      <c r="H793">
        <v>0.07533112582781457</v>
      </c>
      <c r="I793">
        <v>-0.001328025935786625</v>
      </c>
      <c r="J793">
        <v>0.02</v>
      </c>
      <c r="K793">
        <v>0.08060154860759816</v>
      </c>
      <c r="L793" t="s">
        <v>637</v>
      </c>
      <c r="M793" t="s">
        <v>568</v>
      </c>
      <c r="N793">
        <v>12.08</v>
      </c>
      <c r="O793">
        <v>1</v>
      </c>
      <c r="P793">
        <v>0.91</v>
      </c>
      <c r="Q793">
        <v>0.91</v>
      </c>
      <c r="R793">
        <v>0</v>
      </c>
      <c r="S793">
        <v>0</v>
      </c>
      <c r="T793" t="s">
        <v>965</v>
      </c>
      <c r="U793">
        <v>-0.147897606636241</v>
      </c>
      <c r="V793" t="s">
        <v>978</v>
      </c>
      <c r="W793" t="s">
        <v>985</v>
      </c>
      <c r="X793">
        <v>33296.433675</v>
      </c>
      <c r="Y793" s="2">
        <v>44828</v>
      </c>
      <c r="Z793" t="s">
        <v>1001</v>
      </c>
    </row>
    <row r="794" spans="1:26">
      <c r="A794" s="1" t="s">
        <v>818</v>
      </c>
      <c r="B794">
        <f>HYPERLINK("https://www.suredividend.com/sure-analysis-ABR/","Arbor Realty Trust Inc.")</f>
        <v>0</v>
      </c>
      <c r="C794" t="s">
        <v>870</v>
      </c>
      <c r="D794">
        <v>15.5</v>
      </c>
      <c r="E794">
        <v>14.47</v>
      </c>
      <c r="F794">
        <v>12.8</v>
      </c>
      <c r="G794">
        <v>1.13046875</v>
      </c>
      <c r="H794">
        <v>0.1078092605390463</v>
      </c>
      <c r="I794">
        <v>-0.02422814395258865</v>
      </c>
      <c r="J794">
        <v>0.016</v>
      </c>
      <c r="K794">
        <v>0.08032772088801976</v>
      </c>
      <c r="L794" t="s">
        <v>637</v>
      </c>
      <c r="M794" t="s">
        <v>568</v>
      </c>
      <c r="N794">
        <v>11.76422764227642</v>
      </c>
      <c r="O794">
        <v>1.23</v>
      </c>
      <c r="P794">
        <v>1.56</v>
      </c>
      <c r="Q794">
        <v>1.268292682926829</v>
      </c>
      <c r="R794">
        <v>9</v>
      </c>
      <c r="S794">
        <v>-0.01588108586647574</v>
      </c>
      <c r="T794" t="s">
        <v>905</v>
      </c>
      <c r="U794">
        <v>-0.1966020765088</v>
      </c>
      <c r="V794" t="s">
        <v>980</v>
      </c>
      <c r="W794" t="s">
        <v>992</v>
      </c>
      <c r="X794">
        <v>2464.276365</v>
      </c>
      <c r="Y794" s="2">
        <v>44776</v>
      </c>
      <c r="Z794" t="s">
        <v>999</v>
      </c>
    </row>
    <row r="795" spans="1:26">
      <c r="A795" s="1" t="s">
        <v>819</v>
      </c>
      <c r="B795">
        <f>HYPERLINK("https://www.suredividend.com/sure-analysis-TSLX/","Sixth Street Specialty Lending Inc")</f>
        <v>0</v>
      </c>
      <c r="C795" t="s">
        <v>870</v>
      </c>
      <c r="D795">
        <v>18.68</v>
      </c>
      <c r="E795">
        <v>18.37</v>
      </c>
      <c r="F795">
        <v>18.72</v>
      </c>
      <c r="G795">
        <v>0.9813034188034189</v>
      </c>
      <c r="H795">
        <v>0.08709853021230267</v>
      </c>
      <c r="I795">
        <v>0.003781847571197705</v>
      </c>
      <c r="J795">
        <v>0</v>
      </c>
      <c r="K795">
        <v>0.0797348430212188</v>
      </c>
      <c r="L795" t="s">
        <v>637</v>
      </c>
      <c r="M795" t="s">
        <v>568</v>
      </c>
      <c r="N795">
        <v>9.324873096446701</v>
      </c>
      <c r="O795">
        <v>1.97</v>
      </c>
      <c r="P795">
        <v>1.6</v>
      </c>
      <c r="Q795">
        <v>0.8121827411167514</v>
      </c>
      <c r="R795">
        <v>6</v>
      </c>
      <c r="S795">
        <v>0.009805797673485328</v>
      </c>
      <c r="T795" t="s">
        <v>883</v>
      </c>
      <c r="U795">
        <v>-0.132172450608943</v>
      </c>
      <c r="V795" t="s">
        <v>981</v>
      </c>
      <c r="W795" t="s">
        <v>986</v>
      </c>
      <c r="X795">
        <v>1487.663239</v>
      </c>
      <c r="Y795" s="2">
        <v>44776</v>
      </c>
      <c r="Z795" t="s">
        <v>1000</v>
      </c>
    </row>
    <row r="796" spans="1:26">
      <c r="A796" s="1" t="s">
        <v>820</v>
      </c>
      <c r="B796">
        <f>HYPERLINK("https://www.suredividend.com/sure-analysis-BKR/","Baker Hughes Co")</f>
        <v>0</v>
      </c>
      <c r="C796" t="s">
        <v>870</v>
      </c>
      <c r="D796">
        <v>25</v>
      </c>
      <c r="E796">
        <v>29.11</v>
      </c>
      <c r="F796">
        <v>17</v>
      </c>
      <c r="G796">
        <v>1.712352941176471</v>
      </c>
      <c r="H796">
        <v>0.02610786671246994</v>
      </c>
      <c r="I796">
        <v>-0.1019896478505031</v>
      </c>
      <c r="J796">
        <v>0.18</v>
      </c>
      <c r="K796">
        <v>0.07959438897706561</v>
      </c>
      <c r="L796" t="s">
        <v>637</v>
      </c>
      <c r="M796" t="s">
        <v>637</v>
      </c>
      <c r="N796">
        <v>29.11</v>
      </c>
      <c r="O796">
        <v>1</v>
      </c>
      <c r="P796">
        <v>0.76</v>
      </c>
      <c r="Q796">
        <v>0.76</v>
      </c>
      <c r="R796">
        <v>1</v>
      </c>
      <c r="S796">
        <v>0</v>
      </c>
      <c r="T796" t="s">
        <v>919</v>
      </c>
      <c r="U796">
        <v>0.197902949697129</v>
      </c>
      <c r="V796" t="s">
        <v>978</v>
      </c>
      <c r="W796" t="s">
        <v>991</v>
      </c>
      <c r="X796">
        <v>29152.720351</v>
      </c>
      <c r="Y796" s="2">
        <v>44853</v>
      </c>
      <c r="Z796" t="s">
        <v>996</v>
      </c>
    </row>
    <row r="797" spans="1:26">
      <c r="A797" s="1" t="s">
        <v>821</v>
      </c>
      <c r="B797">
        <f>HYPERLINK("https://www.suredividend.com/sure-analysis-PINE/","Alpine Income Property Trust Inc")</f>
        <v>0</v>
      </c>
      <c r="C797" t="s">
        <v>869</v>
      </c>
      <c r="D797">
        <v>17.05</v>
      </c>
      <c r="E797">
        <v>18.46</v>
      </c>
      <c r="F797">
        <v>17.5</v>
      </c>
      <c r="G797">
        <v>1.054857142857143</v>
      </c>
      <c r="H797">
        <v>0.05958829902491874</v>
      </c>
      <c r="I797">
        <v>-0.01062422955576392</v>
      </c>
      <c r="J797">
        <v>0.035</v>
      </c>
      <c r="K797">
        <v>0.0782106223553376</v>
      </c>
      <c r="L797" t="s">
        <v>637</v>
      </c>
      <c r="M797" t="s">
        <v>568</v>
      </c>
      <c r="N797">
        <v>10.54857142857143</v>
      </c>
      <c r="O797">
        <v>1.75</v>
      </c>
      <c r="P797">
        <v>1.1</v>
      </c>
      <c r="Q797">
        <v>0.6285714285714287</v>
      </c>
      <c r="R797">
        <v>4</v>
      </c>
      <c r="S797">
        <v>0.03556108556173765</v>
      </c>
      <c r="T797" t="s">
        <v>933</v>
      </c>
      <c r="U797">
        <v>0.054212567173214</v>
      </c>
      <c r="V797" t="s">
        <v>980</v>
      </c>
      <c r="W797" t="s">
        <v>992</v>
      </c>
      <c r="X797">
        <v>219.958949</v>
      </c>
      <c r="Y797" s="2">
        <v>44855</v>
      </c>
      <c r="Z797" t="s">
        <v>1000</v>
      </c>
    </row>
    <row r="798" spans="1:26">
      <c r="A798" s="1" t="s">
        <v>822</v>
      </c>
      <c r="B798">
        <f>HYPERLINK("https://www.suredividend.com/sure-analysis-GLAD/","Gladstone Capital Corp.")</f>
        <v>0</v>
      </c>
      <c r="C798" t="s">
        <v>870</v>
      </c>
      <c r="D798">
        <v>10.69</v>
      </c>
      <c r="E798">
        <v>9.539999999999999</v>
      </c>
      <c r="F798">
        <v>9.77</v>
      </c>
      <c r="G798">
        <v>0.9764585465711361</v>
      </c>
      <c r="H798">
        <v>0.0849056603773585</v>
      </c>
      <c r="I798">
        <v>0.004775964855628922</v>
      </c>
      <c r="J798">
        <v>0</v>
      </c>
      <c r="K798">
        <v>0.07694105568161169</v>
      </c>
      <c r="L798" t="s">
        <v>637</v>
      </c>
      <c r="M798" t="s">
        <v>568</v>
      </c>
      <c r="N798">
        <v>10.25806451612903</v>
      </c>
      <c r="O798">
        <v>0.93</v>
      </c>
      <c r="P798">
        <v>0.8100000000000001</v>
      </c>
      <c r="Q798">
        <v>0.8709677419354839</v>
      </c>
      <c r="R798">
        <v>1</v>
      </c>
      <c r="S798">
        <v>0</v>
      </c>
      <c r="T798" t="s">
        <v>878</v>
      </c>
      <c r="U798">
        <v>-0.125669037319451</v>
      </c>
      <c r="V798" t="s">
        <v>981</v>
      </c>
      <c r="W798" t="s">
        <v>986</v>
      </c>
      <c r="X798">
        <v>327.263699</v>
      </c>
      <c r="Y798" s="2">
        <v>44786</v>
      </c>
      <c r="Z798" t="s">
        <v>1001</v>
      </c>
    </row>
    <row r="799" spans="1:26">
      <c r="A799" s="1" t="s">
        <v>823</v>
      </c>
      <c r="B799">
        <f>HYPERLINK("https://www.suredividend.com/sure-analysis-NYMT/","New York Mortgage Trust Inc")</f>
        <v>0</v>
      </c>
      <c r="C799" t="s">
        <v>870</v>
      </c>
      <c r="D799">
        <v>3.06</v>
      </c>
      <c r="E799">
        <v>2.65</v>
      </c>
      <c r="F799">
        <v>2.1</v>
      </c>
      <c r="G799">
        <v>1.261904761904762</v>
      </c>
      <c r="H799">
        <v>0.1509433962264151</v>
      </c>
      <c r="I799">
        <v>-0.04545878689039562</v>
      </c>
      <c r="J799">
        <v>0</v>
      </c>
      <c r="K799">
        <v>0.07592615152835425</v>
      </c>
      <c r="L799" t="s">
        <v>637</v>
      </c>
      <c r="M799" t="s">
        <v>568</v>
      </c>
      <c r="N799">
        <v>8.833333333333334</v>
      </c>
      <c r="O799">
        <v>0.3</v>
      </c>
      <c r="P799">
        <v>0.4</v>
      </c>
      <c r="Q799">
        <v>1.333333333333333</v>
      </c>
      <c r="R799">
        <v>1</v>
      </c>
      <c r="S799">
        <v>-0.04970085067101349</v>
      </c>
      <c r="T799" t="s">
        <v>938</v>
      </c>
      <c r="U799">
        <v>-0.296073952079902</v>
      </c>
      <c r="V799" t="s">
        <v>980</v>
      </c>
      <c r="W799" t="s">
        <v>992</v>
      </c>
      <c r="X799">
        <v>1010.309932</v>
      </c>
      <c r="Y799" s="2">
        <v>44789</v>
      </c>
      <c r="Z799" t="s">
        <v>1001</v>
      </c>
    </row>
    <row r="800" spans="1:26">
      <c r="A800" s="1" t="s">
        <v>824</v>
      </c>
      <c r="B800">
        <f>HYPERLINK("https://www.suredividend.com/sure-analysis-LADR/","Ladder Capital Corp")</f>
        <v>0</v>
      </c>
      <c r="C800" t="s">
        <v>870</v>
      </c>
      <c r="D800">
        <v>11.6</v>
      </c>
      <c r="E800">
        <v>10.76</v>
      </c>
      <c r="F800">
        <v>9.9</v>
      </c>
      <c r="G800">
        <v>1.086868686868687</v>
      </c>
      <c r="H800">
        <v>0.08178438661710037</v>
      </c>
      <c r="I800">
        <v>-0.01652214656321005</v>
      </c>
      <c r="J800">
        <v>0.02</v>
      </c>
      <c r="K800">
        <v>0.07503224935239206</v>
      </c>
      <c r="L800" t="s">
        <v>637</v>
      </c>
      <c r="M800" t="s">
        <v>568</v>
      </c>
      <c r="N800">
        <v>9.781818181818181</v>
      </c>
      <c r="O800">
        <v>1.1</v>
      </c>
      <c r="P800">
        <v>0.88</v>
      </c>
      <c r="Q800">
        <v>0.7999999999999999</v>
      </c>
      <c r="R800">
        <v>1</v>
      </c>
      <c r="S800">
        <v>0.008929989071996269</v>
      </c>
      <c r="T800" t="s">
        <v>886</v>
      </c>
      <c r="U800">
        <v>-0.032200035977693</v>
      </c>
      <c r="V800" t="s">
        <v>980</v>
      </c>
      <c r="W800" t="s">
        <v>992</v>
      </c>
      <c r="X800">
        <v>1361.832395</v>
      </c>
      <c r="Y800" s="2">
        <v>44785</v>
      </c>
      <c r="Z800" t="s">
        <v>998</v>
      </c>
    </row>
    <row r="801" spans="1:26">
      <c r="A801" s="1" t="s">
        <v>825</v>
      </c>
      <c r="B801">
        <f>HYPERLINK("https://www.suredividend.com/sure-analysis-REG/","Regency Centers Corporation")</f>
        <v>0</v>
      </c>
      <c r="C801" t="s">
        <v>870</v>
      </c>
      <c r="D801">
        <v>63</v>
      </c>
      <c r="E801">
        <v>63.57</v>
      </c>
      <c r="F801">
        <v>63</v>
      </c>
      <c r="G801">
        <v>1.009047619047619</v>
      </c>
      <c r="H801">
        <v>0.0408997955010225</v>
      </c>
      <c r="I801">
        <v>-0.001799765387764718</v>
      </c>
      <c r="J801">
        <v>0.04</v>
      </c>
      <c r="K801">
        <v>0.07376386261705337</v>
      </c>
      <c r="L801" t="s">
        <v>637</v>
      </c>
      <c r="M801" t="s">
        <v>586</v>
      </c>
      <c r="N801">
        <v>16.13451776649746</v>
      </c>
      <c r="O801">
        <v>3.94</v>
      </c>
      <c r="P801">
        <v>2.6</v>
      </c>
      <c r="Q801">
        <v>0.6598984771573604</v>
      </c>
      <c r="R801">
        <v>10</v>
      </c>
      <c r="S801">
        <v>0.02696731173773692</v>
      </c>
      <c r="T801" t="s">
        <v>883</v>
      </c>
      <c r="U801">
        <v>-0.106345830246475</v>
      </c>
      <c r="V801" t="s">
        <v>980</v>
      </c>
      <c r="W801" t="s">
        <v>992</v>
      </c>
      <c r="X801">
        <v>10957.073509</v>
      </c>
      <c r="Y801" s="2">
        <v>44778</v>
      </c>
      <c r="Z801" t="s">
        <v>1000</v>
      </c>
    </row>
    <row r="802" spans="1:26">
      <c r="A802" s="1" t="s">
        <v>826</v>
      </c>
      <c r="B802">
        <f>HYPERLINK("https://www.suredividend.com/sure-analysis-SSREY/","Swiss Re Ltd")</f>
        <v>0</v>
      </c>
      <c r="C802" t="s">
        <v>870</v>
      </c>
      <c r="D802">
        <v>18.98</v>
      </c>
      <c r="E802">
        <v>18.94</v>
      </c>
      <c r="F802">
        <v>12</v>
      </c>
      <c r="G802">
        <v>1.578333333333333</v>
      </c>
      <c r="H802">
        <v>0.08130939809926083</v>
      </c>
      <c r="I802">
        <v>-0.08723231908322115</v>
      </c>
      <c r="J802">
        <v>0.1</v>
      </c>
      <c r="K802">
        <v>0.07369454147920562</v>
      </c>
      <c r="L802" t="s">
        <v>637</v>
      </c>
      <c r="M802" t="s">
        <v>586</v>
      </c>
      <c r="N802">
        <v>18.94</v>
      </c>
      <c r="O802">
        <v>1</v>
      </c>
      <c r="P802">
        <v>1.54</v>
      </c>
      <c r="Q802">
        <v>1.54</v>
      </c>
      <c r="R802">
        <v>0</v>
      </c>
      <c r="S802">
        <v>0</v>
      </c>
      <c r="T802" t="s">
        <v>972</v>
      </c>
      <c r="U802">
        <v>-0.241185897435897</v>
      </c>
      <c r="V802" t="s">
        <v>978</v>
      </c>
      <c r="W802" t="s">
        <v>986</v>
      </c>
      <c r="X802">
        <v>24053.595903</v>
      </c>
      <c r="Y802" s="2">
        <v>44864</v>
      </c>
      <c r="Z802" t="s">
        <v>1000</v>
      </c>
    </row>
    <row r="803" spans="1:26">
      <c r="A803" s="1" t="s">
        <v>827</v>
      </c>
      <c r="B803">
        <f>HYPERLINK("https://www.suredividend.com/sure-analysis-BHP/","BHP Group Limited")</f>
        <v>0</v>
      </c>
      <c r="C803" t="s">
        <v>870</v>
      </c>
      <c r="D803">
        <v>59</v>
      </c>
      <c r="E803">
        <v>53.04</v>
      </c>
      <c r="F803">
        <v>71</v>
      </c>
      <c r="G803">
        <v>0.7470422535211267</v>
      </c>
      <c r="H803">
        <v>0.07541478129713423</v>
      </c>
      <c r="I803">
        <v>0.06006126776585541</v>
      </c>
      <c r="J803">
        <v>-0.04</v>
      </c>
      <c r="K803">
        <v>0.07294321426484829</v>
      </c>
      <c r="L803" t="s">
        <v>637</v>
      </c>
      <c r="M803" t="s">
        <v>568</v>
      </c>
      <c r="N803">
        <v>10.4</v>
      </c>
      <c r="O803">
        <v>5.1</v>
      </c>
      <c r="P803">
        <v>4</v>
      </c>
      <c r="Q803">
        <v>0.7843137254901962</v>
      </c>
      <c r="R803">
        <v>1</v>
      </c>
      <c r="S803">
        <v>-0.043647500209963</v>
      </c>
      <c r="T803" t="s">
        <v>889</v>
      </c>
      <c r="U803">
        <v>0.11389491501931</v>
      </c>
      <c r="V803" t="s">
        <v>978</v>
      </c>
      <c r="W803" t="s">
        <v>989</v>
      </c>
      <c r="X803">
        <v>134345.561145</v>
      </c>
      <c r="Y803" s="2">
        <v>44797</v>
      </c>
      <c r="Z803" t="s">
        <v>996</v>
      </c>
    </row>
    <row r="804" spans="1:26">
      <c r="A804" s="1" t="s">
        <v>828</v>
      </c>
      <c r="B804">
        <f>HYPERLINK("https://www.suredividend.com/sure-analysis-HTGC/","Hercules Capital Inc")</f>
        <v>0</v>
      </c>
      <c r="C804" t="s">
        <v>870</v>
      </c>
      <c r="D804">
        <v>15.7</v>
      </c>
      <c r="E804">
        <v>14.74</v>
      </c>
      <c r="F804">
        <v>12.4</v>
      </c>
      <c r="G804">
        <v>1.188709677419355</v>
      </c>
      <c r="H804">
        <v>0.09226594301221168</v>
      </c>
      <c r="I804">
        <v>-0.03398284181398559</v>
      </c>
      <c r="J804">
        <v>0.017</v>
      </c>
      <c r="K804">
        <v>0.07182494368197712</v>
      </c>
      <c r="L804" t="s">
        <v>637</v>
      </c>
      <c r="M804" t="s">
        <v>568</v>
      </c>
      <c r="N804">
        <v>10.83823529411765</v>
      </c>
      <c r="O804">
        <v>1.36</v>
      </c>
      <c r="P804">
        <v>1.36</v>
      </c>
      <c r="Q804">
        <v>1</v>
      </c>
      <c r="R804">
        <v>0</v>
      </c>
      <c r="S804">
        <v>0.02649906461234819</v>
      </c>
      <c r="T804" t="s">
        <v>946</v>
      </c>
      <c r="U804">
        <v>-0.136734466784189</v>
      </c>
      <c r="V804" t="s">
        <v>981</v>
      </c>
      <c r="W804" t="s">
        <v>986</v>
      </c>
      <c r="X804">
        <v>1918.397793</v>
      </c>
      <c r="Y804" s="2">
        <v>44776</v>
      </c>
      <c r="Z804" t="s">
        <v>999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870</v>
      </c>
      <c r="D805">
        <v>11.19</v>
      </c>
      <c r="E805">
        <v>11.7815</v>
      </c>
      <c r="F805">
        <v>11.7</v>
      </c>
      <c r="G805">
        <v>1.006965811965812</v>
      </c>
      <c r="H805">
        <v>0.04668335950430761</v>
      </c>
      <c r="I805">
        <v>-0.001387369267913052</v>
      </c>
      <c r="J805">
        <v>0.03</v>
      </c>
      <c r="K805">
        <v>0.07069700403964174</v>
      </c>
      <c r="L805" t="s">
        <v>637</v>
      </c>
      <c r="M805" t="s">
        <v>586</v>
      </c>
      <c r="N805">
        <v>18.12538461538461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930</v>
      </c>
      <c r="U805">
        <v>-0.375434039282211</v>
      </c>
      <c r="V805" t="s">
        <v>978</v>
      </c>
      <c r="W805" t="s">
        <v>983</v>
      </c>
      <c r="X805">
        <v>73437.671076</v>
      </c>
      <c r="Y805" s="2">
        <v>44821</v>
      </c>
      <c r="Z805" t="s">
        <v>1000</v>
      </c>
    </row>
    <row r="806" spans="1:26">
      <c r="A806" s="1" t="s">
        <v>830</v>
      </c>
      <c r="B806">
        <f>HYPERLINK("https://www.suredividend.com/sure-analysis-LAMR/","Lamar Advertising Co")</f>
        <v>0</v>
      </c>
      <c r="C806" t="s">
        <v>870</v>
      </c>
      <c r="D806">
        <v>100.6</v>
      </c>
      <c r="E806">
        <v>88.76000000000001</v>
      </c>
      <c r="F806">
        <v>88.7</v>
      </c>
      <c r="G806">
        <v>1.000676437429538</v>
      </c>
      <c r="H806">
        <v>0.0540784136998648</v>
      </c>
      <c r="I806">
        <v>-0.0001352326050186869</v>
      </c>
      <c r="J806">
        <v>0.023</v>
      </c>
      <c r="K806">
        <v>0.06962649775483287</v>
      </c>
      <c r="L806" t="s">
        <v>637</v>
      </c>
      <c r="M806" t="s">
        <v>568</v>
      </c>
      <c r="N806">
        <v>12.01082543978349</v>
      </c>
      <c r="O806">
        <v>7.39</v>
      </c>
      <c r="P806">
        <v>4.8</v>
      </c>
      <c r="Q806">
        <v>0.6495263870094723</v>
      </c>
      <c r="R806">
        <v>2</v>
      </c>
      <c r="S806">
        <v>0.01219872924994259</v>
      </c>
      <c r="T806" t="s">
        <v>927</v>
      </c>
      <c r="U806">
        <v>-0.22470734361816</v>
      </c>
      <c r="V806" t="s">
        <v>980</v>
      </c>
      <c r="W806" t="s">
        <v>992</v>
      </c>
      <c r="X806">
        <v>7732.284529</v>
      </c>
      <c r="Y806" s="2">
        <v>44780</v>
      </c>
      <c r="Z806" t="s">
        <v>999</v>
      </c>
    </row>
    <row r="807" spans="1:26">
      <c r="A807" s="1" t="s">
        <v>831</v>
      </c>
      <c r="B807">
        <f>HYPERLINK("https://www.suredividend.com/sure-analysis-GWRS/","Global Water Resources Inc")</f>
        <v>0</v>
      </c>
      <c r="C807" t="s">
        <v>871</v>
      </c>
      <c r="D807">
        <v>14.54</v>
      </c>
      <c r="E807">
        <v>12.67</v>
      </c>
      <c r="F807">
        <v>12</v>
      </c>
      <c r="G807">
        <v>1.055833333333333</v>
      </c>
      <c r="H807">
        <v>0.02367797947908445</v>
      </c>
      <c r="I807">
        <v>-0.01080724643139075</v>
      </c>
      <c r="J807">
        <v>0.06</v>
      </c>
      <c r="K807">
        <v>0.06851746990866459</v>
      </c>
      <c r="L807" t="s">
        <v>637</v>
      </c>
      <c r="M807" t="s">
        <v>637</v>
      </c>
      <c r="N807">
        <v>31.675</v>
      </c>
      <c r="O807">
        <v>0.4</v>
      </c>
      <c r="P807">
        <v>0.3</v>
      </c>
      <c r="Q807">
        <v>0.7499999999999999</v>
      </c>
      <c r="R807">
        <v>7</v>
      </c>
      <c r="S807">
        <v>0.01924487649145656</v>
      </c>
      <c r="T807" t="s">
        <v>914</v>
      </c>
      <c r="U807">
        <v>-0.319589068314976</v>
      </c>
      <c r="V807" t="s">
        <v>978</v>
      </c>
      <c r="W807" t="s">
        <v>987</v>
      </c>
      <c r="X807">
        <v>302.389936</v>
      </c>
      <c r="Y807" s="2">
        <v>44787</v>
      </c>
      <c r="Z807" t="s">
        <v>1000</v>
      </c>
    </row>
    <row r="808" spans="1:26">
      <c r="A808" s="1" t="s">
        <v>832</v>
      </c>
      <c r="B808">
        <f>HYPERLINK("https://www.suredividend.com/sure-analysis-TEF/","Telefonica S.A")</f>
        <v>0</v>
      </c>
      <c r="C808" t="s">
        <v>870</v>
      </c>
      <c r="D808">
        <v>3.5</v>
      </c>
      <c r="E808">
        <v>3.65</v>
      </c>
      <c r="F808">
        <v>3.15</v>
      </c>
      <c r="G808">
        <v>1.158730158730159</v>
      </c>
      <c r="H808">
        <v>0.08767123287671233</v>
      </c>
      <c r="I808">
        <v>-0.02903508379117115</v>
      </c>
      <c r="J808">
        <v>0.02</v>
      </c>
      <c r="K808">
        <v>0.06826125738001698</v>
      </c>
      <c r="L808" t="s">
        <v>637</v>
      </c>
      <c r="M808" t="s">
        <v>568</v>
      </c>
      <c r="N808">
        <v>10.42857142857143</v>
      </c>
      <c r="O808">
        <v>0.35</v>
      </c>
      <c r="P808">
        <v>0.32</v>
      </c>
      <c r="Q808">
        <v>0.9142857142857144</v>
      </c>
      <c r="R808">
        <v>0</v>
      </c>
      <c r="S808">
        <v>0</v>
      </c>
      <c r="T808" t="s">
        <v>977</v>
      </c>
      <c r="U808">
        <v>-0.075317305499961</v>
      </c>
      <c r="V808" t="s">
        <v>978</v>
      </c>
      <c r="W808" t="s">
        <v>985</v>
      </c>
      <c r="X808">
        <v>21079.617072</v>
      </c>
      <c r="Y808" s="2">
        <v>44827</v>
      </c>
      <c r="Z808" t="s">
        <v>994</v>
      </c>
    </row>
    <row r="809" spans="1:26">
      <c r="A809" s="1" t="s">
        <v>833</v>
      </c>
      <c r="B809">
        <f>HYPERLINK("https://www.suredividend.com/sure-analysis-SCCO/","Southern Copper Corporation")</f>
        <v>0</v>
      </c>
      <c r="C809" t="s">
        <v>870</v>
      </c>
      <c r="D809">
        <v>48</v>
      </c>
      <c r="E809">
        <v>53.7</v>
      </c>
      <c r="F809">
        <v>50</v>
      </c>
      <c r="G809">
        <v>1.074</v>
      </c>
      <c r="H809">
        <v>0.03724394785847299</v>
      </c>
      <c r="I809">
        <v>-0.01417655198162282</v>
      </c>
      <c r="J809">
        <v>0.04</v>
      </c>
      <c r="K809">
        <v>0.06766786984232631</v>
      </c>
      <c r="L809" t="s">
        <v>637</v>
      </c>
      <c r="M809" t="s">
        <v>586</v>
      </c>
      <c r="N809">
        <v>19.17857142857143</v>
      </c>
      <c r="O809">
        <v>2.8</v>
      </c>
      <c r="P809">
        <v>2</v>
      </c>
      <c r="Q809">
        <v>0.7142857142857143</v>
      </c>
      <c r="R809">
        <v>0</v>
      </c>
      <c r="S809">
        <v>0.1060113903828752</v>
      </c>
      <c r="T809" t="s">
        <v>898</v>
      </c>
      <c r="U809">
        <v>-0.022596762010501</v>
      </c>
      <c r="V809" t="s">
        <v>978</v>
      </c>
      <c r="W809" t="s">
        <v>989</v>
      </c>
      <c r="X809">
        <v>41515.387785</v>
      </c>
      <c r="Y809" s="2">
        <v>44783</v>
      </c>
      <c r="Z809" t="s">
        <v>998</v>
      </c>
    </row>
    <row r="810" spans="1:26">
      <c r="A810" s="1" t="s">
        <v>834</v>
      </c>
      <c r="B810">
        <f>HYPERLINK("https://www.suredividend.com/sure-analysis-ARCC/","Ares Capital Corp")</f>
        <v>0</v>
      </c>
      <c r="C810" t="s">
        <v>870</v>
      </c>
      <c r="D810">
        <v>19.4</v>
      </c>
      <c r="E810">
        <v>19.39</v>
      </c>
      <c r="F810">
        <v>16.7</v>
      </c>
      <c r="G810">
        <v>1.161077844311377</v>
      </c>
      <c r="H810">
        <v>0.08870551830840639</v>
      </c>
      <c r="I810">
        <v>-0.02942805765591505</v>
      </c>
      <c r="J810">
        <v>0.015</v>
      </c>
      <c r="K810">
        <v>0.06757248916969738</v>
      </c>
      <c r="L810" t="s">
        <v>637</v>
      </c>
      <c r="M810" t="s">
        <v>568</v>
      </c>
      <c r="N810">
        <v>10.4247311827957</v>
      </c>
      <c r="O810">
        <v>1.86</v>
      </c>
      <c r="P810">
        <v>1.72</v>
      </c>
      <c r="Q810">
        <v>0.9247311827956989</v>
      </c>
      <c r="R810">
        <v>2</v>
      </c>
      <c r="S810">
        <v>0.01136655597111669</v>
      </c>
      <c r="T810" t="s">
        <v>883</v>
      </c>
      <c r="U810">
        <v>-0.049891710194921</v>
      </c>
      <c r="V810" t="s">
        <v>981</v>
      </c>
      <c r="W810" t="s">
        <v>986</v>
      </c>
      <c r="X810">
        <v>9855.147691</v>
      </c>
      <c r="Y810" s="2">
        <v>44773</v>
      </c>
      <c r="Z810" t="s">
        <v>999</v>
      </c>
    </row>
    <row r="811" spans="1:26">
      <c r="A811" s="1" t="s">
        <v>835</v>
      </c>
      <c r="B811">
        <f>HYPERLINK("https://www.suredividend.com/sure-analysis-SHLX/","Shell Midstream Partners L.P.")</f>
        <v>0</v>
      </c>
      <c r="C811" t="s">
        <v>871</v>
      </c>
      <c r="D811">
        <v>15.8</v>
      </c>
      <c r="E811">
        <v>15.82</v>
      </c>
      <c r="F811">
        <v>14.4</v>
      </c>
      <c r="G811">
        <v>1.098611111111111</v>
      </c>
      <c r="H811">
        <v>0.07585335018963336</v>
      </c>
      <c r="I811">
        <v>-0.01863355920903254</v>
      </c>
      <c r="J811">
        <v>0.02</v>
      </c>
      <c r="K811">
        <v>0.06719215265606504</v>
      </c>
      <c r="L811" t="s">
        <v>637</v>
      </c>
      <c r="M811" t="s">
        <v>568</v>
      </c>
      <c r="N811">
        <v>7.91</v>
      </c>
      <c r="O811">
        <v>2</v>
      </c>
      <c r="P811">
        <v>1.2</v>
      </c>
      <c r="Q811">
        <v>0.6</v>
      </c>
      <c r="R811">
        <v>0</v>
      </c>
      <c r="S811">
        <v>0</v>
      </c>
      <c r="T811" t="s">
        <v>932</v>
      </c>
      <c r="U811">
        <v>0.463080793134063</v>
      </c>
      <c r="V811" t="s">
        <v>979</v>
      </c>
      <c r="W811" t="s">
        <v>991</v>
      </c>
      <c r="X811">
        <v>6221.840475</v>
      </c>
      <c r="Y811" s="2">
        <v>44789</v>
      </c>
      <c r="Z811" t="s">
        <v>996</v>
      </c>
    </row>
    <row r="812" spans="1:26">
      <c r="A812" s="1" t="s">
        <v>836</v>
      </c>
      <c r="B812">
        <f>HYPERLINK("https://www.suredividend.com/sure-analysis-PSEC/","Prospect Capital Corp")</f>
        <v>0</v>
      </c>
      <c r="C812" t="s">
        <v>870</v>
      </c>
      <c r="D812">
        <v>7.75</v>
      </c>
      <c r="E812">
        <v>7.28</v>
      </c>
      <c r="F812">
        <v>6.8</v>
      </c>
      <c r="G812">
        <v>1.070588235294118</v>
      </c>
      <c r="H812">
        <v>0.0989010989010989</v>
      </c>
      <c r="I812">
        <v>-0.01354902436510141</v>
      </c>
      <c r="J812">
        <v>-0.01</v>
      </c>
      <c r="K812">
        <v>0.06696808344683469</v>
      </c>
      <c r="L812" t="s">
        <v>637</v>
      </c>
      <c r="M812" t="s">
        <v>568</v>
      </c>
      <c r="N812">
        <v>9.1</v>
      </c>
      <c r="O812">
        <v>0.8</v>
      </c>
      <c r="P812">
        <v>0.72</v>
      </c>
      <c r="Q812">
        <v>0.8999999999999999</v>
      </c>
      <c r="R812">
        <v>0</v>
      </c>
      <c r="S812">
        <v>0</v>
      </c>
      <c r="T812" t="s">
        <v>945</v>
      </c>
      <c r="U812">
        <v>-0.033290397970972</v>
      </c>
      <c r="V812" t="s">
        <v>981</v>
      </c>
      <c r="W812" t="s">
        <v>986</v>
      </c>
      <c r="X812">
        <v>2874.118877</v>
      </c>
      <c r="Y812" s="2">
        <v>44803</v>
      </c>
      <c r="Z812" t="s">
        <v>1001</v>
      </c>
    </row>
    <row r="813" spans="1:26">
      <c r="A813" s="1" t="s">
        <v>837</v>
      </c>
      <c r="B813">
        <f>HYPERLINK("https://www.suredividend.com/sure-analysis-FDUS/","Fidus Investment Corp")</f>
        <v>0</v>
      </c>
      <c r="C813" t="s">
        <v>870</v>
      </c>
      <c r="D813">
        <v>20</v>
      </c>
      <c r="E813">
        <v>20.09</v>
      </c>
      <c r="F813">
        <v>20</v>
      </c>
      <c r="G813">
        <v>1.0045</v>
      </c>
      <c r="H813">
        <v>0.07167745146839223</v>
      </c>
      <c r="I813">
        <v>-0.0008975779902402614</v>
      </c>
      <c r="J813">
        <v>0</v>
      </c>
      <c r="K813">
        <v>0.06247273349586902</v>
      </c>
      <c r="L813" t="s">
        <v>637</v>
      </c>
      <c r="M813" t="s">
        <v>568</v>
      </c>
      <c r="N813">
        <v>11.81764705882353</v>
      </c>
      <c r="O813">
        <v>1.7</v>
      </c>
      <c r="P813">
        <v>1.44</v>
      </c>
      <c r="Q813">
        <v>0.8470588235294118</v>
      </c>
      <c r="R813">
        <v>1</v>
      </c>
      <c r="S813">
        <v>0</v>
      </c>
      <c r="T813" t="s">
        <v>901</v>
      </c>
      <c r="U813">
        <v>0.18988391376451</v>
      </c>
      <c r="V813" t="s">
        <v>981</v>
      </c>
      <c r="W813" t="s">
        <v>986</v>
      </c>
      <c r="X813">
        <v>490.947366</v>
      </c>
      <c r="Y813" s="2">
        <v>44778</v>
      </c>
      <c r="Z813" t="s">
        <v>1000</v>
      </c>
    </row>
    <row r="814" spans="1:26">
      <c r="A814" s="1" t="s">
        <v>838</v>
      </c>
      <c r="B814">
        <f>HYPERLINK("https://www.suredividend.com/sure-analysis-PXD/","Pioneer Natural Resources Co.")</f>
        <v>0</v>
      </c>
      <c r="C814" t="s">
        <v>870</v>
      </c>
      <c r="D814">
        <v>257</v>
      </c>
      <c r="E814">
        <v>255.06</v>
      </c>
      <c r="F814">
        <v>450</v>
      </c>
      <c r="G814">
        <v>0.5668</v>
      </c>
      <c r="H814">
        <v>0.08233356857210068</v>
      </c>
      <c r="I814">
        <v>0.1202476245672937</v>
      </c>
      <c r="J814">
        <v>-0.1</v>
      </c>
      <c r="K814">
        <v>0.06110887204377669</v>
      </c>
      <c r="L814" t="s">
        <v>637</v>
      </c>
      <c r="M814" t="s">
        <v>568</v>
      </c>
      <c r="N814">
        <v>8.502000000000001</v>
      </c>
      <c r="O814">
        <v>30</v>
      </c>
      <c r="P814">
        <v>21</v>
      </c>
      <c r="Q814">
        <v>0.7</v>
      </c>
      <c r="R814">
        <v>5</v>
      </c>
      <c r="S814">
        <v>-0.1000042096183491</v>
      </c>
      <c r="T814" t="s">
        <v>894</v>
      </c>
      <c r="U814">
        <v>0.5084105152287011</v>
      </c>
      <c r="V814" t="s">
        <v>978</v>
      </c>
      <c r="W814" t="s">
        <v>991</v>
      </c>
      <c r="X814">
        <v>61714.058714</v>
      </c>
      <c r="Y814" s="2">
        <v>44800</v>
      </c>
      <c r="Z814" t="s">
        <v>1006</v>
      </c>
    </row>
    <row r="815" spans="1:26">
      <c r="A815" s="1" t="s">
        <v>839</v>
      </c>
      <c r="B815">
        <f>HYPERLINK("https://www.suredividend.com/sure-analysis-DRI/","Darden Restaurants, Inc.")</f>
        <v>0</v>
      </c>
      <c r="C815" t="s">
        <v>870</v>
      </c>
      <c r="D815">
        <v>122</v>
      </c>
      <c r="E815">
        <v>141.34</v>
      </c>
      <c r="F815">
        <v>131</v>
      </c>
      <c r="G815">
        <v>1.078931297709924</v>
      </c>
      <c r="H815">
        <v>0.03424366775152116</v>
      </c>
      <c r="I815">
        <v>-0.0150793529366674</v>
      </c>
      <c r="J815">
        <v>0.04</v>
      </c>
      <c r="K815">
        <v>0.06100506523997518</v>
      </c>
      <c r="L815" t="s">
        <v>637</v>
      </c>
      <c r="M815" t="s">
        <v>586</v>
      </c>
      <c r="N815">
        <v>18.35584415584416</v>
      </c>
      <c r="O815">
        <v>7.7</v>
      </c>
      <c r="P815">
        <v>4.84</v>
      </c>
      <c r="Q815">
        <v>0.6285714285714286</v>
      </c>
      <c r="R815">
        <v>2</v>
      </c>
      <c r="S815">
        <v>0.07995298158320563</v>
      </c>
      <c r="T815" t="s">
        <v>885</v>
      </c>
      <c r="U815">
        <v>0.002658812245859</v>
      </c>
      <c r="V815" t="s">
        <v>978</v>
      </c>
      <c r="W815" t="s">
        <v>983</v>
      </c>
      <c r="X815">
        <v>17298.186919</v>
      </c>
      <c r="Y815" s="2">
        <v>44828</v>
      </c>
      <c r="Z815" t="s">
        <v>997</v>
      </c>
    </row>
    <row r="816" spans="1:26">
      <c r="A816" s="1" t="s">
        <v>840</v>
      </c>
      <c r="B816">
        <f>HYPERLINK("https://www.suredividend.com/sure-analysis-SCM/","Stellus Capital Investment Corp")</f>
        <v>0</v>
      </c>
      <c r="C816" t="s">
        <v>870</v>
      </c>
      <c r="D816">
        <v>14</v>
      </c>
      <c r="E816">
        <v>13.68</v>
      </c>
      <c r="F816">
        <v>12</v>
      </c>
      <c r="G816">
        <v>1.14</v>
      </c>
      <c r="H816">
        <v>0.08187134502923978</v>
      </c>
      <c r="I816">
        <v>-0.02586526421769075</v>
      </c>
      <c r="J816">
        <v>0.01</v>
      </c>
      <c r="K816">
        <v>0.0588998432951382</v>
      </c>
      <c r="L816" t="s">
        <v>637</v>
      </c>
      <c r="M816" t="s">
        <v>568</v>
      </c>
      <c r="N816">
        <v>11.49579831932773</v>
      </c>
      <c r="O816">
        <v>1.19</v>
      </c>
      <c r="P816">
        <v>1.12</v>
      </c>
      <c r="Q816">
        <v>0.9411764705882354</v>
      </c>
      <c r="R816">
        <v>1</v>
      </c>
      <c r="S816">
        <v>0</v>
      </c>
      <c r="T816" t="s">
        <v>911</v>
      </c>
      <c r="U816">
        <v>0.044521986118852</v>
      </c>
      <c r="V816" t="s">
        <v>981</v>
      </c>
      <c r="W816" t="s">
        <v>986</v>
      </c>
      <c r="X816">
        <v>267.388391</v>
      </c>
      <c r="Y816" s="2">
        <v>44801</v>
      </c>
      <c r="Z816" t="s">
        <v>1001</v>
      </c>
    </row>
    <row r="817" spans="1:26">
      <c r="A817" s="1" t="s">
        <v>841</v>
      </c>
      <c r="B817">
        <f>HYPERLINK("https://www.suredividend.com/sure-analysis-LXP/","LXP Industrial Trust")</f>
        <v>0</v>
      </c>
      <c r="C817" t="s">
        <v>870</v>
      </c>
      <c r="D817">
        <v>11</v>
      </c>
      <c r="E817">
        <v>10.11</v>
      </c>
      <c r="F817">
        <v>9</v>
      </c>
      <c r="G817">
        <v>1.123333333333333</v>
      </c>
      <c r="H817">
        <v>0.04945598417408507</v>
      </c>
      <c r="I817">
        <v>-0.02299166048768841</v>
      </c>
      <c r="J817">
        <v>0.04</v>
      </c>
      <c r="K817">
        <v>0.05875000587869983</v>
      </c>
      <c r="L817" t="s">
        <v>637</v>
      </c>
      <c r="M817" t="s">
        <v>586</v>
      </c>
      <c r="N817">
        <v>15.31818181818182</v>
      </c>
      <c r="O817">
        <v>0.66</v>
      </c>
      <c r="P817">
        <v>0.5</v>
      </c>
      <c r="Q817">
        <v>0.7575757575757576</v>
      </c>
      <c r="R817">
        <v>4</v>
      </c>
      <c r="S817">
        <v>0</v>
      </c>
      <c r="T817" t="s">
        <v>886</v>
      </c>
      <c r="U817">
        <v>-0.27130408458927</v>
      </c>
      <c r="V817" t="s">
        <v>980</v>
      </c>
      <c r="W817" t="s">
        <v>992</v>
      </c>
      <c r="X817">
        <v>2829.738339</v>
      </c>
      <c r="Y817" s="2">
        <v>44777</v>
      </c>
      <c r="Z817" t="s">
        <v>998</v>
      </c>
    </row>
    <row r="818" spans="1:26">
      <c r="A818" s="1" t="s">
        <v>842</v>
      </c>
      <c r="B818">
        <f>HYPERLINK("https://www.suredividend.com/sure-analysis-CQP/","Cheniere Energy Partners LP")</f>
        <v>0</v>
      </c>
      <c r="C818" t="s">
        <v>870</v>
      </c>
      <c r="D818">
        <v>52</v>
      </c>
      <c r="E818">
        <v>57.41</v>
      </c>
      <c r="F818">
        <v>64</v>
      </c>
      <c r="G818">
        <v>0.8970312499999999</v>
      </c>
      <c r="H818">
        <v>0.07315798641351681</v>
      </c>
      <c r="I818">
        <v>0.02197079580098271</v>
      </c>
      <c r="J818">
        <v>-0.03</v>
      </c>
      <c r="K818">
        <v>0.04925468657464971</v>
      </c>
      <c r="L818" t="s">
        <v>637</v>
      </c>
      <c r="M818" t="s">
        <v>586</v>
      </c>
      <c r="N818">
        <v>13.66904761904762</v>
      </c>
      <c r="O818">
        <v>4.2</v>
      </c>
      <c r="P818">
        <v>4.2</v>
      </c>
      <c r="Q818">
        <v>1</v>
      </c>
      <c r="R818">
        <v>5</v>
      </c>
      <c r="S818">
        <v>-0.0499929808059546</v>
      </c>
      <c r="T818" t="s">
        <v>920</v>
      </c>
      <c r="U818">
        <v>0.379862326225315</v>
      </c>
      <c r="V818" t="s">
        <v>979</v>
      </c>
      <c r="W818" t="s">
        <v>991</v>
      </c>
      <c r="X818">
        <v>27788.255476</v>
      </c>
      <c r="Y818" s="2">
        <v>44796</v>
      </c>
      <c r="Z818" t="s">
        <v>996</v>
      </c>
    </row>
    <row r="819" spans="1:26">
      <c r="A819" s="1" t="s">
        <v>843</v>
      </c>
      <c r="B819">
        <f>HYPERLINK("https://www.suredividend.com/sure-analysis-LAND/","Gladstone Land Corp")</f>
        <v>0</v>
      </c>
      <c r="C819" t="s">
        <v>871</v>
      </c>
      <c r="D819">
        <v>24</v>
      </c>
      <c r="E819">
        <v>19.89</v>
      </c>
      <c r="F819">
        <v>16</v>
      </c>
      <c r="G819">
        <v>1.243125</v>
      </c>
      <c r="H819">
        <v>0.02765208647561589</v>
      </c>
      <c r="I819">
        <v>-0.04259202683676822</v>
      </c>
      <c r="J819">
        <v>0.07000000000000001</v>
      </c>
      <c r="K819">
        <v>0.04912953036273215</v>
      </c>
      <c r="L819" t="s">
        <v>637</v>
      </c>
      <c r="M819" t="s">
        <v>637</v>
      </c>
      <c r="N819">
        <v>28.01408450704226</v>
      </c>
      <c r="O819">
        <v>0.71</v>
      </c>
      <c r="P819">
        <v>0.55</v>
      </c>
      <c r="Q819">
        <v>0.7746478873239437</v>
      </c>
      <c r="R819">
        <v>9</v>
      </c>
      <c r="S819">
        <v>0.01067857840444453</v>
      </c>
      <c r="T819" t="s">
        <v>878</v>
      </c>
      <c r="U819">
        <v>-0.167472406042417</v>
      </c>
      <c r="V819" t="s">
        <v>980</v>
      </c>
      <c r="W819" t="s">
        <v>992</v>
      </c>
      <c r="X819">
        <v>680.437159</v>
      </c>
      <c r="Y819" s="2">
        <v>44801</v>
      </c>
      <c r="Z819" t="s">
        <v>1001</v>
      </c>
    </row>
    <row r="820" spans="1:26">
      <c r="A820" s="1" t="s">
        <v>844</v>
      </c>
      <c r="B820">
        <f>HYPERLINK("https://www.suredividend.com/sure-analysis-EVA/","Enviva Inc")</f>
        <v>0</v>
      </c>
      <c r="C820" t="s">
        <v>871</v>
      </c>
      <c r="D820">
        <v>67</v>
      </c>
      <c r="E820">
        <v>60.17</v>
      </c>
      <c r="F820">
        <v>42</v>
      </c>
      <c r="G820">
        <v>1.432619047619048</v>
      </c>
      <c r="H820">
        <v>0.06016287186305468</v>
      </c>
      <c r="I820">
        <v>-0.06937684137553279</v>
      </c>
      <c r="J820">
        <v>0.055</v>
      </c>
      <c r="K820">
        <v>0.0475299817604371</v>
      </c>
      <c r="L820" t="s">
        <v>637</v>
      </c>
      <c r="M820" t="s">
        <v>586</v>
      </c>
      <c r="N820">
        <v>21.64388489208633</v>
      </c>
      <c r="O820">
        <v>2.78</v>
      </c>
      <c r="P820">
        <v>3.62</v>
      </c>
      <c r="Q820">
        <v>1.302158273381295</v>
      </c>
      <c r="R820">
        <v>6</v>
      </c>
      <c r="S820">
        <v>0.0499936702849284</v>
      </c>
      <c r="T820" t="s">
        <v>905</v>
      </c>
      <c r="U820">
        <v>-0.152123214801558</v>
      </c>
      <c r="V820" t="s">
        <v>978</v>
      </c>
      <c r="W820" t="s">
        <v>989</v>
      </c>
      <c r="X820">
        <v>4019.622433</v>
      </c>
      <c r="Y820" s="2">
        <v>44777</v>
      </c>
      <c r="Z820" t="s">
        <v>998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871</v>
      </c>
      <c r="D821">
        <v>15</v>
      </c>
      <c r="E821">
        <v>13.94</v>
      </c>
      <c r="F821">
        <v>11</v>
      </c>
      <c r="G821">
        <v>1.267272727272727</v>
      </c>
      <c r="H821">
        <v>0.06456241032998565</v>
      </c>
      <c r="I821">
        <v>-0.04626881741949151</v>
      </c>
      <c r="J821">
        <v>0.03</v>
      </c>
      <c r="K821">
        <v>0.04676030767166051</v>
      </c>
      <c r="L821" t="s">
        <v>637</v>
      </c>
      <c r="M821" t="s">
        <v>586</v>
      </c>
      <c r="N821">
        <v>15.15217391304348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878</v>
      </c>
      <c r="U821">
        <v>-0.064109191736768</v>
      </c>
      <c r="V821" t="s">
        <v>981</v>
      </c>
      <c r="W821" t="s">
        <v>986</v>
      </c>
      <c r="X821">
        <v>463.291202</v>
      </c>
      <c r="Y821" s="2">
        <v>44798</v>
      </c>
      <c r="Z821" t="s">
        <v>994</v>
      </c>
    </row>
    <row r="822" spans="1:26">
      <c r="A822" s="1" t="s">
        <v>846</v>
      </c>
      <c r="B822">
        <f>HYPERLINK("https://www.suredividend.com/sure-analysis-JJSF/","J&amp;J Snack Foods Corp.")</f>
        <v>0</v>
      </c>
      <c r="C822" t="s">
        <v>870</v>
      </c>
      <c r="D822">
        <v>142</v>
      </c>
      <c r="E822">
        <v>146.96</v>
      </c>
      <c r="F822">
        <v>81</v>
      </c>
      <c r="G822">
        <v>1.814320987654321</v>
      </c>
      <c r="H822">
        <v>0.01728361458900381</v>
      </c>
      <c r="I822">
        <v>-0.112318487348638</v>
      </c>
      <c r="J822">
        <v>0.16</v>
      </c>
      <c r="K822">
        <v>0.04647448096712115</v>
      </c>
      <c r="L822" t="s">
        <v>637</v>
      </c>
      <c r="M822" t="s">
        <v>637</v>
      </c>
      <c r="N822">
        <v>52.48571428571429</v>
      </c>
      <c r="O822">
        <v>2.8</v>
      </c>
      <c r="P822">
        <v>2.54</v>
      </c>
      <c r="Q822">
        <v>0.9071428571428573</v>
      </c>
      <c r="R822">
        <v>19</v>
      </c>
      <c r="S822">
        <v>0.03997991656938082</v>
      </c>
      <c r="T822" t="s">
        <v>927</v>
      </c>
      <c r="U822">
        <v>-0.033259656878223</v>
      </c>
      <c r="V822" t="s">
        <v>978</v>
      </c>
      <c r="W822" t="s">
        <v>990</v>
      </c>
      <c r="X822">
        <v>2820.493207</v>
      </c>
      <c r="Y822" s="2">
        <v>44778</v>
      </c>
      <c r="Z822" t="s">
        <v>995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871</v>
      </c>
      <c r="D823">
        <v>15</v>
      </c>
      <c r="E823">
        <v>14.26</v>
      </c>
      <c r="F823">
        <v>6.5</v>
      </c>
      <c r="G823">
        <v>2.193846153846154</v>
      </c>
      <c r="H823">
        <v>0.07012622720897616</v>
      </c>
      <c r="I823">
        <v>-0.1454081116919824</v>
      </c>
      <c r="J823">
        <v>0.14</v>
      </c>
      <c r="K823">
        <v>0.04197929483606422</v>
      </c>
      <c r="L823" t="s">
        <v>637</v>
      </c>
      <c r="M823" t="s">
        <v>586</v>
      </c>
      <c r="N823">
        <v>21.93846153846154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886</v>
      </c>
      <c r="U823">
        <v>-0.199797985466176</v>
      </c>
      <c r="V823" t="s">
        <v>978</v>
      </c>
      <c r="W823" t="s">
        <v>982</v>
      </c>
      <c r="X823">
        <v>2218.893604</v>
      </c>
      <c r="Y823" s="2">
        <v>44866</v>
      </c>
      <c r="Z823" t="s">
        <v>1001</v>
      </c>
    </row>
    <row r="824" spans="1:26">
      <c r="A824" s="1" t="s">
        <v>848</v>
      </c>
      <c r="B824">
        <f>HYPERLINK("https://www.suredividend.com/sure-analysis-KHC/","Kraft Heinz Co")</f>
        <v>0</v>
      </c>
      <c r="C824" t="s">
        <v>870</v>
      </c>
      <c r="D824">
        <v>38</v>
      </c>
      <c r="E824">
        <v>38.02</v>
      </c>
      <c r="F824">
        <v>35</v>
      </c>
      <c r="G824">
        <v>1.086285714285714</v>
      </c>
      <c r="H824">
        <v>0.04208311415044713</v>
      </c>
      <c r="I824">
        <v>-0.01641660939566203</v>
      </c>
      <c r="J824">
        <v>0.02</v>
      </c>
      <c r="K824">
        <v>0.04172851591776672</v>
      </c>
      <c r="L824" t="s">
        <v>637</v>
      </c>
      <c r="M824" t="s">
        <v>586</v>
      </c>
      <c r="N824">
        <v>14.08148148148148</v>
      </c>
      <c r="O824">
        <v>2.7</v>
      </c>
      <c r="P824">
        <v>1.6</v>
      </c>
      <c r="Q824">
        <v>0.5925925925925926</v>
      </c>
      <c r="R824">
        <v>0</v>
      </c>
      <c r="S824">
        <v>0</v>
      </c>
      <c r="T824" t="s">
        <v>906</v>
      </c>
      <c r="U824">
        <v>0.06635702485829101</v>
      </c>
      <c r="V824" t="s">
        <v>978</v>
      </c>
      <c r="W824" t="s">
        <v>990</v>
      </c>
      <c r="X824">
        <v>46571.844835</v>
      </c>
      <c r="Y824" s="2">
        <v>44783</v>
      </c>
      <c r="Z824" t="s">
        <v>994</v>
      </c>
    </row>
    <row r="825" spans="1:26">
      <c r="A825" s="1" t="s">
        <v>849</v>
      </c>
      <c r="B825">
        <f>HYPERLINK("https://www.suredividend.com/sure-analysis-SJR/","Shaw Communications Inc.")</f>
        <v>0</v>
      </c>
      <c r="C825" t="s">
        <v>871</v>
      </c>
      <c r="D825">
        <v>30</v>
      </c>
      <c r="E825">
        <v>26.43</v>
      </c>
      <c r="F825">
        <v>22</v>
      </c>
      <c r="G825">
        <v>1.201363636363636</v>
      </c>
      <c r="H825">
        <v>0.03480892924706773</v>
      </c>
      <c r="I825">
        <v>-0.03602648137177322</v>
      </c>
      <c r="J825">
        <v>0.045</v>
      </c>
      <c r="K825">
        <v>0.04043827684739409</v>
      </c>
      <c r="L825" t="s">
        <v>637</v>
      </c>
      <c r="M825" t="s">
        <v>637</v>
      </c>
      <c r="N825">
        <v>21.31451612903226</v>
      </c>
      <c r="O825">
        <v>1.24</v>
      </c>
      <c r="P825">
        <v>0.92</v>
      </c>
      <c r="Q825">
        <v>0.7419354838709677</v>
      </c>
      <c r="R825">
        <v>0</v>
      </c>
      <c r="S825">
        <v>0.01477433184568522</v>
      </c>
      <c r="T825" t="s">
        <v>910</v>
      </c>
      <c r="U825">
        <v>-0.04712117388326</v>
      </c>
      <c r="V825" t="s">
        <v>978</v>
      </c>
      <c r="W825" t="s">
        <v>985</v>
      </c>
      <c r="X825">
        <v>12612.118696</v>
      </c>
      <c r="Y825" s="2">
        <v>44746</v>
      </c>
      <c r="Z825" t="s">
        <v>998</v>
      </c>
    </row>
    <row r="826" spans="1:26">
      <c r="A826" s="1" t="s">
        <v>850</v>
      </c>
      <c r="B826">
        <f>HYPERLINK("https://www.suredividend.com/sure-analysis-MU/","Micron Technology Inc.")</f>
        <v>0</v>
      </c>
      <c r="C826" t="s">
        <v>870</v>
      </c>
      <c r="D826">
        <v>53</v>
      </c>
      <c r="E826">
        <v>56.16</v>
      </c>
      <c r="F826">
        <v>54</v>
      </c>
      <c r="G826">
        <v>1.04</v>
      </c>
      <c r="H826">
        <v>0.008190883190883192</v>
      </c>
      <c r="I826">
        <v>-0.007813457628780496</v>
      </c>
      <c r="J826">
        <v>0.04</v>
      </c>
      <c r="K826">
        <v>0.04040442544295475</v>
      </c>
      <c r="L826" t="s">
        <v>637</v>
      </c>
      <c r="M826" t="s">
        <v>637</v>
      </c>
      <c r="N826">
        <v>85.09090909090908</v>
      </c>
      <c r="O826">
        <v>0.66</v>
      </c>
      <c r="P826">
        <v>0.46</v>
      </c>
      <c r="Q826">
        <v>0.696969696969697</v>
      </c>
      <c r="R826">
        <v>1</v>
      </c>
      <c r="S826">
        <v>0.06151655480544238</v>
      </c>
      <c r="T826" t="s">
        <v>902</v>
      </c>
      <c r="U826">
        <v>-0.217525424153886</v>
      </c>
      <c r="V826" t="s">
        <v>978</v>
      </c>
      <c r="W826" t="s">
        <v>982</v>
      </c>
      <c r="X826">
        <v>61055.387677</v>
      </c>
      <c r="Y826" s="2">
        <v>44851</v>
      </c>
      <c r="Z826" t="s">
        <v>1009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871</v>
      </c>
      <c r="D827">
        <v>54</v>
      </c>
      <c r="E827">
        <v>49.41</v>
      </c>
      <c r="F827">
        <v>41</v>
      </c>
      <c r="G827">
        <v>1.205121951219512</v>
      </c>
      <c r="H827">
        <v>0.04998988059097349</v>
      </c>
      <c r="I827">
        <v>-0.03662848581843647</v>
      </c>
      <c r="J827">
        <v>0.03</v>
      </c>
      <c r="K827">
        <v>0.03918706276874206</v>
      </c>
      <c r="L827" t="s">
        <v>637</v>
      </c>
      <c r="M827" t="s">
        <v>586</v>
      </c>
      <c r="N827">
        <v>13.14095744680851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883</v>
      </c>
      <c r="U827">
        <v>0.122811642154634</v>
      </c>
      <c r="V827" t="s">
        <v>980</v>
      </c>
      <c r="W827" t="s">
        <v>992</v>
      </c>
      <c r="X827">
        <v>14364.180568</v>
      </c>
      <c r="Y827" s="2">
        <v>44784</v>
      </c>
      <c r="Z827" t="s">
        <v>994</v>
      </c>
    </row>
    <row r="828" spans="1:26">
      <c r="A828" s="1" t="s">
        <v>852</v>
      </c>
      <c r="B828">
        <f>HYPERLINK("https://www.suredividend.com/sure-analysis-PETS/","Petmed Express, Inc.")</f>
        <v>0</v>
      </c>
      <c r="C828" t="s">
        <v>870</v>
      </c>
      <c r="D828">
        <v>22</v>
      </c>
      <c r="E828">
        <v>22.31</v>
      </c>
      <c r="F828">
        <v>16</v>
      </c>
      <c r="G828">
        <v>1.394375</v>
      </c>
      <c r="H828">
        <v>0.05378753922008069</v>
      </c>
      <c r="I828">
        <v>-0.0643270324884041</v>
      </c>
      <c r="J828">
        <v>0.05</v>
      </c>
      <c r="K828">
        <v>0.0371677433376667</v>
      </c>
      <c r="L828" t="s">
        <v>637</v>
      </c>
      <c r="M828" t="s">
        <v>568</v>
      </c>
      <c r="N828">
        <v>22.76530612244898</v>
      </c>
      <c r="O828">
        <v>0.98</v>
      </c>
      <c r="P828">
        <v>1.2</v>
      </c>
      <c r="Q828">
        <v>1.224489795918367</v>
      </c>
      <c r="R828">
        <v>13</v>
      </c>
      <c r="S828">
        <v>0.01924487649145656</v>
      </c>
      <c r="T828" t="s">
        <v>913</v>
      </c>
      <c r="U828">
        <v>-0.254494419568268</v>
      </c>
      <c r="V828" t="s">
        <v>978</v>
      </c>
      <c r="W828" t="s">
        <v>988</v>
      </c>
      <c r="X828">
        <v>468.258722</v>
      </c>
      <c r="Y828" s="2">
        <v>44773</v>
      </c>
      <c r="Z828" t="s">
        <v>997</v>
      </c>
    </row>
    <row r="829" spans="1:26">
      <c r="A829" s="1" t="s">
        <v>853</v>
      </c>
      <c r="B829">
        <f>HYPERLINK("https://www.suredividend.com/sure-analysis-PBA/","Pembina Pipeline Corporation")</f>
        <v>0</v>
      </c>
      <c r="C829" t="s">
        <v>871</v>
      </c>
      <c r="D829">
        <v>37</v>
      </c>
      <c r="E829">
        <v>34.08</v>
      </c>
      <c r="F829">
        <v>26</v>
      </c>
      <c r="G829">
        <v>1.310769230769231</v>
      </c>
      <c r="H829">
        <v>0.05868544600938967</v>
      </c>
      <c r="I829">
        <v>-0.0526842620781296</v>
      </c>
      <c r="J829">
        <v>0.03</v>
      </c>
      <c r="K829">
        <v>0.03327992729726348</v>
      </c>
      <c r="L829" t="s">
        <v>637</v>
      </c>
      <c r="M829" t="s">
        <v>586</v>
      </c>
      <c r="N829">
        <v>15.49090909090909</v>
      </c>
      <c r="O829">
        <v>2.2</v>
      </c>
      <c r="P829">
        <v>2</v>
      </c>
      <c r="Q829">
        <v>0.9090909090909091</v>
      </c>
      <c r="R829">
        <v>5</v>
      </c>
      <c r="S829">
        <v>0</v>
      </c>
      <c r="T829" t="s">
        <v>956</v>
      </c>
      <c r="U829">
        <v>0.106687536126463</v>
      </c>
      <c r="V829" t="s">
        <v>978</v>
      </c>
      <c r="W829" t="s">
        <v>991</v>
      </c>
      <c r="X829">
        <v>18813.93216</v>
      </c>
      <c r="Y829" s="2">
        <v>44802</v>
      </c>
      <c r="Z829" t="s">
        <v>996</v>
      </c>
    </row>
    <row r="830" spans="1:26">
      <c r="A830" s="1" t="s">
        <v>854</v>
      </c>
      <c r="B830">
        <f>HYPERLINK("https://www.suredividend.com/sure-analysis-PPRQF/","Choice Properties Real Estate Investment Trust")</f>
        <v>0</v>
      </c>
      <c r="C830" t="s">
        <v>871</v>
      </c>
      <c r="D830">
        <v>11</v>
      </c>
      <c r="E830">
        <v>9.5</v>
      </c>
      <c r="F830">
        <v>6</v>
      </c>
      <c r="G830">
        <v>1.583333333333333</v>
      </c>
      <c r="H830">
        <v>0.06105263157894737</v>
      </c>
      <c r="I830">
        <v>-0.08780953350850573</v>
      </c>
      <c r="J830">
        <v>0.058</v>
      </c>
      <c r="K830">
        <v>0.02643486637248316</v>
      </c>
      <c r="L830" t="s">
        <v>637</v>
      </c>
      <c r="M830" t="s">
        <v>586</v>
      </c>
      <c r="N830">
        <v>14.84375</v>
      </c>
      <c r="O830">
        <v>0.64</v>
      </c>
      <c r="P830">
        <v>0.58</v>
      </c>
      <c r="Q830">
        <v>0.9062499999999999</v>
      </c>
      <c r="R830">
        <v>2</v>
      </c>
      <c r="S830">
        <v>-0.003472306096024447</v>
      </c>
      <c r="T830" t="s">
        <v>911</v>
      </c>
      <c r="U830">
        <v>-0.218756424700454</v>
      </c>
      <c r="V830" t="s">
        <v>980</v>
      </c>
      <c r="W830" t="s">
        <v>992</v>
      </c>
      <c r="X830">
        <v>3113.705266</v>
      </c>
      <c r="Y830" s="2">
        <v>44767</v>
      </c>
      <c r="Z830" t="s">
        <v>999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871</v>
      </c>
      <c r="D831">
        <v>15</v>
      </c>
      <c r="E831">
        <v>13.85</v>
      </c>
      <c r="F831">
        <v>5</v>
      </c>
      <c r="G831">
        <v>2.77</v>
      </c>
      <c r="H831">
        <v>0.1357400722021661</v>
      </c>
      <c r="I831">
        <v>-0.1843496137407141</v>
      </c>
      <c r="J831">
        <v>0.12</v>
      </c>
      <c r="K831">
        <v>0.02591662938882155</v>
      </c>
      <c r="L831" t="s">
        <v>637</v>
      </c>
      <c r="M831" t="s">
        <v>568</v>
      </c>
      <c r="N831">
        <v>27.7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910</v>
      </c>
      <c r="U831">
        <v>-0.214799192688845</v>
      </c>
      <c r="V831" t="s">
        <v>980</v>
      </c>
      <c r="W831" t="s">
        <v>986</v>
      </c>
      <c r="X831">
        <v>1231.659323</v>
      </c>
      <c r="Y831" s="2">
        <v>44784</v>
      </c>
      <c r="Z831" t="s">
        <v>998</v>
      </c>
    </row>
    <row r="832" spans="1:26">
      <c r="A832" s="1" t="s">
        <v>856</v>
      </c>
      <c r="B832">
        <f>HYPERLINK("https://www.suredividend.com/sure-analysis-GIPR/","Generation Income Properties Inc")</f>
        <v>0</v>
      </c>
      <c r="C832" t="s">
        <v>871</v>
      </c>
      <c r="D832">
        <v>5.87</v>
      </c>
      <c r="E832">
        <v>5.05</v>
      </c>
      <c r="F832">
        <v>4</v>
      </c>
      <c r="G832">
        <v>1.2625</v>
      </c>
      <c r="H832">
        <v>0.1287128712871287</v>
      </c>
      <c r="I832">
        <v>-0.04554881247090037</v>
      </c>
      <c r="J832">
        <v>0</v>
      </c>
      <c r="K832">
        <v>0.02578107371426408</v>
      </c>
      <c r="L832" t="s">
        <v>637</v>
      </c>
      <c r="M832" t="s">
        <v>568</v>
      </c>
      <c r="N832">
        <v>20.2</v>
      </c>
      <c r="O832">
        <v>0.25</v>
      </c>
      <c r="P832">
        <v>0.65</v>
      </c>
      <c r="Q832">
        <v>2.6</v>
      </c>
      <c r="R832">
        <v>1</v>
      </c>
      <c r="S832">
        <v>-0.202260332878234</v>
      </c>
      <c r="T832" t="s">
        <v>910</v>
      </c>
      <c r="U832">
        <v>-0.205287591470611</v>
      </c>
      <c r="V832" t="s">
        <v>980</v>
      </c>
      <c r="W832" t="s">
        <v>992</v>
      </c>
      <c r="X832">
        <v>11.41804</v>
      </c>
      <c r="Y832" s="2">
        <v>44794</v>
      </c>
      <c r="Z832" t="s">
        <v>1000</v>
      </c>
    </row>
    <row r="833" spans="1:26">
      <c r="A833" s="1" t="s">
        <v>857</v>
      </c>
      <c r="B833">
        <f>HYPERLINK("https://www.suredividend.com/sure-analysis-KIM/","Kimco Realty Corp.")</f>
        <v>0</v>
      </c>
      <c r="C833" t="s">
        <v>871</v>
      </c>
      <c r="D833">
        <v>21.4</v>
      </c>
      <c r="E833">
        <v>21.42</v>
      </c>
      <c r="F833">
        <v>15.2</v>
      </c>
      <c r="G833">
        <v>1.40921052631579</v>
      </c>
      <c r="H833">
        <v>0.04295051353874883</v>
      </c>
      <c r="I833">
        <v>-0.06630544900241486</v>
      </c>
      <c r="J833">
        <v>0.048</v>
      </c>
      <c r="K833">
        <v>0.02219558896768925</v>
      </c>
      <c r="L833" t="s">
        <v>637</v>
      </c>
      <c r="M833" t="s">
        <v>586</v>
      </c>
      <c r="N833">
        <v>13.90909090909091</v>
      </c>
      <c r="O833">
        <v>1.54</v>
      </c>
      <c r="P833">
        <v>0.92</v>
      </c>
      <c r="Q833">
        <v>0.5974025974025974</v>
      </c>
      <c r="R833">
        <v>2</v>
      </c>
      <c r="S833">
        <v>0.006438300233088334</v>
      </c>
      <c r="T833" t="s">
        <v>901</v>
      </c>
      <c r="U833">
        <v>-0.05320108205590601</v>
      </c>
      <c r="V833" t="s">
        <v>980</v>
      </c>
      <c r="W833" t="s">
        <v>992</v>
      </c>
      <c r="X833">
        <v>13247.430957</v>
      </c>
      <c r="Y833" s="2">
        <v>44776</v>
      </c>
      <c r="Z833" t="s">
        <v>999</v>
      </c>
    </row>
    <row r="834" spans="1:26">
      <c r="A834" s="1" t="s">
        <v>858</v>
      </c>
      <c r="B834">
        <f>HYPERLINK("https://www.suredividend.com/sure-analysis-UBA/","Urstadt Biddle Properties, Inc.")</f>
        <v>0</v>
      </c>
      <c r="C834" t="s">
        <v>870</v>
      </c>
      <c r="D834">
        <v>16.7</v>
      </c>
      <c r="E834">
        <v>18.79</v>
      </c>
      <c r="F834">
        <v>15</v>
      </c>
      <c r="G834">
        <v>1.252666666666667</v>
      </c>
      <c r="H834">
        <v>0.05055880787653007</v>
      </c>
      <c r="I834">
        <v>-0.04405502246293924</v>
      </c>
      <c r="J834">
        <v>0</v>
      </c>
      <c r="K834">
        <v>0.01448843498345753</v>
      </c>
      <c r="L834" t="s">
        <v>637</v>
      </c>
      <c r="M834" t="s">
        <v>586</v>
      </c>
      <c r="N834">
        <v>12.52666666666667</v>
      </c>
      <c r="O834">
        <v>1.5</v>
      </c>
      <c r="P834">
        <v>0.95</v>
      </c>
      <c r="Q834">
        <v>0.6333333333333333</v>
      </c>
      <c r="R834">
        <v>1</v>
      </c>
      <c r="S834">
        <v>0.02975477857041309</v>
      </c>
      <c r="T834" t="s">
        <v>886</v>
      </c>
      <c r="U834">
        <v>-0.047387285991675</v>
      </c>
      <c r="V834" t="s">
        <v>980</v>
      </c>
      <c r="W834" t="s">
        <v>992</v>
      </c>
      <c r="X834">
        <v>755.023731</v>
      </c>
      <c r="Y834" s="2">
        <v>44816</v>
      </c>
      <c r="Z834" t="s">
        <v>999</v>
      </c>
    </row>
    <row r="835" spans="1:26">
      <c r="A835" s="1" t="s">
        <v>859</v>
      </c>
      <c r="B835">
        <f>HYPERLINK("https://www.suredividend.com/sure-analysis-EXC/","Exelon Corp.")</f>
        <v>0</v>
      </c>
      <c r="C835" t="s">
        <v>871</v>
      </c>
      <c r="D835">
        <v>46</v>
      </c>
      <c r="E835">
        <v>37.18</v>
      </c>
      <c r="F835">
        <v>27</v>
      </c>
      <c r="G835">
        <v>1.377037037037037</v>
      </c>
      <c r="H835">
        <v>0.0363098440021517</v>
      </c>
      <c r="I835">
        <v>-0.06198264053777192</v>
      </c>
      <c r="J835">
        <v>0.02</v>
      </c>
      <c r="K835">
        <v>-0.001107036766663683</v>
      </c>
      <c r="L835" t="s">
        <v>637</v>
      </c>
      <c r="M835" t="s">
        <v>586</v>
      </c>
      <c r="N835">
        <v>16.52444444444444</v>
      </c>
      <c r="O835">
        <v>2.25</v>
      </c>
      <c r="P835">
        <v>1.35</v>
      </c>
      <c r="Q835">
        <v>0.6000000000000001</v>
      </c>
      <c r="R835">
        <v>0</v>
      </c>
      <c r="S835">
        <v>0.01993031414988899</v>
      </c>
      <c r="T835" t="s">
        <v>905</v>
      </c>
      <c r="U835">
        <v>-0.007066439486601001</v>
      </c>
      <c r="V835" t="s">
        <v>978</v>
      </c>
      <c r="W835" t="s">
        <v>987</v>
      </c>
      <c r="X835">
        <v>36947.328675</v>
      </c>
      <c r="Y835" s="2">
        <v>44790</v>
      </c>
      <c r="Z835" t="s">
        <v>993</v>
      </c>
    </row>
    <row r="836" spans="1:26">
      <c r="A836" s="1" t="s">
        <v>860</v>
      </c>
      <c r="B836">
        <f>HYPERLINK("https://www.suredividend.com/sure-analysis-SJT/","San Juan Basin Royalty Trust")</f>
        <v>0</v>
      </c>
      <c r="C836" t="s">
        <v>871</v>
      </c>
      <c r="D836">
        <v>12</v>
      </c>
      <c r="E836">
        <v>10.69</v>
      </c>
      <c r="F836">
        <v>11</v>
      </c>
      <c r="G836">
        <v>0.9718181818181818</v>
      </c>
      <c r="H836">
        <v>0.1290926099158092</v>
      </c>
      <c r="I836">
        <v>0.005733684558661079</v>
      </c>
      <c r="J836">
        <v>-0.12</v>
      </c>
      <c r="K836">
        <v>-0.001865936936197965</v>
      </c>
      <c r="L836" t="s">
        <v>637</v>
      </c>
      <c r="M836" t="s">
        <v>568</v>
      </c>
      <c r="N836">
        <v>7.746376811594203</v>
      </c>
      <c r="O836">
        <v>1.38</v>
      </c>
      <c r="P836">
        <v>1.38</v>
      </c>
      <c r="Q836">
        <v>1</v>
      </c>
      <c r="R836">
        <v>2</v>
      </c>
      <c r="S836">
        <v>-0.1195823209255872</v>
      </c>
      <c r="T836" t="s">
        <v>911</v>
      </c>
      <c r="U836">
        <v>0.875965183209321</v>
      </c>
      <c r="V836" t="s">
        <v>978</v>
      </c>
      <c r="W836" t="s">
        <v>991</v>
      </c>
      <c r="X836">
        <v>498.248029</v>
      </c>
      <c r="Y836" s="2">
        <v>44809</v>
      </c>
      <c r="Z836" t="s">
        <v>996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51.12</v>
      </c>
      <c r="F837">
        <v>22</v>
      </c>
      <c r="G837">
        <v>2.323636363636364</v>
      </c>
      <c r="H837">
        <v>0.05477308294209703</v>
      </c>
      <c r="I837">
        <v>-0.1551757583798209</v>
      </c>
      <c r="J837">
        <v>0.07000000000000001</v>
      </c>
      <c r="K837">
        <v>-0.02110811791133704</v>
      </c>
      <c r="L837" t="s">
        <v>637</v>
      </c>
      <c r="M837" t="s">
        <v>586</v>
      </c>
      <c r="N837">
        <v>23.23636363636363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939</v>
      </c>
      <c r="U837">
        <v>-0.444312189586071</v>
      </c>
      <c r="V837" t="s">
        <v>978</v>
      </c>
      <c r="W837" t="s">
        <v>982</v>
      </c>
      <c r="X837">
        <v>10671.8112</v>
      </c>
      <c r="Y837" s="2">
        <v>44864</v>
      </c>
      <c r="Z837" t="s">
        <v>994</v>
      </c>
    </row>
    <row r="838" spans="1:26">
      <c r="A838" s="1" t="s">
        <v>862</v>
      </c>
      <c r="B838">
        <f>HYPERLINK("https://www.suredividend.com/sure-analysis-DVN/","Devon Energy Corp.")</f>
        <v>0</v>
      </c>
      <c r="C838" t="s">
        <v>871</v>
      </c>
      <c r="D838">
        <v>70</v>
      </c>
      <c r="E838">
        <v>71.48</v>
      </c>
      <c r="F838">
        <v>77</v>
      </c>
      <c r="G838">
        <v>0.9283116883116883</v>
      </c>
      <c r="H838">
        <v>0.06729155008393956</v>
      </c>
      <c r="I838">
        <v>0.01498876788817016</v>
      </c>
      <c r="J838">
        <v>-0.1</v>
      </c>
      <c r="K838">
        <v>-0.0243389235893916</v>
      </c>
      <c r="L838" t="s">
        <v>637</v>
      </c>
      <c r="M838" t="s">
        <v>568</v>
      </c>
      <c r="N838">
        <v>13.87961165048544</v>
      </c>
      <c r="O838">
        <v>5.15</v>
      </c>
      <c r="P838">
        <v>4.81</v>
      </c>
      <c r="Q838">
        <v>0.9339805825242717</v>
      </c>
      <c r="R838">
        <v>5</v>
      </c>
      <c r="S838">
        <v>-0.1000162815107036</v>
      </c>
      <c r="T838" t="s">
        <v>933</v>
      </c>
      <c r="U838">
        <v>0.782121442551016</v>
      </c>
      <c r="V838" t="s">
        <v>978</v>
      </c>
      <c r="W838" t="s">
        <v>991</v>
      </c>
      <c r="X838">
        <v>46726.476</v>
      </c>
      <c r="Y838" s="2">
        <v>44803</v>
      </c>
      <c r="Z838" t="s">
        <v>1006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20.44</v>
      </c>
      <c r="F839">
        <v>18</v>
      </c>
      <c r="G839">
        <v>1.135555555555556</v>
      </c>
      <c r="H839">
        <v>0.09540117416829745</v>
      </c>
      <c r="I839">
        <v>-0.02510392312712495</v>
      </c>
      <c r="J839">
        <v>-0.1</v>
      </c>
      <c r="K839">
        <v>-0.02716368367739641</v>
      </c>
      <c r="L839" t="s">
        <v>637</v>
      </c>
      <c r="M839" t="s">
        <v>568</v>
      </c>
      <c r="N839">
        <v>10.48205128205128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911</v>
      </c>
      <c r="U839">
        <v>0.6270905805465561</v>
      </c>
      <c r="V839" t="s">
        <v>978</v>
      </c>
      <c r="W839" t="s">
        <v>991</v>
      </c>
      <c r="X839">
        <v>122.64</v>
      </c>
      <c r="Y839" s="2">
        <v>44803</v>
      </c>
      <c r="Z839" t="s">
        <v>996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10.98</v>
      </c>
      <c r="F840">
        <v>4</v>
      </c>
      <c r="G840">
        <v>2.745</v>
      </c>
      <c r="H840">
        <v>0.05191256830601092</v>
      </c>
      <c r="I840">
        <v>-0.182869294766802</v>
      </c>
      <c r="J840">
        <v>0.05</v>
      </c>
      <c r="K840">
        <v>-0.05826926228252605</v>
      </c>
      <c r="L840" t="s">
        <v>637</v>
      </c>
      <c r="M840" t="s">
        <v>586</v>
      </c>
      <c r="N840">
        <v>27.45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935</v>
      </c>
      <c r="U840">
        <v>-0.5376958897880471</v>
      </c>
      <c r="V840" t="s">
        <v>978</v>
      </c>
      <c r="W840" t="s">
        <v>983</v>
      </c>
      <c r="X840">
        <v>3993.391973</v>
      </c>
      <c r="Y840" s="2">
        <v>44808</v>
      </c>
      <c r="Z840" t="s">
        <v>997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85.73</v>
      </c>
      <c r="F841">
        <v>78</v>
      </c>
      <c r="G841">
        <v>1.099102564102564</v>
      </c>
      <c r="H841">
        <v>0.09098331972471713</v>
      </c>
      <c r="I841">
        <v>-0.0187213365964084</v>
      </c>
      <c r="J841">
        <v>-0.14</v>
      </c>
      <c r="K841">
        <v>-0.06254663836530072</v>
      </c>
      <c r="L841" t="s">
        <v>637</v>
      </c>
      <c r="M841" t="s">
        <v>568</v>
      </c>
      <c r="N841">
        <v>10.99102564102564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914</v>
      </c>
      <c r="U841">
        <v>1.271878055825712</v>
      </c>
      <c r="V841" t="s">
        <v>978</v>
      </c>
      <c r="W841" t="s">
        <v>991</v>
      </c>
      <c r="X841">
        <v>1249.887247</v>
      </c>
      <c r="Y841" s="2">
        <v>44803</v>
      </c>
      <c r="Z841" t="s">
        <v>996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50.62</v>
      </c>
      <c r="F842">
        <v>29</v>
      </c>
      <c r="G842">
        <v>1.74551724137931</v>
      </c>
      <c r="H842">
        <v>0.01975503753457132</v>
      </c>
      <c r="I842">
        <v>-0.1054282662678421</v>
      </c>
      <c r="J842">
        <v>0</v>
      </c>
      <c r="K842">
        <v>-0.07651179002512554</v>
      </c>
      <c r="L842" t="s">
        <v>637</v>
      </c>
      <c r="M842" t="s">
        <v>637</v>
      </c>
      <c r="N842">
        <v>30.31137724550898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900</v>
      </c>
      <c r="U842">
        <v>0.5525321425066241</v>
      </c>
      <c r="V842" t="s">
        <v>978</v>
      </c>
      <c r="W842" t="s">
        <v>991</v>
      </c>
      <c r="X842">
        <v>5329.780661</v>
      </c>
      <c r="Y842" s="2">
        <v>44795</v>
      </c>
      <c r="Z842" t="s">
        <v>996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10.28</v>
      </c>
      <c r="F843">
        <v>2.7</v>
      </c>
      <c r="G843">
        <v>3.807407407407407</v>
      </c>
      <c r="H843">
        <v>0.05252918287937744</v>
      </c>
      <c r="I843">
        <v>-0.2346252512108274</v>
      </c>
      <c r="J843">
        <v>0.003</v>
      </c>
      <c r="K843">
        <v>-0.1175683723621127</v>
      </c>
      <c r="L843" t="s">
        <v>637</v>
      </c>
      <c r="M843" t="s">
        <v>586</v>
      </c>
      <c r="N843">
        <v>17.72413793103448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911</v>
      </c>
      <c r="U843">
        <v>-0.485000901749393</v>
      </c>
      <c r="V843" t="s">
        <v>980</v>
      </c>
      <c r="W843" t="s">
        <v>992</v>
      </c>
      <c r="X843">
        <v>343.580288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21.58</v>
      </c>
      <c r="F844">
        <v>12</v>
      </c>
      <c r="G844">
        <v>1.798333333333333</v>
      </c>
      <c r="H844">
        <v>0.0417052826691381</v>
      </c>
      <c r="I844">
        <v>-0.1107457261251329</v>
      </c>
      <c r="J844">
        <v>-0.1</v>
      </c>
      <c r="K844">
        <v>-0.1358706555424378</v>
      </c>
      <c r="L844" t="s">
        <v>637</v>
      </c>
      <c r="M844" t="s">
        <v>586</v>
      </c>
      <c r="N844">
        <v>23.97777777777777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911</v>
      </c>
      <c r="U844">
        <v>1.830869331374375</v>
      </c>
      <c r="V844" t="s">
        <v>978</v>
      </c>
      <c r="W844" t="s">
        <v>991</v>
      </c>
      <c r="X844">
        <v>1005.817818</v>
      </c>
      <c r="Y844" s="2">
        <v>44803</v>
      </c>
      <c r="Z844" t="s">
        <v>996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989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985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983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990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986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988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984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987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563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776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799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768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767</v>
      </c>
      <c r="B243" t="s">
        <v>10254</v>
      </c>
    </row>
    <row r="244" spans="1:2">
      <c r="A244" s="1" t="s">
        <v>745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813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708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823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715</v>
      </c>
      <c r="B272" t="s">
        <v>10257</v>
      </c>
    </row>
    <row r="273" spans="1:2">
      <c r="A273" s="1" t="s">
        <v>579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727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712</v>
      </c>
      <c r="B293" t="s">
        <v>10258</v>
      </c>
    </row>
    <row r="294" spans="1:2">
      <c r="A294" s="1" t="s">
        <v>534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578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750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574</v>
      </c>
      <c r="B329" t="s">
        <v>10255</v>
      </c>
    </row>
    <row r="330" spans="1:2">
      <c r="A330" s="1" t="s">
        <v>701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836</v>
      </c>
      <c r="B341" t="s">
        <v>10312</v>
      </c>
    </row>
    <row r="342" spans="1:2">
      <c r="A342" s="1" t="s">
        <v>716</v>
      </c>
      <c r="B342" t="s">
        <v>10313</v>
      </c>
    </row>
    <row r="343" spans="1:2">
      <c r="A343" s="1" t="s">
        <v>710</v>
      </c>
      <c r="B343" t="s">
        <v>10279</v>
      </c>
    </row>
    <row r="344" spans="1:2">
      <c r="A344" s="1" t="s">
        <v>759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441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279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601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742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748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709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837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730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863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749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790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816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754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792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702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514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665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840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641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732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486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794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835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766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566</v>
      </c>
      <c r="B561" t="s">
        <v>10291</v>
      </c>
    </row>
    <row r="562" spans="1:2">
      <c r="A562" s="1" t="s">
        <v>834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770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791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769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855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765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818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740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530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558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822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588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432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851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747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805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824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783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405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370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802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844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819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741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596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537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779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763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623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554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798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812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778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655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248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808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787</v>
      </c>
      <c r="B1079" t="s">
        <v>10378</v>
      </c>
    </row>
    <row r="1080" spans="1:2">
      <c r="A1080" s="1" t="s">
        <v>404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726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459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648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575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260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637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371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620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832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434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723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603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842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849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238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535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782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608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239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827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728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379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772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555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592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845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355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464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636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857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333</v>
      </c>
      <c r="B1530" t="s">
        <v>10272</v>
      </c>
    </row>
    <row r="1531" spans="1:2">
      <c r="A1531" s="1" t="s">
        <v>440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418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705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481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217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621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616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549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140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751</v>
      </c>
      <c r="B1604" t="s">
        <v>10401</v>
      </c>
    </row>
    <row r="1605" spans="1:2">
      <c r="A1605" s="1" t="s">
        <v>384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700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215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781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753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811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626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771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650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559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722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684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848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707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186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624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460</v>
      </c>
      <c r="B1751" t="s">
        <v>10246</v>
      </c>
    </row>
    <row r="1752" spans="1:2">
      <c r="A1752" s="1" t="s">
        <v>674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853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232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685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208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618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539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806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593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780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852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509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858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817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644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724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444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586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550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419</v>
      </c>
      <c r="B2021" t="s">
        <v>10254</v>
      </c>
    </row>
    <row r="2022" spans="1:2">
      <c r="A2022" s="1" t="s">
        <v>810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789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718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739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785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234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589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392</v>
      </c>
      <c r="B2075" t="s">
        <v>10304</v>
      </c>
    </row>
    <row r="2076" spans="1:2">
      <c r="A2076" s="1" t="s">
        <v>830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468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613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861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635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758</v>
      </c>
      <c r="B2120" t="s">
        <v>10264</v>
      </c>
    </row>
    <row r="2121" spans="1:2">
      <c r="A2121" s="1" t="s">
        <v>773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669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797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659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793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395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269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675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367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843</v>
      </c>
      <c r="B2230" t="s">
        <v>10248</v>
      </c>
    </row>
    <row r="2231" spans="1:2">
      <c r="A2231" s="1" t="s">
        <v>233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483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775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48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680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729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594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734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214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706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551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634</v>
      </c>
      <c r="B2332" t="s">
        <v>10336</v>
      </c>
    </row>
    <row r="2333" spans="1:2">
      <c r="A2333" s="1" t="s">
        <v>225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670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237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473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192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725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200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420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536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583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445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841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505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647</v>
      </c>
      <c r="B2409" t="s">
        <v>10276</v>
      </c>
    </row>
    <row r="2410" spans="1:2">
      <c r="A2410" s="1" t="s">
        <v>541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226</v>
      </c>
      <c r="B2413" t="s">
        <v>10264</v>
      </c>
    </row>
    <row r="2414" spans="1:2">
      <c r="A2414" s="1" t="s">
        <v>525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495</v>
      </c>
      <c r="B2417" t="s">
        <v>10401</v>
      </c>
    </row>
    <row r="2418" spans="1:2">
      <c r="A2418" s="1" t="s">
        <v>569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381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456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471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267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619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335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570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833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430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752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733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795</v>
      </c>
      <c r="B2497" t="s">
        <v>10291</v>
      </c>
    </row>
    <row r="2498" spans="1:2">
      <c r="A2498" s="1" t="s">
        <v>607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762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204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580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190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697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639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143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124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755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409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383</v>
      </c>
      <c r="B2556" t="s">
        <v>10325</v>
      </c>
    </row>
    <row r="2557" spans="1:2">
      <c r="A2557" s="1" t="s">
        <v>399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502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721</v>
      </c>
      <c r="B2574" t="s">
        <v>10238</v>
      </c>
    </row>
    <row r="2575" spans="1:2">
      <c r="A2575" s="1" t="s">
        <v>507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614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865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213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595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714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408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191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668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662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764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658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602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479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599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453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543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484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308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241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429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746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415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351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372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691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329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284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317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300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692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36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809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597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786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562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345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117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90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227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449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482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667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322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254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493</v>
      </c>
      <c r="B2885" t="s">
        <v>10389</v>
      </c>
    </row>
    <row r="2886" spans="1:2">
      <c r="A2886" s="1" t="s">
        <v>103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116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585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800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230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57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446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229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146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425</v>
      </c>
      <c r="B2959" t="s">
        <v>10384</v>
      </c>
    </row>
    <row r="2960" spans="1:2">
      <c r="A2960" s="1" t="s">
        <v>497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132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247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510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642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242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307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664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461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323</v>
      </c>
      <c r="B3034" t="s">
        <v>10301</v>
      </c>
    </row>
    <row r="3035" spans="1:2">
      <c r="A3035" s="1" t="s">
        <v>51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631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656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774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738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451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643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325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443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546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470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839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584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604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472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683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253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756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677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478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205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859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110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552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511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421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663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454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498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276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167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542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35</v>
      </c>
      <c r="B3252" t="s">
        <v>10380</v>
      </c>
    </row>
    <row r="3253" spans="1:2">
      <c r="A3253" s="1" t="s">
        <v>394</v>
      </c>
      <c r="B3253" t="s">
        <v>10367</v>
      </c>
    </row>
    <row r="3254" spans="1:2">
      <c r="A3254" s="1" t="s">
        <v>160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581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52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547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731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70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262</v>
      </c>
      <c r="B3297" t="s">
        <v>10330</v>
      </c>
    </row>
    <row r="3298" spans="1:2">
      <c r="A3298" s="1" t="s">
        <v>413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448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240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474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737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627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564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338</v>
      </c>
      <c r="B3337" t="s">
        <v>10378</v>
      </c>
    </row>
    <row r="3338" spans="1:2">
      <c r="A3338" s="1" t="s">
        <v>315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298</v>
      </c>
      <c r="B3346" t="s">
        <v>10281</v>
      </c>
    </row>
    <row r="3347" spans="1:2">
      <c r="A3347" s="1" t="s">
        <v>148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27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164</v>
      </c>
      <c r="B3372" t="s">
        <v>10291</v>
      </c>
    </row>
    <row r="3373" spans="1:2">
      <c r="A3373" s="1" t="s">
        <v>463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282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587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615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402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465</v>
      </c>
      <c r="B3402" t="s">
        <v>10336</v>
      </c>
    </row>
    <row r="3403" spans="1:2">
      <c r="A3403" s="1" t="s">
        <v>622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676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149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272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303</v>
      </c>
      <c r="B3427" t="s">
        <v>10350</v>
      </c>
    </row>
    <row r="3428" spans="1:2">
      <c r="A3428" s="1" t="s">
        <v>50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86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138</v>
      </c>
      <c r="B3435" t="s">
        <v>10291</v>
      </c>
    </row>
    <row r="3436" spans="1:2">
      <c r="A3436" s="1" t="s">
        <v>720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488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847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30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553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126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212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321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106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280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277</v>
      </c>
      <c r="B3508" t="s">
        <v>10245</v>
      </c>
    </row>
    <row r="3509" spans="1:2">
      <c r="A3509" s="1" t="s">
        <v>393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369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711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788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289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100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719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400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46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568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114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435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628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600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387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313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312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390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184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286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207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698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673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252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331</v>
      </c>
      <c r="B3622" t="s">
        <v>10444</v>
      </c>
    </row>
    <row r="3623" spans="1:2">
      <c r="A3623" s="1" t="s">
        <v>76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274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176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349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128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258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314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223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467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264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344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508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255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661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406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40</v>
      </c>
      <c r="B3768" t="s">
        <v>10253</v>
      </c>
    </row>
    <row r="3769" spans="1:2">
      <c r="A3769" s="1" t="s">
        <v>287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645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231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309</v>
      </c>
      <c r="B3800" t="s">
        <v>10243</v>
      </c>
    </row>
    <row r="3801" spans="1:2">
      <c r="A3801" s="1" t="s">
        <v>336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151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137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304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423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155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688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591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572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567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735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152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334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130</v>
      </c>
      <c r="B3884" t="s">
        <v>10243</v>
      </c>
    </row>
    <row r="3885" spans="1:2">
      <c r="A3885" s="1" t="s">
        <v>477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506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629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499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285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831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175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189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801</v>
      </c>
      <c r="B3935" t="s">
        <v>10291</v>
      </c>
    </row>
    <row r="3936" spans="1:2">
      <c r="A3936" s="1" t="s">
        <v>388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81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120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173</v>
      </c>
      <c r="B3971" t="s">
        <v>10291</v>
      </c>
    </row>
    <row r="3972" spans="1:2">
      <c r="A3972" s="1" t="s">
        <v>416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660</v>
      </c>
      <c r="B3982" t="s">
        <v>10474</v>
      </c>
    </row>
    <row r="3983" spans="1:2">
      <c r="A3983" s="1" t="s">
        <v>545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606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350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301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439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485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458</v>
      </c>
      <c r="B4038" t="s">
        <v>10302</v>
      </c>
    </row>
    <row r="4039" spans="1:2">
      <c r="A4039" s="1" t="s">
        <v>337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273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180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95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385</v>
      </c>
      <c r="B4077" t="s">
        <v>10243</v>
      </c>
    </row>
    <row r="4078" spans="1:2">
      <c r="A4078" s="1" t="s">
        <v>491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142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796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92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450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41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694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356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283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59</v>
      </c>
      <c r="B4170" t="s">
        <v>10300</v>
      </c>
    </row>
    <row r="4171" spans="1:2">
      <c r="A4171" s="1" t="s">
        <v>261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139</v>
      </c>
      <c r="B4178" t="s">
        <v>10346</v>
      </c>
    </row>
    <row r="4179" spans="1:2">
      <c r="A4179" s="1" t="s">
        <v>220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598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107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306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686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576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330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67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447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374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145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178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97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398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91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829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442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342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43</v>
      </c>
      <c r="B4313" t="s">
        <v>10300</v>
      </c>
    </row>
    <row r="4314" spans="1:2">
      <c r="A4314" s="1" t="s">
        <v>181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352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512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346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503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270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452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250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55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199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182</v>
      </c>
      <c r="B4380" t="s">
        <v>10292</v>
      </c>
    </row>
    <row r="4381" spans="1:2">
      <c r="A4381" s="1" t="s">
        <v>389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436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687</v>
      </c>
      <c r="B4402" t="s">
        <v>10253</v>
      </c>
    </row>
    <row r="4403" spans="1:2">
      <c r="A4403" s="1" t="s">
        <v>171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168</v>
      </c>
      <c r="B4417" t="s">
        <v>10301</v>
      </c>
    </row>
    <row r="4418" spans="1:2">
      <c r="A4418" s="1" t="s">
        <v>34</v>
      </c>
      <c r="B4418" t="s">
        <v>10253</v>
      </c>
    </row>
    <row r="4419" spans="1:2">
      <c r="A4419" s="1" t="s">
        <v>153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64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713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66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414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610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744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141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457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65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251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290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590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32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84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696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63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500</v>
      </c>
      <c r="B4570" t="s">
        <v>10280</v>
      </c>
    </row>
    <row r="4571" spans="1:2">
      <c r="A4571" s="1" t="s">
        <v>72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357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294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815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427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319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401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492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169</v>
      </c>
      <c r="B4623" t="s">
        <v>10256</v>
      </c>
    </row>
    <row r="4624" spans="1:2">
      <c r="A4624" s="1" t="s">
        <v>154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133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316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326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211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690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341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88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134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202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455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222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147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73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69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159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378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704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249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161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37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246</v>
      </c>
      <c r="B4780" t="s">
        <v>10371</v>
      </c>
    </row>
    <row r="4781" spans="1:2">
      <c r="A4781" s="1" t="s">
        <v>494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354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129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305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380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501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328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96</v>
      </c>
      <c r="B4833" t="s">
        <v>10281</v>
      </c>
    </row>
    <row r="4834" spans="1:2">
      <c r="A4834" s="1" t="s">
        <v>476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170</v>
      </c>
      <c r="B4839" t="s">
        <v>10301</v>
      </c>
    </row>
    <row r="4840" spans="1:2">
      <c r="A4840" s="1" t="s">
        <v>104</v>
      </c>
      <c r="B4840" t="s">
        <v>10325</v>
      </c>
    </row>
    <row r="4841" spans="1:2">
      <c r="A4841" s="1" t="s">
        <v>538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403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366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424</v>
      </c>
      <c r="B4870" t="s">
        <v>10235</v>
      </c>
    </row>
    <row r="4871" spans="1:2">
      <c r="A4871" s="1" t="s">
        <v>263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428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101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490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224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358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652</v>
      </c>
      <c r="B4937" t="s">
        <v>10482</v>
      </c>
    </row>
    <row r="4938" spans="1:2">
      <c r="A4938" s="1" t="s">
        <v>515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31</v>
      </c>
      <c r="B4940" t="s">
        <v>10401</v>
      </c>
    </row>
    <row r="4941" spans="1:2">
      <c r="A4941" s="1" t="s">
        <v>311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412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340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343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185</v>
      </c>
      <c r="B4961" t="s">
        <v>10275</v>
      </c>
    </row>
    <row r="4962" spans="1:2">
      <c r="A4962" s="1" t="s">
        <v>517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165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469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89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228</v>
      </c>
      <c r="B4989" t="s">
        <v>10238</v>
      </c>
    </row>
    <row r="4990" spans="1:2">
      <c r="A4990" s="1" t="s">
        <v>172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682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119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653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42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417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85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288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281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320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44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87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862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531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62</v>
      </c>
      <c r="B5107" t="s">
        <v>10253</v>
      </c>
    </row>
    <row r="5108" spans="1:2">
      <c r="A5108" s="1" t="s">
        <v>197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376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646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625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179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49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671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115</v>
      </c>
      <c r="B5178" t="s">
        <v>10509</v>
      </c>
    </row>
    <row r="5179" spans="1:2">
      <c r="A5179" s="1" t="s">
        <v>757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302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102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82</v>
      </c>
      <c r="B5245" t="s">
        <v>10301</v>
      </c>
    </row>
    <row r="5246" spans="1:2">
      <c r="A5246" s="1" t="s">
        <v>437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257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144</v>
      </c>
      <c r="B5257" t="s">
        <v>10336</v>
      </c>
    </row>
    <row r="5258" spans="1:2">
      <c r="A5258" s="1" t="s">
        <v>54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78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672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58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135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519</v>
      </c>
      <c r="B5291" t="s">
        <v>10291</v>
      </c>
    </row>
    <row r="5292" spans="1:2">
      <c r="A5292" s="1" t="s">
        <v>693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203</v>
      </c>
      <c r="B5309" t="s">
        <v>10238</v>
      </c>
    </row>
    <row r="5310" spans="1:2">
      <c r="A5310" s="1" t="s">
        <v>410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162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209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71</v>
      </c>
      <c r="B5345" t="s">
        <v>10254</v>
      </c>
    </row>
    <row r="5346" spans="1:2">
      <c r="A5346" s="1" t="s">
        <v>131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846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377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28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33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821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295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359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838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516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426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210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166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475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74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540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39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53</v>
      </c>
      <c r="B5530" t="s">
        <v>10253</v>
      </c>
    </row>
    <row r="5531" spans="1:2">
      <c r="A5531" s="1" t="s">
        <v>113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632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112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156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163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513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466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520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480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187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196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80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382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118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292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296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556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188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310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45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93</v>
      </c>
      <c r="B5734" t="s">
        <v>10293</v>
      </c>
    </row>
    <row r="5735" spans="1:2">
      <c r="A5735" s="1" t="s">
        <v>98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56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256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150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278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678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438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244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157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105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265</v>
      </c>
      <c r="B5853" t="s">
        <v>10419</v>
      </c>
    </row>
    <row r="5854" spans="1:2">
      <c r="A5854" s="1" t="s">
        <v>609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109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784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524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125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522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431</v>
      </c>
      <c r="B5898" t="s">
        <v>10243</v>
      </c>
    </row>
    <row r="5899" spans="1:2">
      <c r="A5899" s="1" t="s">
        <v>347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291</v>
      </c>
      <c r="B5904" t="s">
        <v>10266</v>
      </c>
    </row>
    <row r="5905" spans="1:2">
      <c r="A5905" s="1" t="s">
        <v>828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83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127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174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75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38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504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123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654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121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657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422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219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681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183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259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122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235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99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299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68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111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695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571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397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638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640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158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94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368</v>
      </c>
      <c r="B6319" t="s">
        <v>10412</v>
      </c>
    </row>
    <row r="6320" spans="1:2">
      <c r="A6320" s="1" t="s">
        <v>108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489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60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565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297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433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518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61</v>
      </c>
      <c r="B6451" t="s">
        <v>10291</v>
      </c>
    </row>
    <row r="6452" spans="1:2">
      <c r="A6452" s="1" t="s">
        <v>47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236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275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268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216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327</v>
      </c>
      <c r="B9970" t="s">
        <v>10544</v>
      </c>
    </row>
    <row r="9971" spans="1:2">
      <c r="A9971" s="1" t="s">
        <v>353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177</v>
      </c>
      <c r="B9973" t="s">
        <v>10545</v>
      </c>
    </row>
    <row r="9974" spans="1:2">
      <c r="A9974" s="1" t="s">
        <v>411</v>
      </c>
      <c r="B9974" t="s">
        <v>10548</v>
      </c>
    </row>
    <row r="9975" spans="1:2">
      <c r="A9975" s="1" t="s">
        <v>266</v>
      </c>
      <c r="B9975" t="s">
        <v>10549</v>
      </c>
    </row>
    <row r="9976" spans="1:2">
      <c r="A9976" s="1" t="s">
        <v>318</v>
      </c>
      <c r="B9976" t="s">
        <v>10550</v>
      </c>
    </row>
    <row r="9977" spans="1:2">
      <c r="A9977" s="1" t="s">
        <v>348</v>
      </c>
      <c r="B9977" t="s">
        <v>10551</v>
      </c>
    </row>
    <row r="9978" spans="1:2">
      <c r="A9978" s="1" t="s">
        <v>332</v>
      </c>
      <c r="B9978" t="s">
        <v>10552</v>
      </c>
    </row>
    <row r="9979" spans="1:2">
      <c r="A9979" s="1" t="s">
        <v>386</v>
      </c>
      <c r="B9979" t="s">
        <v>10544</v>
      </c>
    </row>
    <row r="9980" spans="1:2">
      <c r="A9980" s="1" t="s">
        <v>561</v>
      </c>
      <c r="B9980" t="s">
        <v>10552</v>
      </c>
    </row>
    <row r="9981" spans="1:2">
      <c r="A9981" s="1" t="s">
        <v>375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617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487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544</v>
      </c>
      <c r="B9988" t="s">
        <v>10559</v>
      </c>
    </row>
    <row r="9989" spans="1:2">
      <c r="A9989" s="1" t="s">
        <v>703</v>
      </c>
      <c r="B9989" t="s">
        <v>10551</v>
      </c>
    </row>
    <row r="9990" spans="1:2">
      <c r="A9990" s="1" t="s">
        <v>577</v>
      </c>
      <c r="B9990" t="s">
        <v>10551</v>
      </c>
    </row>
    <row r="9991" spans="1:2">
      <c r="A9991" s="1" t="s">
        <v>605</v>
      </c>
      <c r="B9991" t="s">
        <v>10560</v>
      </c>
    </row>
    <row r="9992" spans="1:2">
      <c r="A9992" s="1" t="s">
        <v>548</v>
      </c>
      <c r="B9992" t="s">
        <v>10561</v>
      </c>
    </row>
    <row r="9993" spans="1:2">
      <c r="A9993" s="1" t="s">
        <v>814</v>
      </c>
      <c r="B9993" t="s">
        <v>10562</v>
      </c>
    </row>
    <row r="9994" spans="1:2">
      <c r="A9994" s="1" t="s">
        <v>825</v>
      </c>
      <c r="B9994" t="s">
        <v>10563</v>
      </c>
    </row>
    <row r="9995" spans="1:2">
      <c r="A9995" s="1" t="s">
        <v>679</v>
      </c>
      <c r="B9995" t="s">
        <v>10564</v>
      </c>
    </row>
    <row r="9996" spans="1:2">
      <c r="A9996" s="1" t="s">
        <v>611</v>
      </c>
      <c r="B9996" t="s">
        <v>10557</v>
      </c>
    </row>
    <row r="9997" spans="1:2">
      <c r="A9997" s="1" t="s">
        <v>630</v>
      </c>
      <c r="B9997" t="s">
        <v>10565</v>
      </c>
    </row>
    <row r="9998" spans="1:2">
      <c r="A9998" s="1" t="s">
        <v>689</v>
      </c>
      <c r="B9998" t="s">
        <v>10566</v>
      </c>
    </row>
    <row r="9999" spans="1:2">
      <c r="A9999" s="1" t="s">
        <v>743</v>
      </c>
      <c r="B9999" t="s">
        <v>10561</v>
      </c>
    </row>
    <row r="10000" spans="1:2">
      <c r="A10000" s="1" t="s">
        <v>826</v>
      </c>
      <c r="B10000" t="s">
        <v>10567</v>
      </c>
    </row>
    <row r="10001" spans="1:2">
      <c r="A10001" s="1" t="s">
        <v>860</v>
      </c>
      <c r="B10001" t="s">
        <v>10568</v>
      </c>
    </row>
    <row r="10002" spans="1:2">
      <c r="A10002" s="1" t="s">
        <v>760</v>
      </c>
      <c r="B10002" t="s">
        <v>10569</v>
      </c>
    </row>
    <row r="10003" spans="1:2">
      <c r="A10003" s="1" t="s">
        <v>293</v>
      </c>
      <c r="B10003" t="s">
        <v>10570</v>
      </c>
    </row>
    <row r="10004" spans="1:2">
      <c r="A10004" s="1" t="s">
        <v>218</v>
      </c>
      <c r="B10004" t="s">
        <v>10571</v>
      </c>
    </row>
    <row r="10005" spans="1:2">
      <c r="A10005" s="1" t="s">
        <v>339</v>
      </c>
      <c r="B10005" t="s">
        <v>10567</v>
      </c>
    </row>
    <row r="10006" spans="1:2">
      <c r="A10006" s="1" t="s">
        <v>206</v>
      </c>
      <c r="B10006" t="s">
        <v>10546</v>
      </c>
    </row>
    <row r="10007" spans="1:2">
      <c r="A10007" s="1" t="s">
        <v>633</v>
      </c>
      <c r="B10007" t="s">
        <v>10568</v>
      </c>
    </row>
    <row r="10008" spans="1:2">
      <c r="A10008" s="1" t="s">
        <v>407</v>
      </c>
      <c r="B10008" t="s">
        <v>10549</v>
      </c>
    </row>
    <row r="10009" spans="1:2">
      <c r="A10009" s="1" t="s">
        <v>649</v>
      </c>
      <c r="B10009" t="s">
        <v>10572</v>
      </c>
    </row>
    <row r="10010" spans="1:2">
      <c r="A10010" s="1" t="s">
        <v>391</v>
      </c>
      <c r="B10010" t="s">
        <v>10546</v>
      </c>
    </row>
    <row r="10011" spans="1:2">
      <c r="A10011" s="1" t="s">
        <v>804</v>
      </c>
      <c r="B10011" t="s">
        <v>10568</v>
      </c>
    </row>
    <row r="10012" spans="1:2">
      <c r="A10012" s="1" t="s">
        <v>777</v>
      </c>
      <c r="B10012" t="s">
        <v>10568</v>
      </c>
    </row>
    <row r="10013" spans="1:2">
      <c r="A10013" s="1" t="s">
        <v>820</v>
      </c>
      <c r="B10013" t="s">
        <v>10573</v>
      </c>
    </row>
    <row r="10014" spans="1:2">
      <c r="A10014" s="1" t="s">
        <v>761</v>
      </c>
      <c r="B10014" t="s">
        <v>10568</v>
      </c>
    </row>
    <row r="10015" spans="1:2">
      <c r="A10015" s="1" t="s">
        <v>854</v>
      </c>
      <c r="B10015" t="s">
        <v>10556</v>
      </c>
    </row>
    <row r="10016" spans="1:2">
      <c r="A10016" s="1" t="s">
        <v>803</v>
      </c>
      <c r="B10016" t="s">
        <v>10568</v>
      </c>
    </row>
    <row r="10017" spans="1:2">
      <c r="A10017" s="1" t="s">
        <v>573</v>
      </c>
      <c r="B10017" t="s">
        <v>10554</v>
      </c>
    </row>
    <row r="10018" spans="1:2">
      <c r="A10018" s="1" t="s">
        <v>462</v>
      </c>
      <c r="B10018" t="s">
        <v>10545</v>
      </c>
    </row>
    <row r="10019" spans="1:2">
      <c r="A10019" s="1" t="s">
        <v>77</v>
      </c>
      <c r="B10019" t="s">
        <v>10574</v>
      </c>
    </row>
    <row r="10020" spans="1:2">
      <c r="A10020" s="1" t="s">
        <v>79</v>
      </c>
      <c r="B10020" t="s">
        <v>10575</v>
      </c>
    </row>
    <row r="10021" spans="1:2">
      <c r="A10021" s="1" t="s">
        <v>396</v>
      </c>
      <c r="B10021" t="s">
        <v>10576</v>
      </c>
    </row>
    <row r="10022" spans="1:2">
      <c r="A10022" s="1" t="s">
        <v>523</v>
      </c>
      <c r="B10022" t="s">
        <v>10577</v>
      </c>
    </row>
    <row r="10023" spans="1:2">
      <c r="A10023" s="1" t="s">
        <v>221</v>
      </c>
      <c r="B10023" t="s">
        <v>10578</v>
      </c>
    </row>
    <row r="10024" spans="1:2">
      <c r="A10024" s="1" t="s">
        <v>243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612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666</v>
      </c>
      <c r="B10028" t="s">
        <v>10583</v>
      </c>
    </row>
    <row r="10029" spans="1:2">
      <c r="A10029" s="1" t="s">
        <v>496</v>
      </c>
      <c r="B10029" t="s">
        <v>10581</v>
      </c>
    </row>
    <row r="10030" spans="1:2">
      <c r="A10030" s="1" t="s">
        <v>856</v>
      </c>
      <c r="B10030" t="s">
        <v>10584</v>
      </c>
    </row>
    <row r="10031" spans="1:2">
      <c r="A10031" s="1" t="s">
        <v>807</v>
      </c>
      <c r="B10031" t="s">
        <v>10584</v>
      </c>
    </row>
    <row r="10032" spans="1:2">
      <c r="A10032" s="1" t="s">
        <v>201</v>
      </c>
      <c r="B10032" t="s">
        <v>10579</v>
      </c>
    </row>
    <row r="10033" spans="1:2">
      <c r="A10033" s="1" t="s">
        <v>560</v>
      </c>
      <c r="B10033" t="s">
        <v>10579</v>
      </c>
    </row>
    <row r="10034" spans="1:2">
      <c r="A10034" s="1" t="s">
        <v>271</v>
      </c>
      <c r="B10034" t="s">
        <v>10585</v>
      </c>
    </row>
    <row r="10035" spans="1:2">
      <c r="A10035" s="1" t="s">
        <v>136</v>
      </c>
      <c r="B10035" t="s">
        <v>10586</v>
      </c>
    </row>
    <row r="10036" spans="1:2">
      <c r="A10036" s="1" t="s">
        <v>245</v>
      </c>
      <c r="B10036" t="s">
        <v>10579</v>
      </c>
    </row>
    <row r="10037" spans="1:2">
      <c r="A10037" s="1" t="s">
        <v>582</v>
      </c>
      <c r="B10037" t="s">
        <v>10587</v>
      </c>
    </row>
    <row r="10038" spans="1:2">
      <c r="A10038" s="1" t="s">
        <v>717</v>
      </c>
      <c r="B10038" t="s">
        <v>10588</v>
      </c>
    </row>
    <row r="10039" spans="1:2">
      <c r="A10039" s="1" t="s">
        <v>736</v>
      </c>
      <c r="B10039" t="s">
        <v>10589</v>
      </c>
    </row>
    <row r="10040" spans="1:2">
      <c r="A10040" s="1" t="s">
        <v>850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2022-11-06T07:11:18Z</dcterms:created>
  <dcterms:modified xsi:type="dcterms:W3CDTF">2022-11-06T07:11:18Z</dcterms:modified>
</cp:coreProperties>
</file>